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Div 6" sheetId="51" r:id="rId64"/>
    <sheet name="317" sheetId="76" r:id="rId65"/>
    <sheet name="320" sheetId="78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3" sheetId="81" r:id="rId72"/>
    <sheet name="325" sheetId="83" r:id="rId73"/>
    <sheet name="327" sheetId="85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20" sheetId="98" r:id="rId81"/>
    <sheet name="413" sheetId="93" r:id="rId82"/>
    <sheet name="414" sheetId="94" r:id="rId83"/>
    <sheet name="415" sheetId="95" r:id="rId84"/>
    <sheet name="418" sheetId="97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50" sheetId="107" r:id="rId95"/>
    <sheet name="Div 5" sheetId="48" r:id="rId96"/>
    <sheet name="501" sheetId="109" r:id="rId97"/>
    <sheet name="Dept" sheetId="110" state="hidden" r:id="rId98"/>
    <sheet name="OSR_Dept_Y0WUKY" sheetId="111" state="hidden" r:id="rId99"/>
    <sheet name="OSR_Summary (...56e5d78f_5JEYZH" sheetId="112" state="hidden" r:id="rId100"/>
  </sheets>
  <definedNames>
    <definedName name="OSRRefD13x_0" localSheetId="48">'300'!$D$13:$D$86</definedName>
    <definedName name="OSRRefD13x_0" localSheetId="49">'300 &amp; 317'!$D$13:$D$102</definedName>
    <definedName name="OSRRefD13x_0" localSheetId="53">'307'!$D$13:$D$31</definedName>
    <definedName name="OSRRefD13x_0" localSheetId="55">'308'!$D$13:$D$33</definedName>
    <definedName name="OSRRefD13x_0" localSheetId="67">'309'!$D$13:$D$14</definedName>
    <definedName name="OSRRefD13x_0" localSheetId="66">'310'!$D$13:$D$20</definedName>
    <definedName name="OSRRefD13x_0" localSheetId="74">'310 &amp; 491'!$D$13:$D$27</definedName>
    <definedName name="OSRRefD13x_0" localSheetId="56">'311'!$D$13:$D$32</definedName>
    <definedName name="OSRRefD13x_0" localSheetId="68">'313'!$D$13:$D$17</definedName>
    <definedName name="OSRRefD13x_0" localSheetId="54">'314'!$D$13:$D$28</definedName>
    <definedName name="OSRRefD13x_0" localSheetId="59">'315'!$D$13:$D$46</definedName>
    <definedName name="OSRRefD13x_0" localSheetId="62">'316'!$D$13:$D$22</definedName>
    <definedName name="OSRRefD13x_0" localSheetId="64">'317'!$D$13:$D$32</definedName>
    <definedName name="OSRRefD13x_0" localSheetId="65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2">'325'!$D$13:$D$14</definedName>
    <definedName name="OSRRefD13x_0" localSheetId="60">'326'!$D$13:$D$31</definedName>
    <definedName name="OSRRefD13x_0" localSheetId="73">'327'!$D$13</definedName>
    <definedName name="OSRRefD13x_0" localSheetId="52">'330'!$D$13:$D$39</definedName>
    <definedName name="OSRRefD13x_0" localSheetId="58">'331'!$D$13:$D$47</definedName>
    <definedName name="OSRRefD13x_0" localSheetId="61">'332'!$D$13:$D$25</definedName>
    <definedName name="OSRRefD13x_0" localSheetId="76">'405'!$D$13:$D$14</definedName>
    <definedName name="OSRRefD13x_0" localSheetId="79">'412'!$D$13:$D$14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6">'424'!$D$13</definedName>
    <definedName name="OSRRefD13x_0" localSheetId="87">'425'!$D$13:$D$14</definedName>
    <definedName name="OSRRefD13x_0" localSheetId="91">'433'!$D$13:$D$15</definedName>
    <definedName name="OSRRefD13x_0" localSheetId="93">'444'!$D$13:$D$15</definedName>
    <definedName name="OSRRefD13x_0" localSheetId="94">'450'!$D$13:$D$14</definedName>
    <definedName name="OSRRefD13x_0" localSheetId="75">'491'!$D$13:$D$21</definedName>
    <definedName name="OSRRefD13x_0" localSheetId="89">'492'!$D$13:$D$15</definedName>
    <definedName name="OSRRefD13x_0" localSheetId="96">'501'!$D$13</definedName>
    <definedName name="OSRRefD13x_0" localSheetId="47">'Div 3'!$D$13:$D$89</definedName>
    <definedName name="OSRRefD13x_0" localSheetId="95">'Div 5'!$D$13</definedName>
    <definedName name="OSRRefD13x_0" localSheetId="63">'Div 6'!$D$13:$D$32</definedName>
    <definedName name="OSRRefD13x_0" localSheetId="2">Summary!$D$13:$D$112</definedName>
    <definedName name="OSRRefD16x_0" localSheetId="48">'300'!$D$89:$D$124</definedName>
    <definedName name="OSRRefD16x_0" localSheetId="49">'300 &amp; 317'!$D$105:$D$148</definedName>
    <definedName name="OSRRefD16x_0" localSheetId="53">'307'!$D$34:$D$42</definedName>
    <definedName name="OSRRefD16x_0" localSheetId="55">'308'!$D$36:$D$47</definedName>
    <definedName name="OSRRefD16x_0" localSheetId="67">'309'!$D$17:$D$18</definedName>
    <definedName name="OSRRefD16x_0" localSheetId="66">'310'!$D$23:$D$24</definedName>
    <definedName name="OSRRefD16x_0" localSheetId="74">'310 &amp; 491'!$D$30:$D$31</definedName>
    <definedName name="OSRRefD16x_0" localSheetId="56">'311'!$D$35:$D$46</definedName>
    <definedName name="OSRRefD16x_0" localSheetId="68">'313'!$D$20:$D$21</definedName>
    <definedName name="OSRRefD16x_0" localSheetId="54">'314'!$D$31:$D$40</definedName>
    <definedName name="OSRRefD16x_0" localSheetId="59">'315'!$D$49:$D$62</definedName>
    <definedName name="OSRRefD16x_0" localSheetId="64">'317'!$D$35:$D$44</definedName>
    <definedName name="OSRRefD16x_0" localSheetId="65">'320'!$D$18:$D$21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2">'325'!$D$17:$D$18</definedName>
    <definedName name="OSRRefD16x_0" localSheetId="60">'326'!$D$34:$D$44</definedName>
    <definedName name="OSRRefD16x_0" localSheetId="73">'327'!$D$16</definedName>
    <definedName name="OSRRefD16x_0" localSheetId="52">'330'!$D$42:$D$54</definedName>
    <definedName name="OSRRefD16x_0" localSheetId="58">'331'!$D$50:$D$66</definedName>
    <definedName name="OSRRefD16x_0" localSheetId="61">'332'!$D$28:$D$31</definedName>
    <definedName name="OSRRefD16x_0" localSheetId="76">'405'!$D$17:$D$18</definedName>
    <definedName name="OSRRefD16x_0" localSheetId="77">'406'!$D$15:$D$16</definedName>
    <definedName name="OSRRefD16x_0" localSheetId="79">'412'!$D$17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6">'424'!$D$16:$D$17</definedName>
    <definedName name="OSRRefD16x_0" localSheetId="87">'425'!$D$17:$D$18</definedName>
    <definedName name="OSRRefD16x_0" localSheetId="91">'433'!$D$18:$D$19</definedName>
    <definedName name="OSRRefD16x_0" localSheetId="93">'444'!$D$18:$D$19</definedName>
    <definedName name="OSRRefD16x_0" localSheetId="94">'450'!$D$17:$D$18</definedName>
    <definedName name="OSRRefD16x_0" localSheetId="75">'491'!$D$24:$D$25</definedName>
    <definedName name="OSRRefD16x_0" localSheetId="89">'492'!$D$18:$D$19</definedName>
    <definedName name="OSRRefD16x_0" localSheetId="47">'Div 3'!$D$92:$D$129</definedName>
    <definedName name="OSRRefD16x_0" localSheetId="63">'Div 6'!$D$35:$D$44</definedName>
    <definedName name="OSRRefD16x_0" localSheetId="2">Summary!$D$115:$D$160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'300'!$D$130:$D$139</definedName>
    <definedName name="OSRRefD22_0x_0" localSheetId="49">'300 &amp; 317'!$D$154:$D$163</definedName>
    <definedName name="OSRRefD22_0x_0" localSheetId="50">'301'!$D$20:$D$28</definedName>
    <definedName name="OSRRefD22_0x_0" localSheetId="51">'306'!$D$20:$D$28</definedName>
    <definedName name="OSRRefD22_0x_0" localSheetId="53">'307'!$D$48:$D$55</definedName>
    <definedName name="OSRRefD22_0x_0" localSheetId="55">'308'!$D$53:$D$61</definedName>
    <definedName name="OSRRefD22_0x_0" localSheetId="67">'309'!$D$24:$D$31</definedName>
    <definedName name="OSRRefD22_0x_0" localSheetId="66">'310'!$D$30:$D$37</definedName>
    <definedName name="OSRRefD22_0x_0" localSheetId="74">'310 &amp; 491'!$D$37:$D$45</definedName>
    <definedName name="OSRRefD22_0x_0" localSheetId="56">'311'!$D$52:$D$60</definedName>
    <definedName name="OSRRefD22_0x_0" localSheetId="68">'313'!$D$27:$D$34</definedName>
    <definedName name="OSRRefD22_0x_0" localSheetId="54">'314'!$D$46:$D$52</definedName>
    <definedName name="OSRRefD22_0x_0" localSheetId="59">'315'!$D$68:$D$75</definedName>
    <definedName name="OSRRefD22_0x_0" localSheetId="62">'316'!$D$30:$D$37</definedName>
    <definedName name="OSRRefD22_0x_0" localSheetId="64">'317'!$D$50:$D$58</definedName>
    <definedName name="OSRRefD22_0x_0" localSheetId="65">'320'!$D$27:$D$33</definedName>
    <definedName name="OSRRefD22_0x_0" localSheetId="69">'321'!$D$24:$D$28</definedName>
    <definedName name="OSRRefD22_0x_0" localSheetId="70">'322'!$D$24:$D$31</definedName>
    <definedName name="OSRRefD22_0x_0" localSheetId="72">'325'!$D$24:$D$31</definedName>
    <definedName name="OSRRefD22_0x_0" localSheetId="60">'326'!$D$50:$D$57</definedName>
    <definedName name="OSRRefD22_0x_0" localSheetId="73">'327'!$D$22</definedName>
    <definedName name="OSRRefD22_0x_0" localSheetId="52">'330'!$D$60:$D$67</definedName>
    <definedName name="OSRRefD22_0x_0" localSheetId="58">'331'!$D$72:$D$79</definedName>
    <definedName name="OSRRefD22_0x_0" localSheetId="61">'332'!$D$37:$D$44</definedName>
    <definedName name="OSRRefD22_0x_0" localSheetId="76">'405'!$D$24:$D$31</definedName>
    <definedName name="OSRRefD22_0x_0" localSheetId="77">'406'!$D$22:$D$29</definedName>
    <definedName name="OSRRefD22_0x_0" localSheetId="78">'411'!$D$20:$D$28</definedName>
    <definedName name="OSRRefD22_0x_0" localSheetId="79">'412'!$D$23:$D$30</definedName>
    <definedName name="OSRRefD22_0x_0" localSheetId="81">'413'!$D$24:$D$31</definedName>
    <definedName name="OSRRefD22_0x_0" localSheetId="82">'414'!$D$24:$D$30</definedName>
    <definedName name="OSRRefD22_0x_0" localSheetId="83">'415'!$D$24:$D$31</definedName>
    <definedName name="OSRRefD22_0x_0" localSheetId="84">'418'!$D$24:$D$31</definedName>
    <definedName name="OSRRefD22_0x_0" localSheetId="85">'423'!$D$20:$D$27</definedName>
    <definedName name="OSRRefD22_0x_0" localSheetId="86">'424'!$D$23</definedName>
    <definedName name="OSRRefD22_0x_0" localSheetId="87">'425'!$D$24:$D$31</definedName>
    <definedName name="OSRRefD22_0x_0" localSheetId="90">'430'!$D$20:$D$27</definedName>
    <definedName name="OSRRefD22_0x_0" localSheetId="91">'433'!$D$25:$D$33</definedName>
    <definedName name="OSRRefD22_0x_0" localSheetId="92">'435'!$D$20:$D$21</definedName>
    <definedName name="OSRRefD22_0x_0" localSheetId="93">'444'!$D$25:$D$33</definedName>
    <definedName name="OSRRefD22_0x_0" localSheetId="94">'450'!$D$24:$D$32</definedName>
    <definedName name="OSRRefD22_0x_0" localSheetId="88">'455'!$D$20:$D$26</definedName>
    <definedName name="OSRRefD22_0x_0" localSheetId="75">'491'!$D$31:$D$39</definedName>
    <definedName name="OSRRefD22_0x_0" localSheetId="89">'492'!$D$25:$D$33</definedName>
    <definedName name="OSRRefD22_0x_0" localSheetId="96">'501'!$D$21:$D$29</definedName>
    <definedName name="OSRRefD22_0x_0" localSheetId="39">'Div 2'!$D$20:$D$29</definedName>
    <definedName name="OSRRefD22_0x_0" localSheetId="47">'Div 3'!$D$135:$D$144</definedName>
    <definedName name="OSRRefD22_0x_0" localSheetId="95">'Div 5'!$D$21:$D$29</definedName>
    <definedName name="OSRRefD22_0x_0" localSheetId="63">'Div 6'!$D$50:$D$58</definedName>
    <definedName name="OSRRefD22_0x_0" localSheetId="2">Summary!$D$166:$D$175</definedName>
    <definedName name="OSRRefD22_10x_0" localSheetId="41">'201'!$D$51</definedName>
    <definedName name="OSRRefD22_10x_0" localSheetId="42">'202'!$D$52</definedName>
    <definedName name="OSRRefD22_10x_0" localSheetId="43">'203'!$D$52:$D$55</definedName>
    <definedName name="OSRRefD22_10x_0" localSheetId="48">'300'!$D$167:$D$168</definedName>
    <definedName name="OSRRefD22_10x_0" localSheetId="49">'300 &amp; 317'!$D$191:$D$192</definedName>
    <definedName name="OSRRefD22_10x_0" localSheetId="50">'301'!$D$55</definedName>
    <definedName name="OSRRefD22_10x_0" localSheetId="55">'308'!$D$86</definedName>
    <definedName name="OSRRefD22_10x_0" localSheetId="67">'309'!$D$56</definedName>
    <definedName name="OSRRefD22_10x_0" localSheetId="66">'310'!$D$62</definedName>
    <definedName name="OSRRefD22_10x_0" localSheetId="74">'310 &amp; 491'!$D$73</definedName>
    <definedName name="OSRRefD22_10x_0" localSheetId="56">'311'!$D$85</definedName>
    <definedName name="OSRRefD22_10x_0" localSheetId="68">'313'!$D$56:$D$58</definedName>
    <definedName name="OSRRefD22_10x_0" localSheetId="59">'315'!$D$101</definedName>
    <definedName name="OSRRefD22_10x_0" localSheetId="69">'321'!$D$54</definedName>
    <definedName name="OSRRefD22_10x_0" localSheetId="70">'322'!$D$57</definedName>
    <definedName name="OSRRefD22_10x_0" localSheetId="72">'325'!$D$57</definedName>
    <definedName name="OSRRefD22_10x_0" localSheetId="60">'326'!$D$80:$D$82</definedName>
    <definedName name="OSRRefD22_10x_0" localSheetId="58">'331'!$D$102</definedName>
    <definedName name="OSRRefD22_10x_0" localSheetId="76">'405'!$D$54</definedName>
    <definedName name="OSRRefD22_10x_0" localSheetId="78">'411'!$D$60:$D$63</definedName>
    <definedName name="OSRRefD22_10x_0" localSheetId="79">'412'!$D$56:$D$59</definedName>
    <definedName name="OSRRefD22_10x_0" localSheetId="81">'413'!$D$55</definedName>
    <definedName name="OSRRefD22_10x_0" localSheetId="82">'414'!$D$52</definedName>
    <definedName name="OSRRefD22_10x_0" localSheetId="83">'415'!$D$55</definedName>
    <definedName name="OSRRefD22_10x_0" localSheetId="84">'418'!$D$57</definedName>
    <definedName name="OSRRefD22_10x_0" localSheetId="87">'425'!$D$57</definedName>
    <definedName name="OSRRefD22_10x_0" localSheetId="91">'433'!$D$65</definedName>
    <definedName name="OSRRefD22_10x_0" localSheetId="93">'444'!$D$60:$D$64</definedName>
    <definedName name="OSRRefD22_10x_0" localSheetId="94">'450'!$D$62</definedName>
    <definedName name="OSRRefD22_10x_0" localSheetId="75">'491'!$D$67</definedName>
    <definedName name="OSRRefD22_10x_0" localSheetId="89">'492'!$D$59</definedName>
    <definedName name="OSRRefD22_10x_0" localSheetId="39">'Div 2'!$D$55</definedName>
    <definedName name="OSRRefD22_10x_0" localSheetId="47">'Div 3'!$D$172:$D$173</definedName>
    <definedName name="OSRRefD22_10x_0" localSheetId="2">Summary!$D$204:$D$205</definedName>
    <definedName name="OSRRefD22_11x_0" localSheetId="41">'201'!$D$53:$D$55</definedName>
    <definedName name="OSRRefD22_11x_0" localSheetId="42">'202'!$D$54</definedName>
    <definedName name="OSRRefD22_11x_0" localSheetId="43">'203'!$D$57</definedName>
    <definedName name="OSRRefD22_11x_0" localSheetId="48">'300'!$D$170</definedName>
    <definedName name="OSRRefD22_11x_0" localSheetId="49">'300 &amp; 317'!$D$194</definedName>
    <definedName name="OSRRefD22_11x_0" localSheetId="50">'301'!$D$57</definedName>
    <definedName name="OSRRefD22_11x_0" localSheetId="55">'308'!$D$88:$D$89</definedName>
    <definedName name="OSRRefD22_11x_0" localSheetId="66">'310'!$D$64</definedName>
    <definedName name="OSRRefD22_11x_0" localSheetId="74">'310 &amp; 491'!$D$75</definedName>
    <definedName name="OSRRefD22_11x_0" localSheetId="56">'311'!$D$87:$D$88</definedName>
    <definedName name="OSRRefD22_11x_0" localSheetId="68">'313'!$D$60</definedName>
    <definedName name="OSRRefD22_11x_0" localSheetId="70">'322'!$D$59</definedName>
    <definedName name="OSRRefD22_11x_0" localSheetId="72">'325'!$D$59</definedName>
    <definedName name="OSRRefD22_11x_0" localSheetId="60">'326'!$D$84</definedName>
    <definedName name="OSRRefD22_11x_0" localSheetId="58">'331'!$D$104</definedName>
    <definedName name="OSRRefD22_11x_0" localSheetId="76">'405'!$D$56:$D$58</definedName>
    <definedName name="OSRRefD22_11x_0" localSheetId="78">'411'!$D$65</definedName>
    <definedName name="OSRRefD22_11x_0" localSheetId="79">'412'!$D$61</definedName>
    <definedName name="OSRRefD22_11x_0" localSheetId="82">'414'!$D$54:$D$57</definedName>
    <definedName name="OSRRefD22_11x_0" localSheetId="83">'415'!$D$57:$D$58</definedName>
    <definedName name="OSRRefD22_11x_0" localSheetId="84">'418'!$D$59:$D$60</definedName>
    <definedName name="OSRRefD22_11x_0" localSheetId="91">'433'!$D$67</definedName>
    <definedName name="OSRRefD22_11x_0" localSheetId="93">'444'!$D$66</definedName>
    <definedName name="OSRRefD22_11x_0" localSheetId="94">'450'!$D$64</definedName>
    <definedName name="OSRRefD22_11x_0" localSheetId="75">'491'!$D$69</definedName>
    <definedName name="OSRRefD22_11x_0" localSheetId="89">'492'!$D$61:$D$63</definedName>
    <definedName name="OSRRefD22_11x_0" localSheetId="39">'Div 2'!$D$57</definedName>
    <definedName name="OSRRefD22_11x_0" localSheetId="47">'Div 3'!$D$175</definedName>
    <definedName name="OSRRefD22_11x_0" localSheetId="2">Summary!$D$207</definedName>
    <definedName name="OSRRefD22_12x_0" localSheetId="41">'201'!$D$57</definedName>
    <definedName name="OSRRefD22_12x_0" localSheetId="43">'203'!$D$59</definedName>
    <definedName name="OSRRefD22_12x_0" localSheetId="48">'300'!$D$172</definedName>
    <definedName name="OSRRefD22_12x_0" localSheetId="49">'300 &amp; 317'!$D$196</definedName>
    <definedName name="OSRRefD22_12x_0" localSheetId="50">'301'!$D$59</definedName>
    <definedName name="OSRRefD22_12x_0" localSheetId="55">'308'!$D$91:$D$92</definedName>
    <definedName name="OSRRefD22_12x_0" localSheetId="66">'310'!$D$66</definedName>
    <definedName name="OSRRefD22_12x_0" localSheetId="74">'310 &amp; 491'!$D$77</definedName>
    <definedName name="OSRRefD22_12x_0" localSheetId="56">'311'!$D$90:$D$91</definedName>
    <definedName name="OSRRefD22_12x_0" localSheetId="72">'325'!$D$61</definedName>
    <definedName name="OSRRefD22_12x_0" localSheetId="60">'326'!$D$86:$D$87</definedName>
    <definedName name="OSRRefD22_12x_0" localSheetId="58">'331'!$D$106:$D$107</definedName>
    <definedName name="OSRRefD22_12x_0" localSheetId="76">'405'!$D$60:$D$64</definedName>
    <definedName name="OSRRefD22_12x_0" localSheetId="78">'411'!$D$67</definedName>
    <definedName name="OSRRefD22_12x_0" localSheetId="82">'414'!$D$59</definedName>
    <definedName name="OSRRefD22_12x_0" localSheetId="83">'415'!$D$60:$D$64</definedName>
    <definedName name="OSRRefD22_12x_0" localSheetId="84">'418'!$D$62</definedName>
    <definedName name="OSRRefD22_12x_0" localSheetId="91">'433'!$D$69</definedName>
    <definedName name="OSRRefD22_12x_0" localSheetId="93">'444'!$D$68</definedName>
    <definedName name="OSRRefD22_12x_0" localSheetId="94">'450'!$D$66</definedName>
    <definedName name="OSRRefD22_12x_0" localSheetId="75">'491'!$D$71:$D$72</definedName>
    <definedName name="OSRRefD22_12x_0" localSheetId="89">'492'!$D$65:$D$71</definedName>
    <definedName name="OSRRefD22_12x_0" localSheetId="39">'Div 2'!$D$59:$D$61</definedName>
    <definedName name="OSRRefD22_12x_0" localSheetId="47">'Div 3'!$D$177</definedName>
    <definedName name="OSRRefD22_12x_0" localSheetId="2">Summary!$D$209</definedName>
    <definedName name="OSRRefD22_13x_0" localSheetId="41">'201'!$D$59</definedName>
    <definedName name="OSRRefD22_13x_0" localSheetId="43">'203'!$D$61</definedName>
    <definedName name="OSRRefD22_13x_0" localSheetId="48">'300'!$D$174</definedName>
    <definedName name="OSRRefD22_13x_0" localSheetId="49">'300 &amp; 317'!$D$198</definedName>
    <definedName name="OSRRefD22_13x_0" localSheetId="50">'301'!$D$61</definedName>
    <definedName name="OSRRefD22_13x_0" localSheetId="55">'308'!$D$94</definedName>
    <definedName name="OSRRefD22_13x_0" localSheetId="66">'310'!$D$68</definedName>
    <definedName name="OSRRefD22_13x_0" localSheetId="74">'310 &amp; 491'!$D$79</definedName>
    <definedName name="OSRRefD22_13x_0" localSheetId="56">'311'!$D$93</definedName>
    <definedName name="OSRRefD22_13x_0" localSheetId="72">'325'!$D$63</definedName>
    <definedName name="OSRRefD22_13x_0" localSheetId="60">'326'!$D$89</definedName>
    <definedName name="OSRRefD22_13x_0" localSheetId="58">'331'!$D$109:$D$111</definedName>
    <definedName name="OSRRefD22_13x_0" localSheetId="76">'405'!$D$66</definedName>
    <definedName name="OSRRefD22_13x_0" localSheetId="78">'411'!$D$69:$D$71</definedName>
    <definedName name="OSRRefD22_13x_0" localSheetId="83">'415'!$D$66</definedName>
    <definedName name="OSRRefD22_13x_0" localSheetId="84">'418'!$D$64</definedName>
    <definedName name="OSRRefD22_13x_0" localSheetId="93">'444'!$D$70</definedName>
    <definedName name="OSRRefD22_13x_0" localSheetId="75">'491'!$D$74:$D$75</definedName>
    <definedName name="OSRRefD22_13x_0" localSheetId="89">'492'!$D$73</definedName>
    <definedName name="OSRRefD22_13x_0" localSheetId="39">'Div 2'!$D$63:$D$65</definedName>
    <definedName name="OSRRefD22_13x_0" localSheetId="47">'Div 3'!$D$179</definedName>
    <definedName name="OSRRefD22_13x_0" localSheetId="2">Summary!$D$211</definedName>
    <definedName name="OSRRefD22_14x_0" localSheetId="48">'300'!$D$176</definedName>
    <definedName name="OSRRefD22_14x_0" localSheetId="49">'300 &amp; 317'!$D$200</definedName>
    <definedName name="OSRRefD22_14x_0" localSheetId="50">'301'!$D$63:$D$65</definedName>
    <definedName name="OSRRefD22_14x_0" localSheetId="55">'308'!$D$96</definedName>
    <definedName name="OSRRefD22_14x_0" localSheetId="66">'310'!$D$70:$D$73</definedName>
    <definedName name="OSRRefD22_14x_0" localSheetId="74">'310 &amp; 491'!$D$81:$D$82</definedName>
    <definedName name="OSRRefD22_14x_0" localSheetId="56">'311'!$D$95</definedName>
    <definedName name="OSRRefD22_14x_0" localSheetId="60">'326'!$D$91</definedName>
    <definedName name="OSRRefD22_14x_0" localSheetId="58">'331'!$D$113</definedName>
    <definedName name="OSRRefD22_14x_0" localSheetId="76">'405'!$D$68</definedName>
    <definedName name="OSRRefD22_14x_0" localSheetId="78">'411'!$D$73</definedName>
    <definedName name="OSRRefD22_14x_0" localSheetId="83">'415'!$D$68:$D$72</definedName>
    <definedName name="OSRRefD22_14x_0" localSheetId="75">'491'!$D$77:$D$81</definedName>
    <definedName name="OSRRefD22_14x_0" localSheetId="89">'492'!$D$75</definedName>
    <definedName name="OSRRefD22_14x_0" localSheetId="39">'Div 2'!$D$67:$D$68</definedName>
    <definedName name="OSRRefD22_14x_0" localSheetId="47">'Div 3'!$D$181</definedName>
    <definedName name="OSRRefD22_14x_0" localSheetId="2">Summary!$D$213</definedName>
    <definedName name="OSRRefD22_15x_0" localSheetId="48">'300'!$D$178</definedName>
    <definedName name="OSRRefD22_15x_0" localSheetId="49">'300 &amp; 317'!$D$202</definedName>
    <definedName name="OSRRefD22_15x_0" localSheetId="50">'301'!$D$67:$D$69</definedName>
    <definedName name="OSRRefD22_15x_0" localSheetId="66">'310'!$D$75</definedName>
    <definedName name="OSRRefD22_15x_0" localSheetId="74">'310 &amp; 491'!$D$84:$D$85</definedName>
    <definedName name="OSRRefD22_15x_0" localSheetId="60">'326'!$D$93</definedName>
    <definedName name="OSRRefD22_15x_0" localSheetId="58">'331'!$D$115:$D$118</definedName>
    <definedName name="OSRRefD22_15x_0" localSheetId="76">'405'!$D$70</definedName>
    <definedName name="OSRRefD22_15x_0" localSheetId="83">'415'!$D$74</definedName>
    <definedName name="OSRRefD22_15x_0" localSheetId="75">'491'!$D$83</definedName>
    <definedName name="OSRRefD22_15x_0" localSheetId="89">'492'!$D$77</definedName>
    <definedName name="OSRRefD22_15x_0" localSheetId="39">'Div 2'!$D$70</definedName>
    <definedName name="OSRRefD22_15x_0" localSheetId="47">'Div 3'!$D$183</definedName>
    <definedName name="OSRRefD22_15x_0" localSheetId="2">Summary!$D$215</definedName>
    <definedName name="OSRRefD22_16x_0" localSheetId="48">'300'!$D$180:$D$182</definedName>
    <definedName name="OSRRefD22_16x_0" localSheetId="49">'300 &amp; 317'!$D$204:$D$206</definedName>
    <definedName name="OSRRefD22_16x_0" localSheetId="50">'301'!$D$71</definedName>
    <definedName name="OSRRefD22_16x_0" localSheetId="66">'310'!$D$77:$D$80</definedName>
    <definedName name="OSRRefD22_16x_0" localSheetId="74">'310 &amp; 491'!$D$87:$D$91</definedName>
    <definedName name="OSRRefD22_16x_0" localSheetId="58">'331'!$D$120</definedName>
    <definedName name="OSRRefD22_16x_0" localSheetId="83">'415'!$D$76</definedName>
    <definedName name="OSRRefD22_16x_0" localSheetId="75">'491'!$D$85:$D$92</definedName>
    <definedName name="OSRRefD22_16x_0" localSheetId="39">'Div 2'!$D$72:$D$76</definedName>
    <definedName name="OSRRefD22_16x_0" localSheetId="47">'Div 3'!$D$185</definedName>
    <definedName name="OSRRefD22_16x_0" localSheetId="2">Summary!$D$217</definedName>
    <definedName name="OSRRefD22_17x_0" localSheetId="48">'300'!$D$184:$D$186</definedName>
    <definedName name="OSRRefD22_17x_0" localSheetId="49">'300 &amp; 317'!$D$208:$D$210</definedName>
    <definedName name="OSRRefD22_17x_0" localSheetId="50">'301'!$D$73:$D$77</definedName>
    <definedName name="OSRRefD22_17x_0" localSheetId="66">'310'!$D$82</definedName>
    <definedName name="OSRRefD22_17x_0" localSheetId="74">'310 &amp; 491'!$D$93</definedName>
    <definedName name="OSRRefD22_17x_0" localSheetId="58">'331'!$D$122</definedName>
    <definedName name="OSRRefD22_17x_0" localSheetId="75">'491'!$D$94</definedName>
    <definedName name="OSRRefD22_17x_0" localSheetId="39">'Div 2'!$D$78:$D$79</definedName>
    <definedName name="OSRRefD22_17x_0" localSheetId="47">'Div 3'!$D$187:$D$189</definedName>
    <definedName name="OSRRefD22_17x_0" localSheetId="2">Summary!$D$219</definedName>
    <definedName name="OSRRefD22_18x_0" localSheetId="48">'300'!$D$188:$D$191</definedName>
    <definedName name="OSRRefD22_18x_0" localSheetId="49">'300 &amp; 317'!$D$212:$D$215</definedName>
    <definedName name="OSRRefD22_18x_0" localSheetId="50">'301'!$D$79</definedName>
    <definedName name="OSRRefD22_18x_0" localSheetId="66">'310'!$D$84</definedName>
    <definedName name="OSRRefD22_18x_0" localSheetId="74">'310 &amp; 491'!$D$95:$D$102</definedName>
    <definedName name="OSRRefD22_18x_0" localSheetId="58">'331'!$D$124</definedName>
    <definedName name="OSRRefD22_18x_0" localSheetId="75">'491'!$D$96</definedName>
    <definedName name="OSRRefD22_18x_0" localSheetId="39">'Div 2'!$D$81</definedName>
    <definedName name="OSRRefD22_18x_0" localSheetId="47">'Div 3'!$D$191:$D$193</definedName>
    <definedName name="OSRRefD22_18x_0" localSheetId="2">Summary!$D$221:$D$223</definedName>
    <definedName name="OSRRefD22_19x_0" localSheetId="48">'300'!$D$193:$D$194</definedName>
    <definedName name="OSRRefD22_19x_0" localSheetId="49">'300 &amp; 317'!$D$217:$D$218</definedName>
    <definedName name="OSRRefD22_19x_0" localSheetId="50">'301'!$D$81</definedName>
    <definedName name="OSRRefD22_19x_0" localSheetId="74">'310 &amp; 491'!$D$104</definedName>
    <definedName name="OSRRefD22_19x_0" localSheetId="58">'331'!$D$126</definedName>
    <definedName name="OSRRefD22_19x_0" localSheetId="75">'491'!$D$98:$D$100</definedName>
    <definedName name="OSRRefD22_19x_0" localSheetId="39">'Div 2'!$D$83:$D$84</definedName>
    <definedName name="OSRRefD22_19x_0" localSheetId="47">'Div 3'!$D$195:$D$199</definedName>
    <definedName name="OSRRefD22_19x_0" localSheetId="2">Summary!$D$225:$D$227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'203'!$D$30:$D$33</definedName>
    <definedName name="OSRRefD22_1x_0" localSheetId="44">'204'!$D$30:$D$34</definedName>
    <definedName name="OSRRefD22_1x_0" localSheetId="45">'205'!$D$29</definedName>
    <definedName name="OSRRefD22_1x_0" localSheetId="46">'206'!$D$28:$D$31</definedName>
    <definedName name="OSRRefD22_1x_0" localSheetId="48">'300'!$D$141:$D$147</definedName>
    <definedName name="OSRRefD22_1x_0" localSheetId="49">'300 &amp; 317'!$D$165:$D$171</definedName>
    <definedName name="OSRRefD22_1x_0" localSheetId="50">'301'!$D$30:$D$35</definedName>
    <definedName name="OSRRefD22_1x_0" localSheetId="51">'306'!$D$30:$D$35</definedName>
    <definedName name="OSRRefD22_1x_0" localSheetId="53">'307'!$D$57:$D$59</definedName>
    <definedName name="OSRRefD22_1x_0" localSheetId="55">'308'!$D$63:$D$68</definedName>
    <definedName name="OSRRefD22_1x_0" localSheetId="67">'309'!$D$33:$D$36</definedName>
    <definedName name="OSRRefD22_1x_0" localSheetId="66">'310'!$D$39:$D$43</definedName>
    <definedName name="OSRRefD22_1x_0" localSheetId="74">'310 &amp; 491'!$D$47:$D$53</definedName>
    <definedName name="OSRRefD22_1x_0" localSheetId="56">'311'!$D$62:$D$67</definedName>
    <definedName name="OSRRefD22_1x_0" localSheetId="68">'313'!$D$36:$D$38</definedName>
    <definedName name="OSRRefD22_1x_0" localSheetId="54">'314'!$D$54:$D$55</definedName>
    <definedName name="OSRRefD22_1x_0" localSheetId="59">'315'!$D$77:$D$80</definedName>
    <definedName name="OSRRefD22_1x_0" localSheetId="62">'316'!$D$39:$D$41</definedName>
    <definedName name="OSRRefD22_1x_0" localSheetId="64">'317'!$D$60:$D$64</definedName>
    <definedName name="OSRRefD22_1x_0" localSheetId="65">'320'!$D$35:$D$36</definedName>
    <definedName name="OSRRefD22_1x_0" localSheetId="69">'321'!$D$30:$D$33</definedName>
    <definedName name="OSRRefD22_1x_0" localSheetId="70">'322'!$D$33:$D$35</definedName>
    <definedName name="OSRRefD22_1x_0" localSheetId="72">'325'!$D$33:$D$36</definedName>
    <definedName name="OSRRefD22_1x_0" localSheetId="60">'326'!$D$59:$D$62</definedName>
    <definedName name="OSRRefD22_1x_0" localSheetId="52">'330'!$D$69:$D$71</definedName>
    <definedName name="OSRRefD22_1x_0" localSheetId="58">'331'!$D$81:$D$84</definedName>
    <definedName name="OSRRefD22_1x_0" localSheetId="61">'332'!$D$46:$D$48</definedName>
    <definedName name="OSRRefD22_1x_0" localSheetId="76">'405'!$D$33:$D$34</definedName>
    <definedName name="OSRRefD22_1x_0" localSheetId="77">'406'!$D$31:$D$33</definedName>
    <definedName name="OSRRefD22_1x_0" localSheetId="78">'411'!$D$30:$D$35</definedName>
    <definedName name="OSRRefD22_1x_0" localSheetId="79">'412'!$D$32:$D$37</definedName>
    <definedName name="OSRRefD22_1x_0" localSheetId="81">'413'!$D$33:$D$35</definedName>
    <definedName name="OSRRefD22_1x_0" localSheetId="82">'414'!$D$32:$D$34</definedName>
    <definedName name="OSRRefD22_1x_0" localSheetId="83">'415'!$D$33:$D$36</definedName>
    <definedName name="OSRRefD22_1x_0" localSheetId="84">'418'!$D$33:$D$37</definedName>
    <definedName name="OSRRefD22_1x_0" localSheetId="85">'423'!$D$29</definedName>
    <definedName name="OSRRefD22_1x_0" localSheetId="86">'424'!$D$25</definedName>
    <definedName name="OSRRefD22_1x_0" localSheetId="87">'425'!$D$33:$D$37</definedName>
    <definedName name="OSRRefD22_1x_0" localSheetId="90">'430'!$D$29</definedName>
    <definedName name="OSRRefD22_1x_0" localSheetId="91">'433'!$D$35:$D$40</definedName>
    <definedName name="OSRRefD22_1x_0" localSheetId="92">'435'!$D$23</definedName>
    <definedName name="OSRRefD22_1x_0" localSheetId="93">'444'!$D$35:$D$40</definedName>
    <definedName name="OSRRefD22_1x_0" localSheetId="94">'450'!$D$34:$D$39</definedName>
    <definedName name="OSRRefD22_1x_0" localSheetId="88">'455'!$D$28:$D$29</definedName>
    <definedName name="OSRRefD22_1x_0" localSheetId="75">'491'!$D$41:$D$47</definedName>
    <definedName name="OSRRefD22_1x_0" localSheetId="89">'492'!$D$35:$D$41</definedName>
    <definedName name="OSRRefD22_1x_0" localSheetId="96">'501'!$D$31:$D$35</definedName>
    <definedName name="OSRRefD22_1x_0" localSheetId="39">'Div 2'!$D$31:$D$37</definedName>
    <definedName name="OSRRefD22_1x_0" localSheetId="47">'Div 3'!$D$146:$D$152</definedName>
    <definedName name="OSRRefD22_1x_0" localSheetId="95">'Div 5'!$D$31:$D$35</definedName>
    <definedName name="OSRRefD22_1x_0" localSheetId="63">'Div 6'!$D$60:$D$64</definedName>
    <definedName name="OSRRefD22_1x_0" localSheetId="2">Summary!$D$177:$D$183</definedName>
    <definedName name="OSRRefD22_20x_0" localSheetId="48">'300'!$D$196:$D$202</definedName>
    <definedName name="OSRRefD22_20x_0" localSheetId="49">'300 &amp; 317'!$D$220:$D$226</definedName>
    <definedName name="OSRRefD22_20x_0" localSheetId="50">'301'!$D$83:$D$84</definedName>
    <definedName name="OSRRefD22_20x_0" localSheetId="74">'310 &amp; 491'!$D$106</definedName>
    <definedName name="OSRRefD22_20x_0" localSheetId="75">'491'!$D$102</definedName>
    <definedName name="OSRRefD22_20x_0" localSheetId="47">'Div 3'!$D$201:$D$202</definedName>
    <definedName name="OSRRefD22_20x_0" localSheetId="2">Summary!$D$229:$D$233</definedName>
    <definedName name="OSRRefD22_21x_0" localSheetId="48">'300'!$D$204:$D$205</definedName>
    <definedName name="OSRRefD22_21x_0" localSheetId="49">'300 &amp; 317'!$D$228:$D$229</definedName>
    <definedName name="OSRRefD22_21x_0" localSheetId="50">'301'!$D$86</definedName>
    <definedName name="OSRRefD22_21x_0" localSheetId="74">'310 &amp; 491'!$D$108:$D$110</definedName>
    <definedName name="OSRRefD22_21x_0" localSheetId="47">'Div 3'!$D$204:$D$210</definedName>
    <definedName name="OSRRefD22_21x_0" localSheetId="2">Summary!$D$235:$D$236</definedName>
    <definedName name="OSRRefD22_22x_0" localSheetId="48">'300'!$D$207</definedName>
    <definedName name="OSRRefD22_22x_0" localSheetId="49">'300 &amp; 317'!$D$231</definedName>
    <definedName name="OSRRefD22_22x_0" localSheetId="74">'310 &amp; 491'!$D$112</definedName>
    <definedName name="OSRRefD22_22x_0" localSheetId="47">'Div 3'!$D$212:$D$213</definedName>
    <definedName name="OSRRefD22_22x_0" localSheetId="2">Summary!$D$238:$D$246</definedName>
    <definedName name="OSRRefD22_23x_0" localSheetId="48">'300'!$D$209:$D$211</definedName>
    <definedName name="OSRRefD22_23x_0" localSheetId="49">'300 &amp; 317'!$D$233:$D$235</definedName>
    <definedName name="OSRRefD22_23x_0" localSheetId="47">'Div 3'!$D$215</definedName>
    <definedName name="OSRRefD22_23x_0" localSheetId="2">Summary!$D$248:$D$249</definedName>
    <definedName name="OSRRefD22_24x_0" localSheetId="48">'300'!$D$213</definedName>
    <definedName name="OSRRefD22_24x_0" localSheetId="49">'300 &amp; 317'!$D$237</definedName>
    <definedName name="OSRRefD22_24x_0" localSheetId="47">'Div 3'!$D$217:$D$219</definedName>
    <definedName name="OSRRefD22_24x_0" localSheetId="2">Summary!$D$251</definedName>
    <definedName name="OSRRefD22_25x_0" localSheetId="47">'Div 3'!$D$221</definedName>
    <definedName name="OSRRefD22_25x_0" localSheetId="2">Summary!$D$253:$D$255</definedName>
    <definedName name="OSRRefD22_26x_0" localSheetId="2">Summary!$D$257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'203'!$D$35</definedName>
    <definedName name="OSRRefD22_2x_0" localSheetId="44">'204'!$D$36</definedName>
    <definedName name="OSRRefD22_2x_0" localSheetId="45">'205'!$D$31</definedName>
    <definedName name="OSRRefD22_2x_0" localSheetId="46">'206'!$D$33</definedName>
    <definedName name="OSRRefD22_2x_0" localSheetId="48">'300'!$D$149</definedName>
    <definedName name="OSRRefD22_2x_0" localSheetId="49">'300 &amp; 317'!$D$173</definedName>
    <definedName name="OSRRefD22_2x_0" localSheetId="50">'301'!$D$37</definedName>
    <definedName name="OSRRefD22_2x_0" localSheetId="51">'306'!$D$37</definedName>
    <definedName name="OSRRefD22_2x_0" localSheetId="53">'307'!$D$61</definedName>
    <definedName name="OSRRefD22_2x_0" localSheetId="55">'308'!$D$70</definedName>
    <definedName name="OSRRefD22_2x_0" localSheetId="67">'309'!$D$38</definedName>
    <definedName name="OSRRefD22_2x_0" localSheetId="66">'310'!$D$45</definedName>
    <definedName name="OSRRefD22_2x_0" localSheetId="74">'310 &amp; 491'!$D$55</definedName>
    <definedName name="OSRRefD22_2x_0" localSheetId="56">'311'!$D$69</definedName>
    <definedName name="OSRRefD22_2x_0" localSheetId="68">'313'!$D$40</definedName>
    <definedName name="OSRRefD22_2x_0" localSheetId="54">'314'!$D$57</definedName>
    <definedName name="OSRRefD22_2x_0" localSheetId="59">'315'!$D$82</definedName>
    <definedName name="OSRRefD22_2x_0" localSheetId="62">'316'!$D$43</definedName>
    <definedName name="OSRRefD22_2x_0" localSheetId="64">'317'!$D$66</definedName>
    <definedName name="OSRRefD22_2x_0" localSheetId="65">'320'!$D$38</definedName>
    <definedName name="OSRRefD22_2x_0" localSheetId="69">'321'!$D$35</definedName>
    <definedName name="OSRRefD22_2x_0" localSheetId="70">'322'!$D$37</definedName>
    <definedName name="OSRRefD22_2x_0" localSheetId="72">'325'!$D$38</definedName>
    <definedName name="OSRRefD22_2x_0" localSheetId="60">'326'!$D$64</definedName>
    <definedName name="OSRRefD22_2x_0" localSheetId="52">'330'!$D$73</definedName>
    <definedName name="OSRRefD22_2x_0" localSheetId="58">'331'!$D$86</definedName>
    <definedName name="OSRRefD22_2x_0" localSheetId="61">'332'!$D$50</definedName>
    <definedName name="OSRRefD22_2x_0" localSheetId="76">'405'!$D$36</definedName>
    <definedName name="OSRRefD22_2x_0" localSheetId="77">'406'!$D$35</definedName>
    <definedName name="OSRRefD22_2x_0" localSheetId="78">'411'!$D$37</definedName>
    <definedName name="OSRRefD22_2x_0" localSheetId="79">'412'!$D$39</definedName>
    <definedName name="OSRRefD22_2x_0" localSheetId="81">'413'!$D$37</definedName>
    <definedName name="OSRRefD22_2x_0" localSheetId="82">'414'!$D$36</definedName>
    <definedName name="OSRRefD22_2x_0" localSheetId="83">'415'!$D$38</definedName>
    <definedName name="OSRRefD22_2x_0" localSheetId="84">'418'!$D$39</definedName>
    <definedName name="OSRRefD22_2x_0" localSheetId="85">'423'!$D$31</definedName>
    <definedName name="OSRRefD22_2x_0" localSheetId="86">'424'!$D$27</definedName>
    <definedName name="OSRRefD22_2x_0" localSheetId="87">'425'!$D$39</definedName>
    <definedName name="OSRRefD22_2x_0" localSheetId="90">'430'!$D$31</definedName>
    <definedName name="OSRRefD22_2x_0" localSheetId="91">'433'!$D$42</definedName>
    <definedName name="OSRRefD22_2x_0" localSheetId="92">'435'!$D$25</definedName>
    <definedName name="OSRRefD22_2x_0" localSheetId="93">'444'!$D$42</definedName>
    <definedName name="OSRRefD22_2x_0" localSheetId="94">'450'!$D$41</definedName>
    <definedName name="OSRRefD22_2x_0" localSheetId="75">'491'!$D$49</definedName>
    <definedName name="OSRRefD22_2x_0" localSheetId="89">'492'!$D$43</definedName>
    <definedName name="OSRRefD22_2x_0" localSheetId="96">'501'!$D$37</definedName>
    <definedName name="OSRRefD22_2x_0" localSheetId="39">'Div 2'!$D$39</definedName>
    <definedName name="OSRRefD22_2x_0" localSheetId="47">'Div 3'!$D$154</definedName>
    <definedName name="OSRRefD22_2x_0" localSheetId="95">'Div 5'!$D$37</definedName>
    <definedName name="OSRRefD22_2x_0" localSheetId="63">'Div 6'!$D$66</definedName>
    <definedName name="OSRRefD22_2x_0" localSheetId="2">Summary!$D$185</definedName>
    <definedName name="OSRRefD22_3x_0" localSheetId="41">'201'!$D$35</definedName>
    <definedName name="OSRRefD22_3x_0" localSheetId="42">'202'!$D$36</definedName>
    <definedName name="OSRRefD22_3x_0" localSheetId="43">'203'!$D$37</definedName>
    <definedName name="OSRRefD22_3x_0" localSheetId="44">'204'!$D$38</definedName>
    <definedName name="OSRRefD22_3x_0" localSheetId="45">'205'!$D$33:$D$34</definedName>
    <definedName name="OSRRefD22_3x_0" localSheetId="46">'206'!$D$35</definedName>
    <definedName name="OSRRefD22_3x_0" localSheetId="48">'300'!$D$151</definedName>
    <definedName name="OSRRefD22_3x_0" localSheetId="49">'300 &amp; 317'!$D$175</definedName>
    <definedName name="OSRRefD22_3x_0" localSheetId="50">'301'!$D$39</definedName>
    <definedName name="OSRRefD22_3x_0" localSheetId="51">'306'!$D$39</definedName>
    <definedName name="OSRRefD22_3x_0" localSheetId="53">'307'!$D$63</definedName>
    <definedName name="OSRRefD22_3x_0" localSheetId="55">'308'!$D$72</definedName>
    <definedName name="OSRRefD22_3x_0" localSheetId="67">'309'!$D$40</definedName>
    <definedName name="OSRRefD22_3x_0" localSheetId="66">'310'!$D$47</definedName>
    <definedName name="OSRRefD22_3x_0" localSheetId="74">'310 &amp; 491'!$D$57</definedName>
    <definedName name="OSRRefD22_3x_0" localSheetId="56">'311'!$D$71</definedName>
    <definedName name="OSRRefD22_3x_0" localSheetId="68">'313'!$D$42</definedName>
    <definedName name="OSRRefD22_3x_0" localSheetId="54">'314'!$D$59</definedName>
    <definedName name="OSRRefD22_3x_0" localSheetId="59">'315'!$D$84</definedName>
    <definedName name="OSRRefD22_3x_0" localSheetId="62">'316'!$D$45</definedName>
    <definedName name="OSRRefD22_3x_0" localSheetId="64">'317'!$D$68</definedName>
    <definedName name="OSRRefD22_3x_0" localSheetId="65">'320'!$D$40:$D$41</definedName>
    <definedName name="OSRRefD22_3x_0" localSheetId="69">'321'!$D$37</definedName>
    <definedName name="OSRRefD22_3x_0" localSheetId="70">'322'!$D$39</definedName>
    <definedName name="OSRRefD22_3x_0" localSheetId="72">'325'!$D$40</definedName>
    <definedName name="OSRRefD22_3x_0" localSheetId="60">'326'!$D$66</definedName>
    <definedName name="OSRRefD22_3x_0" localSheetId="52">'330'!$D$75</definedName>
    <definedName name="OSRRefD22_3x_0" localSheetId="58">'331'!$D$88</definedName>
    <definedName name="OSRRefD22_3x_0" localSheetId="61">'332'!$D$52</definedName>
    <definedName name="OSRRefD22_3x_0" localSheetId="76">'405'!$D$38</definedName>
    <definedName name="OSRRefD22_3x_0" localSheetId="77">'406'!$D$37</definedName>
    <definedName name="OSRRefD22_3x_0" localSheetId="78">'411'!$D$39</definedName>
    <definedName name="OSRRefD22_3x_0" localSheetId="79">'412'!$D$41</definedName>
    <definedName name="OSRRefD22_3x_0" localSheetId="81">'413'!$D$39</definedName>
    <definedName name="OSRRefD22_3x_0" localSheetId="82">'414'!$D$38</definedName>
    <definedName name="OSRRefD22_3x_0" localSheetId="83">'415'!$D$40</definedName>
    <definedName name="OSRRefD22_3x_0" localSheetId="84">'418'!$D$41</definedName>
    <definedName name="OSRRefD22_3x_0" localSheetId="85">'423'!$D$33</definedName>
    <definedName name="OSRRefD22_3x_0" localSheetId="86">'424'!$D$29</definedName>
    <definedName name="OSRRefD22_3x_0" localSheetId="87">'425'!$D$41</definedName>
    <definedName name="OSRRefD22_3x_0" localSheetId="90">'430'!$D$33:$D$34</definedName>
    <definedName name="OSRRefD22_3x_0" localSheetId="91">'433'!$D$44</definedName>
    <definedName name="OSRRefD22_3x_0" localSheetId="92">'435'!$D$27</definedName>
    <definedName name="OSRRefD22_3x_0" localSheetId="93">'444'!$D$44</definedName>
    <definedName name="OSRRefD22_3x_0" localSheetId="94">'450'!$D$43</definedName>
    <definedName name="OSRRefD22_3x_0" localSheetId="75">'491'!$D$51</definedName>
    <definedName name="OSRRefD22_3x_0" localSheetId="89">'492'!$D$45</definedName>
    <definedName name="OSRRefD22_3x_0" localSheetId="96">'501'!$D$39</definedName>
    <definedName name="OSRRefD22_3x_0" localSheetId="39">'Div 2'!$D$41</definedName>
    <definedName name="OSRRefD22_3x_0" localSheetId="47">'Div 3'!$D$156</definedName>
    <definedName name="OSRRefD22_3x_0" localSheetId="95">'Div 5'!$D$39</definedName>
    <definedName name="OSRRefD22_3x_0" localSheetId="63">'Div 6'!$D$68</definedName>
    <definedName name="OSRRefD22_3x_0" localSheetId="2">Summary!$D$187</definedName>
    <definedName name="OSRRefD22_4x_0" localSheetId="41">'201'!$D$37</definedName>
    <definedName name="OSRRefD22_4x_0" localSheetId="42">'202'!$D$38</definedName>
    <definedName name="OSRRefD22_4x_0" localSheetId="43">'203'!$D$39</definedName>
    <definedName name="OSRRefD22_4x_0" localSheetId="44">'204'!$D$40:$D$42</definedName>
    <definedName name="OSRRefD22_4x_0" localSheetId="45">'205'!$D$36</definedName>
    <definedName name="OSRRefD22_4x_0" localSheetId="46">'206'!$D$37:$D$38</definedName>
    <definedName name="OSRRefD22_4x_0" localSheetId="48">'300'!$D$153</definedName>
    <definedName name="OSRRefD22_4x_0" localSheetId="49">'300 &amp; 317'!$D$177</definedName>
    <definedName name="OSRRefD22_4x_0" localSheetId="50">'301'!$D$41</definedName>
    <definedName name="OSRRefD22_4x_0" localSheetId="51">'306'!$D$41</definedName>
    <definedName name="OSRRefD22_4x_0" localSheetId="53">'307'!$D$65</definedName>
    <definedName name="OSRRefD22_4x_0" localSheetId="55">'308'!$D$74</definedName>
    <definedName name="OSRRefD22_4x_0" localSheetId="67">'309'!$D$42</definedName>
    <definedName name="OSRRefD22_4x_0" localSheetId="66">'310'!$D$49</definedName>
    <definedName name="OSRRefD22_4x_0" localSheetId="74">'310 &amp; 491'!$D$59</definedName>
    <definedName name="OSRRefD22_4x_0" localSheetId="56">'311'!$D$73</definedName>
    <definedName name="OSRRefD22_4x_0" localSheetId="68">'313'!$D$44</definedName>
    <definedName name="OSRRefD22_4x_0" localSheetId="59">'315'!$D$86</definedName>
    <definedName name="OSRRefD22_4x_0" localSheetId="62">'316'!$D$47</definedName>
    <definedName name="OSRRefD22_4x_0" localSheetId="64">'317'!$D$70</definedName>
    <definedName name="OSRRefD22_4x_0" localSheetId="65">'320'!$D$43</definedName>
    <definedName name="OSRRefD22_4x_0" localSheetId="69">'321'!$D$39</definedName>
    <definedName name="OSRRefD22_4x_0" localSheetId="70">'322'!$D$41</definedName>
    <definedName name="OSRRefD22_4x_0" localSheetId="72">'325'!$D$42:$D$43</definedName>
    <definedName name="OSRRefD22_4x_0" localSheetId="60">'326'!$D$68</definedName>
    <definedName name="OSRRefD22_4x_0" localSheetId="52">'330'!$D$77</definedName>
    <definedName name="OSRRefD22_4x_0" localSheetId="58">'331'!$D$90</definedName>
    <definedName name="OSRRefD22_4x_0" localSheetId="61">'332'!$D$54</definedName>
    <definedName name="OSRRefD22_4x_0" localSheetId="76">'405'!$D$40</definedName>
    <definedName name="OSRRefD22_4x_0" localSheetId="77">'406'!$D$39</definedName>
    <definedName name="OSRRefD22_4x_0" localSheetId="78">'411'!$D$41:$D$43</definedName>
    <definedName name="OSRRefD22_4x_0" localSheetId="79">'412'!$D$43</definedName>
    <definedName name="OSRRefD22_4x_0" localSheetId="81">'413'!$D$41</definedName>
    <definedName name="OSRRefD22_4x_0" localSheetId="82">'414'!$D$40</definedName>
    <definedName name="OSRRefD22_4x_0" localSheetId="83">'415'!$D$42</definedName>
    <definedName name="OSRRefD22_4x_0" localSheetId="84">'418'!$D$43</definedName>
    <definedName name="OSRRefD22_4x_0" localSheetId="85">'423'!$D$35</definedName>
    <definedName name="OSRRefD22_4x_0" localSheetId="86">'424'!$D$31</definedName>
    <definedName name="OSRRefD22_4x_0" localSheetId="87">'425'!$D$43</definedName>
    <definedName name="OSRRefD22_4x_0" localSheetId="90">'430'!$D$36</definedName>
    <definedName name="OSRRefD22_4x_0" localSheetId="91">'433'!$D$46</definedName>
    <definedName name="OSRRefD22_4x_0" localSheetId="93">'444'!$D$46</definedName>
    <definedName name="OSRRefD22_4x_0" localSheetId="94">'450'!$D$45</definedName>
    <definedName name="OSRRefD22_4x_0" localSheetId="75">'491'!$D$53</definedName>
    <definedName name="OSRRefD22_4x_0" localSheetId="89">'492'!$D$47</definedName>
    <definedName name="OSRRefD22_4x_0" localSheetId="96">'501'!$D$41</definedName>
    <definedName name="OSRRefD22_4x_0" localSheetId="39">'Div 2'!$D$43</definedName>
    <definedName name="OSRRefD22_4x_0" localSheetId="47">'Div 3'!$D$158</definedName>
    <definedName name="OSRRefD22_4x_0" localSheetId="95">'Div 5'!$D$41</definedName>
    <definedName name="OSRRefD22_4x_0" localSheetId="63">'Div 6'!$D$70</definedName>
    <definedName name="OSRRefD22_4x_0" localSheetId="2">Summary!$D$189</definedName>
    <definedName name="OSRRefD22_5x_0" localSheetId="41">'201'!$D$39</definedName>
    <definedName name="OSRRefD22_5x_0" localSheetId="42">'202'!$D$40</definedName>
    <definedName name="OSRRefD22_5x_0" localSheetId="43">'203'!$D$41</definedName>
    <definedName name="OSRRefD22_5x_0" localSheetId="44">'204'!$D$44</definedName>
    <definedName name="OSRRefD22_5x_0" localSheetId="45">'205'!$D$38</definedName>
    <definedName name="OSRRefD22_5x_0" localSheetId="46">'206'!$D$40</definedName>
    <definedName name="OSRRefD22_5x_0" localSheetId="48">'300'!$D$155:$D$156</definedName>
    <definedName name="OSRRefD22_5x_0" localSheetId="49">'300 &amp; 317'!$D$179:$D$180</definedName>
    <definedName name="OSRRefD22_5x_0" localSheetId="50">'301'!$D$43:$D$44</definedName>
    <definedName name="OSRRefD22_5x_0" localSheetId="53">'307'!$D$67</definedName>
    <definedName name="OSRRefD22_5x_0" localSheetId="55">'308'!$D$76</definedName>
    <definedName name="OSRRefD22_5x_0" localSheetId="67">'309'!$D$44</definedName>
    <definedName name="OSRRefD22_5x_0" localSheetId="66">'310'!$D$51:$D$52</definedName>
    <definedName name="OSRRefD22_5x_0" localSheetId="74">'310 &amp; 491'!$D$61:$D$63</definedName>
    <definedName name="OSRRefD22_5x_0" localSheetId="56">'311'!$D$75</definedName>
    <definedName name="OSRRefD22_5x_0" localSheetId="68">'313'!$D$46</definedName>
    <definedName name="OSRRefD22_5x_0" localSheetId="59">'315'!$D$88</definedName>
    <definedName name="OSRRefD22_5x_0" localSheetId="62">'316'!$D$49:$D$50</definedName>
    <definedName name="OSRRefD22_5x_0" localSheetId="64">'317'!$D$72:$D$73</definedName>
    <definedName name="OSRRefD22_5x_0" localSheetId="65">'320'!$D$45</definedName>
    <definedName name="OSRRefD22_5x_0" localSheetId="69">'321'!$D$41</definedName>
    <definedName name="OSRRefD22_5x_0" localSheetId="70">'322'!$D$43</definedName>
    <definedName name="OSRRefD22_5x_0" localSheetId="72">'325'!$D$45</definedName>
    <definedName name="OSRRefD22_5x_0" localSheetId="60">'326'!$D$70</definedName>
    <definedName name="OSRRefD22_5x_0" localSheetId="52">'330'!$D$79</definedName>
    <definedName name="OSRRefD22_5x_0" localSheetId="58">'331'!$D$92</definedName>
    <definedName name="OSRRefD22_5x_0" localSheetId="61">'332'!$D$56:$D$57</definedName>
    <definedName name="OSRRefD22_5x_0" localSheetId="76">'405'!$D$42:$D$43</definedName>
    <definedName name="OSRRefD22_5x_0" localSheetId="77">'406'!$D$41</definedName>
    <definedName name="OSRRefD22_5x_0" localSheetId="78">'411'!$D$45</definedName>
    <definedName name="OSRRefD22_5x_0" localSheetId="79">'412'!$D$45</definedName>
    <definedName name="OSRRefD22_5x_0" localSheetId="81">'413'!$D$43</definedName>
    <definedName name="OSRRefD22_5x_0" localSheetId="82">'414'!$D$42</definedName>
    <definedName name="OSRRefD22_5x_0" localSheetId="83">'415'!$D$44:$D$45</definedName>
    <definedName name="OSRRefD22_5x_0" localSheetId="84">'418'!$D$45:$D$46</definedName>
    <definedName name="OSRRefD22_5x_0" localSheetId="85">'423'!$D$37</definedName>
    <definedName name="OSRRefD22_5x_0" localSheetId="86">'424'!$D$33</definedName>
    <definedName name="OSRRefD22_5x_0" localSheetId="87">'425'!$D$45</definedName>
    <definedName name="OSRRefD22_5x_0" localSheetId="90">'430'!$D$38</definedName>
    <definedName name="OSRRefD22_5x_0" localSheetId="91">'433'!$D$48</definedName>
    <definedName name="OSRRefD22_5x_0" localSheetId="93">'444'!$D$48</definedName>
    <definedName name="OSRRefD22_5x_0" localSheetId="94">'450'!$D$47</definedName>
    <definedName name="OSRRefD22_5x_0" localSheetId="75">'491'!$D$55:$D$57</definedName>
    <definedName name="OSRRefD22_5x_0" localSheetId="89">'492'!$D$49</definedName>
    <definedName name="OSRRefD22_5x_0" localSheetId="96">'501'!$D$43</definedName>
    <definedName name="OSRRefD22_5x_0" localSheetId="39">'Div 2'!$D$45</definedName>
    <definedName name="OSRRefD22_5x_0" localSheetId="47">'Div 3'!$D$160:$D$161</definedName>
    <definedName name="OSRRefD22_5x_0" localSheetId="95">'Div 5'!$D$43</definedName>
    <definedName name="OSRRefD22_5x_0" localSheetId="63">'Div 6'!$D$72:$D$73</definedName>
    <definedName name="OSRRefD22_5x_0" localSheetId="2">Summary!$D$191:$D$193</definedName>
    <definedName name="OSRRefD22_6x_0" localSheetId="41">'201'!$D$41</definedName>
    <definedName name="OSRRefD22_6x_0" localSheetId="42">'202'!$D$42</definedName>
    <definedName name="OSRRefD22_6x_0" localSheetId="43">'203'!$D$43</definedName>
    <definedName name="OSRRefD22_6x_0" localSheetId="44">'204'!$D$46:$D$47</definedName>
    <definedName name="OSRRefD22_6x_0" localSheetId="45">'205'!$D$40</definedName>
    <definedName name="OSRRefD22_6x_0" localSheetId="48">'300'!$D$158:$D$159</definedName>
    <definedName name="OSRRefD22_6x_0" localSheetId="49">'300 &amp; 317'!$D$182:$D$183</definedName>
    <definedName name="OSRRefD22_6x_0" localSheetId="50">'301'!$D$46:$D$47</definedName>
    <definedName name="OSRRefD22_6x_0" localSheetId="53">'307'!$D$69:$D$70</definedName>
    <definedName name="OSRRefD22_6x_0" localSheetId="55">'308'!$D$78</definedName>
    <definedName name="OSRRefD22_6x_0" localSheetId="67">'309'!$D$46</definedName>
    <definedName name="OSRRefD22_6x_0" localSheetId="66">'310'!$D$54</definedName>
    <definedName name="OSRRefD22_6x_0" localSheetId="74">'310 &amp; 491'!$D$65</definedName>
    <definedName name="OSRRefD22_6x_0" localSheetId="56">'311'!$D$77</definedName>
    <definedName name="OSRRefD22_6x_0" localSheetId="68">'313'!$D$48</definedName>
    <definedName name="OSRRefD22_6x_0" localSheetId="59">'315'!$D$90</definedName>
    <definedName name="OSRRefD22_6x_0" localSheetId="62">'316'!$D$52</definedName>
    <definedName name="OSRRefD22_6x_0" localSheetId="64">'317'!$D$75</definedName>
    <definedName name="OSRRefD22_6x_0" localSheetId="69">'321'!$D$43</definedName>
    <definedName name="OSRRefD22_6x_0" localSheetId="70">'322'!$D$45</definedName>
    <definedName name="OSRRefD22_6x_0" localSheetId="72">'325'!$D$47</definedName>
    <definedName name="OSRRefD22_6x_0" localSheetId="60">'326'!$D$72</definedName>
    <definedName name="OSRRefD22_6x_0" localSheetId="52">'330'!$D$81:$D$82</definedName>
    <definedName name="OSRRefD22_6x_0" localSheetId="58">'331'!$D$94</definedName>
    <definedName name="OSRRefD22_6x_0" localSheetId="61">'332'!$D$59</definedName>
    <definedName name="OSRRefD22_6x_0" localSheetId="76">'405'!$D$45</definedName>
    <definedName name="OSRRefD22_6x_0" localSheetId="77">'406'!$D$43</definedName>
    <definedName name="OSRRefD22_6x_0" localSheetId="78">'411'!$D$47</definedName>
    <definedName name="OSRRefD22_6x_0" localSheetId="79">'412'!$D$47</definedName>
    <definedName name="OSRRefD22_6x_0" localSheetId="81">'413'!$D$45</definedName>
    <definedName name="OSRRefD22_6x_0" localSheetId="82">'414'!$D$44</definedName>
    <definedName name="OSRRefD22_6x_0" localSheetId="83">'415'!$D$47</definedName>
    <definedName name="OSRRefD22_6x_0" localSheetId="84">'418'!$D$48</definedName>
    <definedName name="OSRRefD22_6x_0" localSheetId="86">'424'!$D$35</definedName>
    <definedName name="OSRRefD22_6x_0" localSheetId="87">'425'!$D$47</definedName>
    <definedName name="OSRRefD22_6x_0" localSheetId="91">'433'!$D$50</definedName>
    <definedName name="OSRRefD22_6x_0" localSheetId="93">'444'!$D$50</definedName>
    <definedName name="OSRRefD22_6x_0" localSheetId="94">'450'!$D$49</definedName>
    <definedName name="OSRRefD22_6x_0" localSheetId="75">'491'!$D$59</definedName>
    <definedName name="OSRRefD22_6x_0" localSheetId="89">'492'!$D$51</definedName>
    <definedName name="OSRRefD22_6x_0" localSheetId="96">'501'!$D$45</definedName>
    <definedName name="OSRRefD22_6x_0" localSheetId="39">'Div 2'!$D$47</definedName>
    <definedName name="OSRRefD22_6x_0" localSheetId="47">'Div 3'!$D$163:$D$164</definedName>
    <definedName name="OSRRefD22_6x_0" localSheetId="95">'Div 5'!$D$45</definedName>
    <definedName name="OSRRefD22_6x_0" localSheetId="63">'Div 6'!$D$75</definedName>
    <definedName name="OSRRefD22_6x_0" localSheetId="2">Summary!$D$195:$D$196</definedName>
    <definedName name="OSRRefD22_7x_0" localSheetId="41">'201'!$D$43</definedName>
    <definedName name="OSRRefD22_7x_0" localSheetId="42">'202'!$D$44:$D$45</definedName>
    <definedName name="OSRRefD22_7x_0" localSheetId="43">'203'!$D$45</definedName>
    <definedName name="OSRRefD22_7x_0" localSheetId="44">'204'!$D$49</definedName>
    <definedName name="OSRRefD22_7x_0" localSheetId="48">'300'!$D$161</definedName>
    <definedName name="OSRRefD22_7x_0" localSheetId="49">'300 &amp; 317'!$D$185</definedName>
    <definedName name="OSRRefD22_7x_0" localSheetId="50">'301'!$D$49</definedName>
    <definedName name="OSRRefD22_7x_0" localSheetId="53">'307'!$D$72:$D$73</definedName>
    <definedName name="OSRRefD22_7x_0" localSheetId="55">'308'!$D$80</definedName>
    <definedName name="OSRRefD22_7x_0" localSheetId="67">'309'!$D$48</definedName>
    <definedName name="OSRRefD22_7x_0" localSheetId="66">'310'!$D$56</definedName>
    <definedName name="OSRRefD22_7x_0" localSheetId="74">'310 &amp; 491'!$D$67</definedName>
    <definedName name="OSRRefD22_7x_0" localSheetId="56">'311'!$D$79</definedName>
    <definedName name="OSRRefD22_7x_0" localSheetId="68">'313'!$D$50</definedName>
    <definedName name="OSRRefD22_7x_0" localSheetId="59">'315'!$D$92:$D$93</definedName>
    <definedName name="OSRRefD22_7x_0" localSheetId="62">'316'!$D$54</definedName>
    <definedName name="OSRRefD22_7x_0" localSheetId="64">'317'!$D$77</definedName>
    <definedName name="OSRRefD22_7x_0" localSheetId="69">'321'!$D$45:$D$46</definedName>
    <definedName name="OSRRefD22_7x_0" localSheetId="70">'322'!$D$47</definedName>
    <definedName name="OSRRefD22_7x_0" localSheetId="72">'325'!$D$49</definedName>
    <definedName name="OSRRefD22_7x_0" localSheetId="60">'326'!$D$74</definedName>
    <definedName name="OSRRefD22_7x_0" localSheetId="52">'330'!$D$84:$D$85</definedName>
    <definedName name="OSRRefD22_7x_0" localSheetId="58">'331'!$D$96</definedName>
    <definedName name="OSRRefD22_7x_0" localSheetId="61">'332'!$D$61</definedName>
    <definedName name="OSRRefD22_7x_0" localSheetId="76">'405'!$D$47</definedName>
    <definedName name="OSRRefD22_7x_0" localSheetId="77">'406'!$D$45:$D$46</definedName>
    <definedName name="OSRRefD22_7x_0" localSheetId="78">'411'!$D$49</definedName>
    <definedName name="OSRRefD22_7x_0" localSheetId="79">'412'!$D$49</definedName>
    <definedName name="OSRRefD22_7x_0" localSheetId="81">'413'!$D$47</definedName>
    <definedName name="OSRRefD22_7x_0" localSheetId="82">'414'!$D$46</definedName>
    <definedName name="OSRRefD22_7x_0" localSheetId="83">'415'!$D$49</definedName>
    <definedName name="OSRRefD22_7x_0" localSheetId="84">'418'!$D$50</definedName>
    <definedName name="OSRRefD22_7x_0" localSheetId="86">'424'!$D$37</definedName>
    <definedName name="OSRRefD22_7x_0" localSheetId="87">'425'!$D$49:$D$50</definedName>
    <definedName name="OSRRefD22_7x_0" localSheetId="91">'433'!$D$52</definedName>
    <definedName name="OSRRefD22_7x_0" localSheetId="93">'444'!$D$52</definedName>
    <definedName name="OSRRefD22_7x_0" localSheetId="94">'450'!$D$51</definedName>
    <definedName name="OSRRefD22_7x_0" localSheetId="75">'491'!$D$61</definedName>
    <definedName name="OSRRefD22_7x_0" localSheetId="89">'492'!$D$53</definedName>
    <definedName name="OSRRefD22_7x_0" localSheetId="39">'Div 2'!$D$49</definedName>
    <definedName name="OSRRefD22_7x_0" localSheetId="47">'Div 3'!$D$166</definedName>
    <definedName name="OSRRefD22_7x_0" localSheetId="63">'Div 6'!$D$77</definedName>
    <definedName name="OSRRefD22_7x_0" localSheetId="2">Summary!$D$198</definedName>
    <definedName name="OSRRefD22_8x_0" localSheetId="41">'201'!$D$45:$D$46</definedName>
    <definedName name="OSRRefD22_8x_0" localSheetId="42">'202'!$D$47</definedName>
    <definedName name="OSRRefD22_8x_0" localSheetId="43">'203'!$D$47</definedName>
    <definedName name="OSRRefD22_8x_0" localSheetId="48">'300'!$D$163</definedName>
    <definedName name="OSRRefD22_8x_0" localSheetId="49">'300 &amp; 317'!$D$187</definedName>
    <definedName name="OSRRefD22_8x_0" localSheetId="50">'301'!$D$51</definedName>
    <definedName name="OSRRefD22_8x_0" localSheetId="53">'307'!$D$75</definedName>
    <definedName name="OSRRefD22_8x_0" localSheetId="55">'308'!$D$82</definedName>
    <definedName name="OSRRefD22_8x_0" localSheetId="67">'309'!$D$50:$D$51</definedName>
    <definedName name="OSRRefD22_8x_0" localSheetId="66">'310'!$D$58</definedName>
    <definedName name="OSRRefD22_8x_0" localSheetId="74">'310 &amp; 491'!$D$69</definedName>
    <definedName name="OSRRefD22_8x_0" localSheetId="56">'311'!$D$81</definedName>
    <definedName name="OSRRefD22_8x_0" localSheetId="68">'313'!$D$52</definedName>
    <definedName name="OSRRefD22_8x_0" localSheetId="59">'315'!$D$95:$D$97</definedName>
    <definedName name="OSRRefD22_8x_0" localSheetId="62">'316'!$D$56:$D$60</definedName>
    <definedName name="OSRRefD22_8x_0" localSheetId="64">'317'!$D$79:$D$81</definedName>
    <definedName name="OSRRefD22_8x_0" localSheetId="69">'321'!$D$48:$D$50</definedName>
    <definedName name="OSRRefD22_8x_0" localSheetId="70">'322'!$D$49:$D$51</definedName>
    <definedName name="OSRRefD22_8x_0" localSheetId="72">'325'!$D$51</definedName>
    <definedName name="OSRRefD22_8x_0" localSheetId="60">'326'!$D$76</definedName>
    <definedName name="OSRRefD22_8x_0" localSheetId="52">'330'!$D$87</definedName>
    <definedName name="OSRRefD22_8x_0" localSheetId="58">'331'!$D$98</definedName>
    <definedName name="OSRRefD22_8x_0" localSheetId="61">'332'!$D$63:$D$67</definedName>
    <definedName name="OSRRefD22_8x_0" localSheetId="76">'405'!$D$49</definedName>
    <definedName name="OSRRefD22_8x_0" localSheetId="77">'406'!$D$48</definedName>
    <definedName name="OSRRefD22_8x_0" localSheetId="78">'411'!$D$51:$D$52</definedName>
    <definedName name="OSRRefD22_8x_0" localSheetId="79">'412'!$D$51</definedName>
    <definedName name="OSRRefD22_8x_0" localSheetId="81">'413'!$D$49:$D$50</definedName>
    <definedName name="OSRRefD22_8x_0" localSheetId="82">'414'!$D$48</definedName>
    <definedName name="OSRRefD22_8x_0" localSheetId="83">'415'!$D$51</definedName>
    <definedName name="OSRRefD22_8x_0" localSheetId="84">'418'!$D$52</definedName>
    <definedName name="OSRRefD22_8x_0" localSheetId="87">'425'!$D$52:$D$53</definedName>
    <definedName name="OSRRefD22_8x_0" localSheetId="91">'433'!$D$54:$D$56</definedName>
    <definedName name="OSRRefD22_8x_0" localSheetId="93">'444'!$D$54</definedName>
    <definedName name="OSRRefD22_8x_0" localSheetId="94">'450'!$D$53:$D$55</definedName>
    <definedName name="OSRRefD22_8x_0" localSheetId="75">'491'!$D$63</definedName>
    <definedName name="OSRRefD22_8x_0" localSheetId="89">'492'!$D$55</definedName>
    <definedName name="OSRRefD22_8x_0" localSheetId="39">'Div 2'!$D$51</definedName>
    <definedName name="OSRRefD22_8x_0" localSheetId="47">'Div 3'!$D$168</definedName>
    <definedName name="OSRRefD22_8x_0" localSheetId="63">'Div 6'!$D$79:$D$81</definedName>
    <definedName name="OSRRefD22_8x_0" localSheetId="2">Summary!$D$200</definedName>
    <definedName name="OSRRefD22_9x_0" localSheetId="41">'201'!$D$48:$D$49</definedName>
    <definedName name="OSRRefD22_9x_0" localSheetId="42">'202'!$D$49:$D$50</definedName>
    <definedName name="OSRRefD22_9x_0" localSheetId="43">'203'!$D$49:$D$50</definedName>
    <definedName name="OSRRefD22_9x_0" localSheetId="48">'300'!$D$165</definedName>
    <definedName name="OSRRefD22_9x_0" localSheetId="49">'300 &amp; 317'!$D$189</definedName>
    <definedName name="OSRRefD22_9x_0" localSheetId="50">'301'!$D$53</definedName>
    <definedName name="OSRRefD22_9x_0" localSheetId="55">'308'!$D$84</definedName>
    <definedName name="OSRRefD22_9x_0" localSheetId="67">'309'!$D$53:$D$54</definedName>
    <definedName name="OSRRefD22_9x_0" localSheetId="66">'310'!$D$60</definedName>
    <definedName name="OSRRefD22_9x_0" localSheetId="74">'310 &amp; 491'!$D$71</definedName>
    <definedName name="OSRRefD22_9x_0" localSheetId="56">'311'!$D$83</definedName>
    <definedName name="OSRRefD22_9x_0" localSheetId="68">'313'!$D$54</definedName>
    <definedName name="OSRRefD22_9x_0" localSheetId="59">'315'!$D$99</definedName>
    <definedName name="OSRRefD22_9x_0" localSheetId="62">'316'!$D$62</definedName>
    <definedName name="OSRRefD22_9x_0" localSheetId="64">'317'!$D$83</definedName>
    <definedName name="OSRRefD22_9x_0" localSheetId="69">'321'!$D$52</definedName>
    <definedName name="OSRRefD22_9x_0" localSheetId="70">'322'!$D$53:$D$55</definedName>
    <definedName name="OSRRefD22_9x_0" localSheetId="72">'325'!$D$53:$D$55</definedName>
    <definedName name="OSRRefD22_9x_0" localSheetId="60">'326'!$D$78</definedName>
    <definedName name="OSRRefD22_9x_0" localSheetId="58">'331'!$D$100</definedName>
    <definedName name="OSRRefD22_9x_0" localSheetId="61">'332'!$D$69</definedName>
    <definedName name="OSRRefD22_9x_0" localSheetId="76">'405'!$D$51:$D$52</definedName>
    <definedName name="OSRRefD22_9x_0" localSheetId="77">'406'!$D$50</definedName>
    <definedName name="OSRRefD22_9x_0" localSheetId="78">'411'!$D$54:$D$58</definedName>
    <definedName name="OSRRefD22_9x_0" localSheetId="79">'412'!$D$53:$D$54</definedName>
    <definedName name="OSRRefD22_9x_0" localSheetId="81">'413'!$D$52:$D$53</definedName>
    <definedName name="OSRRefD22_9x_0" localSheetId="82">'414'!$D$50</definedName>
    <definedName name="OSRRefD22_9x_0" localSheetId="83">'415'!$D$53</definedName>
    <definedName name="OSRRefD22_9x_0" localSheetId="84">'418'!$D$54:$D$55</definedName>
    <definedName name="OSRRefD22_9x_0" localSheetId="87">'425'!$D$55</definedName>
    <definedName name="OSRRefD22_9x_0" localSheetId="91">'433'!$D$58:$D$63</definedName>
    <definedName name="OSRRefD22_9x_0" localSheetId="93">'444'!$D$56:$D$58</definedName>
    <definedName name="OSRRefD22_9x_0" localSheetId="94">'450'!$D$57:$D$60</definedName>
    <definedName name="OSRRefD22_9x_0" localSheetId="75">'491'!$D$65</definedName>
    <definedName name="OSRRefD22_9x_0" localSheetId="89">'492'!$D$57</definedName>
    <definedName name="OSRRefD22_9x_0" localSheetId="39">'Div 2'!$D$53</definedName>
    <definedName name="OSRRefD22_9x_0" localSheetId="47">'Div 3'!$D$170</definedName>
    <definedName name="OSRRefD22_9x_0" localSheetId="63">'Div 6'!$D$83</definedName>
    <definedName name="OSRRefD22_9x_0" localSheetId="2">Summary!$D$202</definedName>
    <definedName name="OSRRefD22x_0" localSheetId="40">'200'!$D$20,'200'!$D$22,'200'!$D$24</definedName>
    <definedName name="OSRRefD22x_0" localSheetId="41">'201'!$D$20:$D$27,'201'!$D$29:$D$31,'201'!$D$33,'201'!$D$35,'201'!$D$37,'201'!$D$39,'201'!$D$41,'201'!$D$43,'201'!$D$45:$D$46,'201'!$D$48:$D$49,'201'!$D$51,'201'!$D$53:$D$55,'201'!$D$57,'201'!$D$59</definedName>
    <definedName name="OSRRefD22x_0" localSheetId="42">'202'!$D$20:$D$27,'202'!$D$29:$D$32,'202'!$D$34,'202'!$D$36,'202'!$D$38,'202'!$D$40,'202'!$D$42,'202'!$D$44:$D$45,'202'!$D$47,'202'!$D$49:$D$50,'202'!$D$52,'202'!$D$54</definedName>
    <definedName name="OSRRefD22x_0" localSheetId="43">'203'!$D$20:$D$28,'203'!$D$30:$D$33,'203'!$D$35,'203'!$D$37,'203'!$D$39,'203'!$D$41,'203'!$D$43,'203'!$D$45,'203'!$D$47,'203'!$D$49:$D$50,'203'!$D$52:$D$55,'203'!$D$57,'203'!$D$59,'203'!$D$61</definedName>
    <definedName name="OSRRefD22x_0" localSheetId="44">'204'!$D$20:$D$28,'204'!$D$30:$D$34,'204'!$D$36,'204'!$D$38,'204'!$D$40:$D$42,'204'!$D$44,'204'!$D$46:$D$47,'204'!$D$49</definedName>
    <definedName name="OSRRefD22x_0" localSheetId="45">'205'!$D$20:$D$27,'205'!$D$29,'205'!$D$31,'205'!$D$33:$D$34,'205'!$D$36,'205'!$D$38,'205'!$D$40</definedName>
    <definedName name="OSRRefD22x_0" localSheetId="46">'206'!$D$20:$D$26,'206'!$D$28:$D$31,'206'!$D$33,'206'!$D$35,'206'!$D$37:$D$38,'206'!$D$40</definedName>
    <definedName name="OSRRefD22x_0" localSheetId="48">'300'!$D$130:$D$139,'300'!$D$141:$D$147,'300'!$D$149,'300'!$D$151,'300'!$D$153,'300'!$D$155:$D$156,'300'!$D$158:$D$159,'300'!$D$161,'300'!$D$163,'300'!$D$165,'300'!$D$167:$D$168,'300'!$D$170,'300'!$D$172,'300'!$D$174,'300'!$D$176,'300'!$D$178,'300'!$D$180:$D$182,'300'!$D$184:$D$186,'300'!$D$188:$D$191,'300'!$D$193:$D$194,'300'!$D$196:$D$202,'300'!$D$204:$D$205,'300'!$D$207,'300'!$D$209:$D$211,'300'!$D$213</definedName>
    <definedName name="OSRRefD22x_0" localSheetId="49">'300 &amp; 317'!$D$154:$D$163,'300 &amp; 317'!$D$165:$D$171,'300 &amp; 317'!$D$173,'300 &amp; 317'!$D$175,'300 &amp; 317'!$D$177,'300 &amp; 317'!$D$179:$D$180,'300 &amp; 317'!$D$182:$D$183,'300 &amp; 317'!$D$185,'300 &amp; 317'!$D$187,'300 &amp; 317'!$D$189,'300 &amp; 317'!$D$191:$D$192,'300 &amp; 317'!$D$194,'300 &amp; 317'!$D$196,'300 &amp; 317'!$D$198,'300 &amp; 317'!$D$200,'300 &amp; 317'!$D$202,'300 &amp; 317'!$D$204:$D$206,'300 &amp; 317'!$D$208:$D$210,'300 &amp; 317'!$D$212:$D$215,'300 &amp; 317'!$D$217:$D$218,'300 &amp; 317'!$D$220:$D$226,'300 &amp; 317'!$D$228:$D$229,'300 &amp; 317'!$D$231,'300 &amp; 317'!$D$233:$D$235,'300 &amp; 317'!$D$237</definedName>
    <definedName name="OSRRefD22x_0" localSheetId="50">'301'!$D$20:$D$28,'301'!$D$30:$D$35,'301'!$D$37,'301'!$D$39,'301'!$D$41,'301'!$D$43:$D$44,'301'!$D$46:$D$47,'301'!$D$49,'301'!$D$51,'301'!$D$53,'301'!$D$55,'301'!$D$57,'301'!$D$59,'301'!$D$61,'301'!$D$63:$D$65,'301'!$D$67:$D$69,'301'!$D$71,'301'!$D$73:$D$77,'301'!$D$79,'301'!$D$81,'301'!$D$83:$D$84,'301'!$D$86</definedName>
    <definedName name="OSRRefD22x_0" localSheetId="51">'306'!$D$20:$D$28,'306'!$D$30:$D$35,'306'!$D$37,'306'!$D$39,'306'!$D$41</definedName>
    <definedName name="OSRRefD22x_0" localSheetId="53">'307'!$D$48:$D$55,'307'!$D$57:$D$59,'307'!$D$61,'307'!$D$63,'307'!$D$65,'307'!$D$67,'307'!$D$69:$D$70,'307'!$D$72:$D$73,'307'!$D$75</definedName>
    <definedName name="OSRRefD22x_0" localSheetId="55">'308'!$D$53:$D$61,'308'!$D$63:$D$68,'308'!$D$70,'308'!$D$72,'308'!$D$74,'308'!$D$76,'308'!$D$78,'308'!$D$80,'308'!$D$82,'308'!$D$84,'308'!$D$86,'308'!$D$88:$D$89,'308'!$D$91:$D$92,'308'!$D$94,'308'!$D$96</definedName>
    <definedName name="OSRRefD22x_0" localSheetId="67">'309'!$D$24:$D$31,'309'!$D$33:$D$36,'309'!$D$38,'309'!$D$40,'309'!$D$42,'309'!$D$44,'309'!$D$46,'309'!$D$48,'309'!$D$50:$D$51,'309'!$D$53:$D$54,'309'!$D$56</definedName>
    <definedName name="OSRRefD22x_0" localSheetId="66">'310'!$D$30:$D$37,'310'!$D$39:$D$43,'310'!$D$45,'310'!$D$47,'310'!$D$49,'310'!$D$51:$D$52,'310'!$D$54,'310'!$D$56,'310'!$D$58,'310'!$D$60,'310'!$D$62,'310'!$D$64,'310'!$D$66,'310'!$D$68,'310'!$D$70:$D$73,'310'!$D$75,'310'!$D$77:$D$80,'310'!$D$82,'310'!$D$84</definedName>
    <definedName name="OSRRefD22x_0" localSheetId="74">'310 &amp; 491'!$D$37:$D$45,'310 &amp; 491'!$D$47:$D$53,'310 &amp; 491'!$D$55,'310 &amp; 491'!$D$57,'310 &amp; 491'!$D$59,'310 &amp; 491'!$D$61:$D$63,'310 &amp; 491'!$D$65,'310 &amp; 491'!$D$67,'310 &amp; 491'!$D$69,'310 &amp; 491'!$D$71,'310 &amp; 491'!$D$73,'310 &amp; 491'!$D$75,'310 &amp; 491'!$D$77,'310 &amp; 491'!$D$79,'310 &amp; 491'!$D$81:$D$82,'310 &amp; 491'!$D$84:$D$85,'310 &amp; 491'!$D$87:$D$91,'310 &amp; 491'!$D$93,'310 &amp; 491'!$D$95:$D$102,'310 &amp; 491'!$D$104,'310 &amp; 491'!$D$106,'310 &amp; 491'!$D$108:$D$110,'310 &amp; 491'!$D$112</definedName>
    <definedName name="OSRRefD22x_0" localSheetId="56">'311'!$D$52:$D$60,'311'!$D$62:$D$67,'311'!$D$69,'311'!$D$71,'311'!$D$73,'311'!$D$75,'311'!$D$77,'311'!$D$79,'311'!$D$81,'311'!$D$83,'311'!$D$85,'311'!$D$87:$D$88,'311'!$D$90:$D$91,'311'!$D$93,'311'!$D$95</definedName>
    <definedName name="OSRRefD22x_0" localSheetId="68">'313'!$D$27:$D$34,'313'!$D$36:$D$38,'313'!$D$40,'313'!$D$42,'313'!$D$44,'313'!$D$46,'313'!$D$48,'313'!$D$50,'313'!$D$52,'313'!$D$54,'313'!$D$56:$D$58,'313'!$D$60</definedName>
    <definedName name="OSRRefD22x_0" localSheetId="54">'314'!$D$46:$D$52,'314'!$D$54:$D$55,'314'!$D$57,'314'!$D$59</definedName>
    <definedName name="OSRRefD22x_0" localSheetId="59">'315'!$D$68:$D$75,'315'!$D$77:$D$80,'315'!$D$82,'315'!$D$84,'315'!$D$86,'315'!$D$88,'315'!$D$90,'315'!$D$92:$D$93,'315'!$D$95:$D$97,'315'!$D$99,'315'!$D$101</definedName>
    <definedName name="OSRRefD22x_0" localSheetId="62">'316'!$D$30:$D$37,'316'!$D$39:$D$41,'316'!$D$43,'316'!$D$45,'316'!$D$47,'316'!$D$49:$D$50,'316'!$D$52,'316'!$D$54,'316'!$D$56:$D$60,'316'!$D$62</definedName>
    <definedName name="OSRRefD22x_0" localSheetId="64">'317'!$D$50:$D$58,'317'!$D$60:$D$64,'317'!$D$66,'317'!$D$68,'317'!$D$70,'317'!$D$72:$D$73,'317'!$D$75,'317'!$D$77,'317'!$D$79:$D$81,'317'!$D$83</definedName>
    <definedName name="OSRRefD22x_0" localSheetId="65">'320'!$D$27:$D$33,'320'!$D$35:$D$36,'320'!$D$38,'320'!$D$40:$D$41,'320'!$D$43,'320'!$D$45</definedName>
    <definedName name="OSRRefD22x_0" localSheetId="69">'321'!$D$24:$D$28,'321'!$D$30:$D$33,'321'!$D$35,'321'!$D$37,'321'!$D$39,'321'!$D$41,'321'!$D$43,'321'!$D$45:$D$46,'321'!$D$48:$D$50,'321'!$D$52,'321'!$D$54</definedName>
    <definedName name="OSRRefD22x_0" localSheetId="70">'322'!$D$24:$D$31,'322'!$D$33:$D$35,'322'!$D$37,'322'!$D$39,'322'!$D$41,'322'!$D$43,'322'!$D$45,'322'!$D$47,'322'!$D$49:$D$51,'322'!$D$53:$D$55,'322'!$D$57,'322'!$D$59</definedName>
    <definedName name="OSRRefD22x_0" localSheetId="72">'325'!$D$24:$D$31,'325'!$D$33:$D$36,'325'!$D$38,'325'!$D$40,'325'!$D$42:$D$43,'325'!$D$45,'325'!$D$47,'325'!$D$49,'325'!$D$51,'325'!$D$53:$D$55,'325'!$D$57,'325'!$D$59,'325'!$D$61,'325'!$D$63</definedName>
    <definedName name="OSRRefD22x_0" localSheetId="60">'326'!$D$50:$D$57,'326'!$D$59:$D$62,'326'!$D$64,'326'!$D$66,'326'!$D$68,'326'!$D$70,'326'!$D$72,'326'!$D$74,'326'!$D$76,'326'!$D$78,'326'!$D$80:$D$82,'326'!$D$84,'326'!$D$86:$D$87,'326'!$D$89,'326'!$D$91,'326'!$D$93</definedName>
    <definedName name="OSRRefD22x_0" localSheetId="73">'327'!$D$22</definedName>
    <definedName name="OSRRefD22x_0" localSheetId="52">'330'!$D$60:$D$67,'330'!$D$69:$D$71,'330'!$D$73,'330'!$D$75,'330'!$D$77,'330'!$D$79,'330'!$D$81:$D$82,'330'!$D$84:$D$85,'330'!$D$87</definedName>
    <definedName name="OSRRefD22x_0" localSheetId="58">'331'!$D$72:$D$79,'331'!$D$81:$D$84,'331'!$D$86,'331'!$D$88,'331'!$D$90,'331'!$D$92,'331'!$D$94,'331'!$D$96,'331'!$D$98,'331'!$D$100,'331'!$D$102,'331'!$D$104,'331'!$D$106:$D$107,'331'!$D$109:$D$111,'331'!$D$113,'331'!$D$115:$D$118,'331'!$D$120,'331'!$D$122,'331'!$D$124,'331'!$D$126</definedName>
    <definedName name="OSRRefD22x_0" localSheetId="61">'332'!$D$37:$D$44,'332'!$D$46:$D$48,'332'!$D$50,'332'!$D$52,'332'!$D$54,'332'!$D$56:$D$57,'332'!$D$59,'332'!$D$61,'332'!$D$63:$D$67,'332'!$D$69</definedName>
    <definedName name="OSRRefD22x_0" localSheetId="76">'405'!$D$24:$D$31,'405'!$D$33:$D$34,'405'!$D$36,'405'!$D$38,'405'!$D$40,'405'!$D$42:$D$43,'405'!$D$45,'405'!$D$47,'405'!$D$49,'405'!$D$51:$D$52,'405'!$D$54,'405'!$D$56:$D$58,'405'!$D$60:$D$64,'405'!$D$66,'405'!$D$68,'405'!$D$70</definedName>
    <definedName name="OSRRefD22x_0" localSheetId="77">'406'!$D$22:$D$29,'406'!$D$31:$D$33,'406'!$D$35,'406'!$D$37,'406'!$D$39,'406'!$D$41,'406'!$D$43,'406'!$D$45:$D$46,'406'!$D$48,'406'!$D$50</definedName>
    <definedName name="OSRRefD22x_0" localSheetId="78">'411'!$D$20:$D$28,'411'!$D$30:$D$35,'411'!$D$37,'411'!$D$39,'411'!$D$41:$D$43,'411'!$D$45,'411'!$D$47,'411'!$D$49,'411'!$D$51:$D$52,'411'!$D$54:$D$58,'411'!$D$60:$D$63,'411'!$D$65,'411'!$D$67,'411'!$D$69:$D$71,'411'!$D$73</definedName>
    <definedName name="OSRRefD22x_0" localSheetId="79">'412'!$D$23:$D$30,'412'!$D$32:$D$37,'412'!$D$39,'412'!$D$41,'412'!$D$43,'412'!$D$45,'412'!$D$47,'412'!$D$49,'412'!$D$51,'412'!$D$53:$D$54,'412'!$D$56:$D$59,'412'!$D$61</definedName>
    <definedName name="OSRRefD22x_0" localSheetId="81">'413'!$D$24:$D$31,'413'!$D$33:$D$35,'413'!$D$37,'413'!$D$39,'413'!$D$41,'413'!$D$43,'413'!$D$45,'413'!$D$47,'413'!$D$49:$D$50,'413'!$D$52:$D$53,'413'!$D$55</definedName>
    <definedName name="OSRRefD22x_0" localSheetId="82">'414'!$D$24:$D$30,'414'!$D$32:$D$34,'414'!$D$36,'414'!$D$38,'414'!$D$40,'414'!$D$42,'414'!$D$44,'414'!$D$46,'414'!$D$48,'414'!$D$50,'414'!$D$52,'414'!$D$54:$D$57,'414'!$D$59</definedName>
    <definedName name="OSRRefD22x_0" localSheetId="83">'415'!$D$24:$D$31,'415'!$D$33:$D$36,'415'!$D$38,'415'!$D$40,'415'!$D$42,'415'!$D$44:$D$45,'415'!$D$47,'415'!$D$49,'415'!$D$51,'415'!$D$53,'415'!$D$55,'415'!$D$57:$D$58,'415'!$D$60:$D$64,'415'!$D$66,'415'!$D$68:$D$72,'415'!$D$74,'415'!$D$76</definedName>
    <definedName name="OSRRefD22x_0" localSheetId="84">'418'!$D$24:$D$31,'418'!$D$33:$D$37,'418'!$D$39,'418'!$D$41,'418'!$D$43,'418'!$D$45:$D$46,'418'!$D$48,'418'!$D$50,'418'!$D$52,'418'!$D$54:$D$55,'418'!$D$57,'418'!$D$59:$D$60,'418'!$D$62,'418'!$D$64</definedName>
    <definedName name="OSRRefD22x_0" localSheetId="85">'423'!$D$20:$D$27,'423'!$D$29,'423'!$D$31,'423'!$D$33,'423'!$D$35,'423'!$D$37</definedName>
    <definedName name="OSRRefD22x_0" localSheetId="86">'424'!$D$23,'424'!$D$25,'424'!$D$27,'424'!$D$29,'424'!$D$31,'424'!$D$33,'424'!$D$35,'424'!$D$37</definedName>
    <definedName name="OSRRefD22x_0" localSheetId="87">'425'!$D$24:$D$31,'425'!$D$33:$D$37,'425'!$D$39,'425'!$D$41,'425'!$D$43,'425'!$D$45,'425'!$D$47,'425'!$D$49:$D$50,'425'!$D$52:$D$53,'425'!$D$55,'425'!$D$57</definedName>
    <definedName name="OSRRefD22x_0" localSheetId="90">'430'!$D$20:$D$27,'430'!$D$29,'430'!$D$31,'430'!$D$33:$D$34,'430'!$D$36,'430'!$D$38</definedName>
    <definedName name="OSRRefD22x_0" localSheetId="91">'433'!$D$25:$D$33,'433'!$D$35:$D$40,'433'!$D$42,'433'!$D$44,'433'!$D$46,'433'!$D$48,'433'!$D$50,'433'!$D$52,'433'!$D$54:$D$56,'433'!$D$58:$D$63,'433'!$D$65,'433'!$D$67,'433'!$D$69</definedName>
    <definedName name="OSRRefD22x_0" localSheetId="92">'435'!$D$20:$D$21,'435'!$D$23,'435'!$D$25,'435'!$D$27</definedName>
    <definedName name="OSRRefD22x_0" localSheetId="93">'444'!$D$25:$D$33,'444'!$D$35:$D$40,'444'!$D$42,'444'!$D$44,'444'!$D$46,'444'!$D$48,'444'!$D$50,'444'!$D$52,'444'!$D$54,'444'!$D$56:$D$58,'444'!$D$60:$D$64,'444'!$D$66,'444'!$D$68,'444'!$D$70</definedName>
    <definedName name="OSRRefD22x_0" localSheetId="94">'450'!$D$24:$D$32,'450'!$D$34:$D$39,'450'!$D$41,'450'!$D$43,'450'!$D$45,'450'!$D$47,'450'!$D$49,'450'!$D$51,'450'!$D$53:$D$55,'450'!$D$57:$D$60,'450'!$D$62,'450'!$D$64,'450'!$D$66</definedName>
    <definedName name="OSRRefD22x_0" localSheetId="88">'455'!$D$20:$D$26,'455'!$D$28:$D$29</definedName>
    <definedName name="OSRRefD22x_0" localSheetId="75">'491'!$D$31:$D$39,'491'!$D$41:$D$47,'491'!$D$49,'491'!$D$51,'491'!$D$53,'491'!$D$55:$D$57,'491'!$D$59,'491'!$D$61,'491'!$D$63,'491'!$D$65,'491'!$D$67,'491'!$D$69,'491'!$D$71:$D$72,'491'!$D$74:$D$75,'491'!$D$77:$D$81,'491'!$D$83,'491'!$D$85:$D$92,'491'!$D$94,'491'!$D$96,'491'!$D$98:$D$100,'491'!$D$102</definedName>
    <definedName name="OSRRefD22x_0" localSheetId="89">'492'!$D$25:$D$33,'492'!$D$35:$D$41,'492'!$D$43,'492'!$D$45,'492'!$D$47,'492'!$D$49,'492'!$D$51,'492'!$D$53,'492'!$D$55,'492'!$D$57,'492'!$D$59,'492'!$D$61:$D$63,'492'!$D$65:$D$71,'492'!$D$73,'492'!$D$75,'492'!$D$77</definedName>
    <definedName name="OSRRefD22x_0" localSheetId="96">'501'!$D$21:$D$29,'501'!$D$31:$D$35,'501'!$D$37,'501'!$D$39,'501'!$D$41,'501'!$D$43,'501'!$D$45</definedName>
    <definedName name="OSRRefD22x_0" localSheetId="39">'Div 2'!$D$20:$D$29,'Div 2'!$D$31:$D$37,'Div 2'!$D$39,'Div 2'!$D$41,'Div 2'!$D$43,'Div 2'!$D$45,'Div 2'!$D$47,'Div 2'!$D$49,'Div 2'!$D$51,'Div 2'!$D$53,'Div 2'!$D$55,'Div 2'!$D$57,'Div 2'!$D$59:$D$61,'Div 2'!$D$63:$D$65,'Div 2'!$D$67:$D$68,'Div 2'!$D$70,'Div 2'!$D$72:$D$76,'Div 2'!$D$78:$D$79,'Div 2'!$D$81,'Div 2'!$D$83:$D$84</definedName>
    <definedName name="OSRRefD22x_0" localSheetId="47">'Div 3'!$D$135:$D$144,'Div 3'!$D$146:$D$152,'Div 3'!$D$154,'Div 3'!$D$156,'Div 3'!$D$158,'Div 3'!$D$160:$D$161,'Div 3'!$D$163:$D$164,'Div 3'!$D$166,'Div 3'!$D$168,'Div 3'!$D$170,'Div 3'!$D$172:$D$173,'Div 3'!$D$175,'Div 3'!$D$177,'Div 3'!$D$179,'Div 3'!$D$181,'Div 3'!$D$183,'Div 3'!$D$185,'Div 3'!$D$187:$D$189,'Div 3'!$D$191:$D$193,'Div 3'!$D$195:$D$199,'Div 3'!$D$201:$D$202,'Div 3'!$D$204:$D$210,'Div 3'!$D$212:$D$213,'Div 3'!$D$215,'Div 3'!$D$217:$D$219,'Div 3'!$D$221</definedName>
    <definedName name="OSRRefD22x_0" localSheetId="95">'Div 5'!$D$21:$D$29,'Div 5'!$D$31:$D$35,'Div 5'!$D$37,'Div 5'!$D$39,'Div 5'!$D$41,'Div 5'!$D$43,'Div 5'!$D$45</definedName>
    <definedName name="OSRRefD22x_0" localSheetId="63">'Div 6'!$D$50:$D$58,'Div 6'!$D$60:$D$64,'Div 6'!$D$66,'Div 6'!$D$68,'Div 6'!$D$70,'Div 6'!$D$72:$D$73,'Div 6'!$D$75,'Div 6'!$D$77,'Div 6'!$D$79:$D$81,'Div 6'!$D$83</definedName>
    <definedName name="OSRRefD22x_0" localSheetId="2">Summary!$D$166:$D$175,Summary!$D$177:$D$183,Summary!$D$185,Summary!$D$187,Summary!$D$189,Summary!$D$191:$D$193,Summary!$D$195:$D$196,Summary!$D$198,Summary!$D$200,Summary!$D$202,Summary!$D$204:$D$205,Summary!$D$207,Summary!$D$209,Summary!$D$211,Summary!$D$213,Summary!$D$215,Summary!$D$217,Summary!$D$219,Summary!$D$221:$D$223,Summary!$D$225:$D$227,Summary!$D$229:$D$233,Summary!$D$235:$D$236,Summary!$D$238:$D$246,Summary!$D$248:$D$249,Summary!$D$251,Summary!$D$253:$D$255,Summary!$D$257</definedName>
    <definedName name="OSRRefD25x_0" localSheetId="48">'300'!$D$216:$D$221</definedName>
    <definedName name="OSRRefD25x_0" localSheetId="49">'300 &amp; 317'!$D$240:$D$247</definedName>
    <definedName name="OSRRefD25x_0" localSheetId="50">'301'!$D$89:$D$90</definedName>
    <definedName name="OSRRefD25x_0" localSheetId="55">'308'!$D$99:$D$100</definedName>
    <definedName name="OSRRefD25x_0" localSheetId="74">'310 &amp; 491'!$D$115:$D$117</definedName>
    <definedName name="OSRRefD25x_0" localSheetId="56">'311'!$D$98:$D$99</definedName>
    <definedName name="OSRRefD25x_0" localSheetId="59">'315'!$D$104:$D$105</definedName>
    <definedName name="OSRRefD25x_0" localSheetId="62">'316'!$D$65</definedName>
    <definedName name="OSRRefD25x_0" localSheetId="64">'317'!$D$86:$D$88</definedName>
    <definedName name="OSRRefD25x_0" localSheetId="65">'320'!$D$48:$D$49</definedName>
    <definedName name="OSRRefD25x_0" localSheetId="58">'331'!$D$129:$D$130</definedName>
    <definedName name="OSRRefD25x_0" localSheetId="61">'332'!$D$72:$D$74</definedName>
    <definedName name="OSRRefD25x_0" localSheetId="78">'411'!$D$76:$D$77</definedName>
    <definedName name="OSRRefD25x_0" localSheetId="85">'423'!$D$40</definedName>
    <definedName name="OSRRefD25x_0" localSheetId="86">'424'!$D$40</definedName>
    <definedName name="OSRRefD25x_0" localSheetId="87">'425'!$D$60</definedName>
    <definedName name="OSRRefD25x_0" localSheetId="88">'455'!$D$32:$D$33</definedName>
    <definedName name="OSRRefD25x_0" localSheetId="75">'491'!$D$105:$D$107</definedName>
    <definedName name="OSRRefD25x_0" localSheetId="96">'501'!$D$48</definedName>
    <definedName name="OSRRefD25x_0" localSheetId="47">'Div 3'!$D$224:$D$229</definedName>
    <definedName name="OSRRefD25x_0" localSheetId="95">'Div 5'!$D$48</definedName>
    <definedName name="OSRRefD25x_0" localSheetId="63">'Div 6'!$D$86:$D$88</definedName>
    <definedName name="OSRRefD25x_0" localSheetId="2">Summary!$D$260:$D$269</definedName>
    <definedName name="OSRRefH13x_0" localSheetId="48">'300'!$H$13:$H$86</definedName>
    <definedName name="OSRRefH13x_0" localSheetId="49">'300 &amp; 317'!$H$13:$H$102</definedName>
    <definedName name="OSRRefH13x_0" localSheetId="53">'307'!$H$13:$H$31</definedName>
    <definedName name="OSRRefH13x_0" localSheetId="55">'308'!$H$13:$H$33</definedName>
    <definedName name="OSRRefH13x_0" localSheetId="67">'309'!$H$13:$H$14</definedName>
    <definedName name="OSRRefH13x_0" localSheetId="66">'310'!$H$13:$H$20</definedName>
    <definedName name="OSRRefH13x_0" localSheetId="74">'310 &amp; 491'!$H$13:$H$27</definedName>
    <definedName name="OSRRefH13x_0" localSheetId="56">'311'!$H$13:$H$32</definedName>
    <definedName name="OSRRefH13x_0" localSheetId="68">'313'!$H$13:$H$17</definedName>
    <definedName name="OSRRefH13x_0" localSheetId="54">'314'!$H$13:$H$28</definedName>
    <definedName name="OSRRefH13x_0" localSheetId="59">'315'!$H$13:$H$46</definedName>
    <definedName name="OSRRefH13x_0" localSheetId="62">'316'!$H$13:$H$22</definedName>
    <definedName name="OSRRefH13x_0" localSheetId="64">'317'!$H$13:$H$32</definedName>
    <definedName name="OSRRefH13x_0" localSheetId="65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2">'325'!$H$13:$H$14</definedName>
    <definedName name="OSRRefH13x_0" localSheetId="60">'326'!$H$13:$H$31</definedName>
    <definedName name="OSRRefH13x_0" localSheetId="73">'327'!$H$13</definedName>
    <definedName name="OSRRefH13x_0" localSheetId="52">'330'!$H$13:$H$39</definedName>
    <definedName name="OSRRefH13x_0" localSheetId="58">'331'!$H$13:$H$47</definedName>
    <definedName name="OSRRefH13x_0" localSheetId="61">'332'!$H$13:$H$25</definedName>
    <definedName name="OSRRefH13x_0" localSheetId="76">'405'!$H$13:$H$14</definedName>
    <definedName name="OSRRefH13x_0" localSheetId="79">'412'!$H$13:$H$14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6">'424'!$H$13</definedName>
    <definedName name="OSRRefH13x_0" localSheetId="87">'425'!$H$13:$H$14</definedName>
    <definedName name="OSRRefH13x_0" localSheetId="91">'433'!$H$13:$H$15</definedName>
    <definedName name="OSRRefH13x_0" localSheetId="93">'444'!$H$13:$H$15</definedName>
    <definedName name="OSRRefH13x_0" localSheetId="94">'450'!$H$13:$H$14</definedName>
    <definedName name="OSRRefH13x_0" localSheetId="75">'491'!$H$13:$H$21</definedName>
    <definedName name="OSRRefH13x_0" localSheetId="89">'492'!$H$13:$H$15</definedName>
    <definedName name="OSRRefH13x_0" localSheetId="96">'501'!$H$13</definedName>
    <definedName name="OSRRefH13x_0" localSheetId="47">'Div 3'!$H$13:$H$89</definedName>
    <definedName name="OSRRefH13x_0" localSheetId="95">'Div 5'!$H$13</definedName>
    <definedName name="OSRRefH13x_0" localSheetId="63">'Div 6'!$H$13:$H$32</definedName>
    <definedName name="OSRRefH13x_0" localSheetId="2">Summary!$H$13:$H$112</definedName>
    <definedName name="OSRRefH16x_0" localSheetId="48">'300'!$H$89:$H$124</definedName>
    <definedName name="OSRRefH16x_0" localSheetId="49">'300 &amp; 317'!$H$105:$H$148</definedName>
    <definedName name="OSRRefH16x_0" localSheetId="53">'307'!$H$34:$H$42</definedName>
    <definedName name="OSRRefH16x_0" localSheetId="55">'308'!$H$36:$H$47</definedName>
    <definedName name="OSRRefH16x_0" localSheetId="67">'309'!$H$17:$H$18</definedName>
    <definedName name="OSRRefH16x_0" localSheetId="66">'310'!$H$23:$H$24</definedName>
    <definedName name="OSRRefH16x_0" localSheetId="74">'310 &amp; 491'!$H$30:$H$31</definedName>
    <definedName name="OSRRefH16x_0" localSheetId="56">'311'!$H$35:$H$46</definedName>
    <definedName name="OSRRefH16x_0" localSheetId="68">'313'!$H$20:$H$21</definedName>
    <definedName name="OSRRefH16x_0" localSheetId="54">'314'!$H$31:$H$40</definedName>
    <definedName name="OSRRefH16x_0" localSheetId="59">'315'!$H$49:$H$62</definedName>
    <definedName name="OSRRefH16x_0" localSheetId="64">'317'!$H$35:$H$44</definedName>
    <definedName name="OSRRefH16x_0" localSheetId="65">'320'!$H$18:$H$21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2">'325'!$H$17:$H$18</definedName>
    <definedName name="OSRRefH16x_0" localSheetId="60">'326'!$H$34:$H$44</definedName>
    <definedName name="OSRRefH16x_0" localSheetId="73">'327'!$H$16</definedName>
    <definedName name="OSRRefH16x_0" localSheetId="52">'330'!$H$42:$H$54</definedName>
    <definedName name="OSRRefH16x_0" localSheetId="58">'331'!$H$50:$H$66</definedName>
    <definedName name="OSRRefH16x_0" localSheetId="61">'332'!$H$28:$H$31</definedName>
    <definedName name="OSRRefH16x_0" localSheetId="76">'405'!$H$17:$H$18</definedName>
    <definedName name="OSRRefH16x_0" localSheetId="77">'406'!$H$15:$H$16</definedName>
    <definedName name="OSRRefH16x_0" localSheetId="79">'412'!$H$17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6">'424'!$H$16:$H$17</definedName>
    <definedName name="OSRRefH16x_0" localSheetId="87">'425'!$H$17:$H$18</definedName>
    <definedName name="OSRRefH16x_0" localSheetId="91">'433'!$H$18:$H$19</definedName>
    <definedName name="OSRRefH16x_0" localSheetId="93">'444'!$H$18:$H$19</definedName>
    <definedName name="OSRRefH16x_0" localSheetId="94">'450'!$H$17:$H$18</definedName>
    <definedName name="OSRRefH16x_0" localSheetId="75">'491'!$H$24:$H$25</definedName>
    <definedName name="OSRRefH16x_0" localSheetId="89">'492'!$H$18:$H$19</definedName>
    <definedName name="OSRRefH16x_0" localSheetId="47">'Div 3'!$H$92:$H$129</definedName>
    <definedName name="OSRRefH16x_0" localSheetId="63">'Div 6'!$H$35:$H$44</definedName>
    <definedName name="OSRRefH16x_0" localSheetId="2">Summary!$H$115:$H$160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'300'!$H$130:$H$139</definedName>
    <definedName name="OSRRefH22_0x_0" localSheetId="49">'300 &amp; 317'!$H$154:$H$163</definedName>
    <definedName name="OSRRefH22_0x_0" localSheetId="50">'301'!$H$20:$H$28</definedName>
    <definedName name="OSRRefH22_0x_0" localSheetId="51">'306'!$H$20:$H$28</definedName>
    <definedName name="OSRRefH22_0x_0" localSheetId="53">'307'!$H$48:$H$55</definedName>
    <definedName name="OSRRefH22_0x_0" localSheetId="55">'308'!$H$53:$H$61</definedName>
    <definedName name="OSRRefH22_0x_0" localSheetId="67">'309'!$H$24:$H$31</definedName>
    <definedName name="OSRRefH22_0x_0" localSheetId="66">'310'!$H$30:$H$37</definedName>
    <definedName name="OSRRefH22_0x_0" localSheetId="74">'310 &amp; 491'!$H$37:$H$45</definedName>
    <definedName name="OSRRefH22_0x_0" localSheetId="56">'311'!$H$52:$H$60</definedName>
    <definedName name="OSRRefH22_0x_0" localSheetId="68">'313'!$H$27:$H$34</definedName>
    <definedName name="OSRRefH22_0x_0" localSheetId="54">'314'!$H$46:$H$52</definedName>
    <definedName name="OSRRefH22_0x_0" localSheetId="59">'315'!$H$68:$H$75</definedName>
    <definedName name="OSRRefH22_0x_0" localSheetId="62">'316'!$H$30:$H$37</definedName>
    <definedName name="OSRRefH22_0x_0" localSheetId="64">'317'!$H$50:$H$58</definedName>
    <definedName name="OSRRefH22_0x_0" localSheetId="65">'320'!$H$27:$H$33</definedName>
    <definedName name="OSRRefH22_0x_0" localSheetId="69">'321'!$H$24:$H$28</definedName>
    <definedName name="OSRRefH22_0x_0" localSheetId="70">'322'!$H$24:$H$31</definedName>
    <definedName name="OSRRefH22_0x_0" localSheetId="72">'325'!$H$24:$H$31</definedName>
    <definedName name="OSRRefH22_0x_0" localSheetId="60">'326'!$H$50:$H$57</definedName>
    <definedName name="OSRRefH22_0x_0" localSheetId="73">'327'!$H$22</definedName>
    <definedName name="OSRRefH22_0x_0" localSheetId="52">'330'!$H$60:$H$67</definedName>
    <definedName name="OSRRefH22_0x_0" localSheetId="58">'331'!$H$72:$H$79</definedName>
    <definedName name="OSRRefH22_0x_0" localSheetId="61">'332'!$H$37:$H$44</definedName>
    <definedName name="OSRRefH22_0x_0" localSheetId="76">'405'!$H$24:$H$31</definedName>
    <definedName name="OSRRefH22_0x_0" localSheetId="77">'406'!$H$22:$H$29</definedName>
    <definedName name="OSRRefH22_0x_0" localSheetId="78">'411'!$H$20:$H$28</definedName>
    <definedName name="OSRRefH22_0x_0" localSheetId="79">'412'!$H$23:$H$30</definedName>
    <definedName name="OSRRefH22_0x_0" localSheetId="81">'413'!$H$24:$H$31</definedName>
    <definedName name="OSRRefH22_0x_0" localSheetId="82">'414'!$H$24:$H$30</definedName>
    <definedName name="OSRRefH22_0x_0" localSheetId="83">'415'!$H$24:$H$31</definedName>
    <definedName name="OSRRefH22_0x_0" localSheetId="84">'418'!$H$24:$H$31</definedName>
    <definedName name="OSRRefH22_0x_0" localSheetId="85">'423'!$H$20:$H$27</definedName>
    <definedName name="OSRRefH22_0x_0" localSheetId="86">'424'!$H$23</definedName>
    <definedName name="OSRRefH22_0x_0" localSheetId="87">'425'!$H$24:$H$31</definedName>
    <definedName name="OSRRefH22_0x_0" localSheetId="90">'430'!$H$20:$H$27</definedName>
    <definedName name="OSRRefH22_0x_0" localSheetId="91">'433'!$H$25:$H$33</definedName>
    <definedName name="OSRRefH22_0x_0" localSheetId="92">'435'!$H$20:$H$21</definedName>
    <definedName name="OSRRefH22_0x_0" localSheetId="93">'444'!$H$25:$H$33</definedName>
    <definedName name="OSRRefH22_0x_0" localSheetId="94">'450'!$H$24:$H$32</definedName>
    <definedName name="OSRRefH22_0x_0" localSheetId="88">'455'!$H$20:$H$26</definedName>
    <definedName name="OSRRefH22_0x_0" localSheetId="75">'491'!$H$31:$H$39</definedName>
    <definedName name="OSRRefH22_0x_0" localSheetId="89">'492'!$H$25:$H$33</definedName>
    <definedName name="OSRRefH22_0x_0" localSheetId="96">'501'!$H$21:$H$29</definedName>
    <definedName name="OSRRefH22_0x_0" localSheetId="39">'Div 2'!$H$20:$H$29</definedName>
    <definedName name="OSRRefH22_0x_0" localSheetId="47">'Div 3'!$H$135:$H$144</definedName>
    <definedName name="OSRRefH22_0x_0" localSheetId="95">'Div 5'!$H$21:$H$29</definedName>
    <definedName name="OSRRefH22_0x_0" localSheetId="63">'Div 6'!$H$50:$H$58</definedName>
    <definedName name="OSRRefH22_0x_0" localSheetId="2">Summary!$H$166:$H$175</definedName>
    <definedName name="OSRRefH22_10x_0" localSheetId="41">'201'!$H$51</definedName>
    <definedName name="OSRRefH22_10x_0" localSheetId="42">'202'!$H$52</definedName>
    <definedName name="OSRRefH22_10x_0" localSheetId="43">'203'!$H$52:$H$55</definedName>
    <definedName name="OSRRefH22_10x_0" localSheetId="48">'300'!$H$167:$H$168</definedName>
    <definedName name="OSRRefH22_10x_0" localSheetId="49">'300 &amp; 317'!$H$191:$H$192</definedName>
    <definedName name="OSRRefH22_10x_0" localSheetId="50">'301'!$H$55</definedName>
    <definedName name="OSRRefH22_10x_0" localSheetId="55">'308'!$H$86</definedName>
    <definedName name="OSRRefH22_10x_0" localSheetId="67">'309'!$H$56</definedName>
    <definedName name="OSRRefH22_10x_0" localSheetId="66">'310'!$H$62</definedName>
    <definedName name="OSRRefH22_10x_0" localSheetId="74">'310 &amp; 491'!$H$73</definedName>
    <definedName name="OSRRefH22_10x_0" localSheetId="56">'311'!$H$85</definedName>
    <definedName name="OSRRefH22_10x_0" localSheetId="68">'313'!$H$56:$H$58</definedName>
    <definedName name="OSRRefH22_10x_0" localSheetId="59">'315'!$H$101</definedName>
    <definedName name="OSRRefH22_10x_0" localSheetId="69">'321'!$H$54</definedName>
    <definedName name="OSRRefH22_10x_0" localSheetId="70">'322'!$H$57</definedName>
    <definedName name="OSRRefH22_10x_0" localSheetId="72">'325'!$H$57</definedName>
    <definedName name="OSRRefH22_10x_0" localSheetId="60">'326'!$H$80:$H$82</definedName>
    <definedName name="OSRRefH22_10x_0" localSheetId="58">'331'!$H$102</definedName>
    <definedName name="OSRRefH22_10x_0" localSheetId="76">'405'!$H$54</definedName>
    <definedName name="OSRRefH22_10x_0" localSheetId="78">'411'!$H$60:$H$63</definedName>
    <definedName name="OSRRefH22_10x_0" localSheetId="79">'412'!$H$56:$H$59</definedName>
    <definedName name="OSRRefH22_10x_0" localSheetId="81">'413'!$H$55</definedName>
    <definedName name="OSRRefH22_10x_0" localSheetId="82">'414'!$H$52</definedName>
    <definedName name="OSRRefH22_10x_0" localSheetId="83">'415'!$H$55</definedName>
    <definedName name="OSRRefH22_10x_0" localSheetId="84">'418'!$H$57</definedName>
    <definedName name="OSRRefH22_10x_0" localSheetId="87">'425'!$H$57</definedName>
    <definedName name="OSRRefH22_10x_0" localSheetId="91">'433'!$H$65</definedName>
    <definedName name="OSRRefH22_10x_0" localSheetId="93">'444'!$H$60:$H$64</definedName>
    <definedName name="OSRRefH22_10x_0" localSheetId="94">'450'!$H$62</definedName>
    <definedName name="OSRRefH22_10x_0" localSheetId="75">'491'!$H$67</definedName>
    <definedName name="OSRRefH22_10x_0" localSheetId="89">'492'!$H$59</definedName>
    <definedName name="OSRRefH22_10x_0" localSheetId="39">'Div 2'!$H$55</definedName>
    <definedName name="OSRRefH22_10x_0" localSheetId="47">'Div 3'!$H$172:$H$173</definedName>
    <definedName name="OSRRefH22_10x_0" localSheetId="2">Summary!$H$204:$H$205</definedName>
    <definedName name="OSRRefH22_11x_0" localSheetId="41">'201'!$H$53:$H$55</definedName>
    <definedName name="OSRRefH22_11x_0" localSheetId="42">'202'!$H$54</definedName>
    <definedName name="OSRRefH22_11x_0" localSheetId="43">'203'!$H$57</definedName>
    <definedName name="OSRRefH22_11x_0" localSheetId="48">'300'!$H$170</definedName>
    <definedName name="OSRRefH22_11x_0" localSheetId="49">'300 &amp; 317'!$H$194</definedName>
    <definedName name="OSRRefH22_11x_0" localSheetId="50">'301'!$H$57</definedName>
    <definedName name="OSRRefH22_11x_0" localSheetId="55">'308'!$H$88:$H$89</definedName>
    <definedName name="OSRRefH22_11x_0" localSheetId="66">'310'!$H$64</definedName>
    <definedName name="OSRRefH22_11x_0" localSheetId="74">'310 &amp; 491'!$H$75</definedName>
    <definedName name="OSRRefH22_11x_0" localSheetId="56">'311'!$H$87:$H$88</definedName>
    <definedName name="OSRRefH22_11x_0" localSheetId="68">'313'!$H$60</definedName>
    <definedName name="OSRRefH22_11x_0" localSheetId="70">'322'!$H$59</definedName>
    <definedName name="OSRRefH22_11x_0" localSheetId="72">'325'!$H$59</definedName>
    <definedName name="OSRRefH22_11x_0" localSheetId="60">'326'!$H$84</definedName>
    <definedName name="OSRRefH22_11x_0" localSheetId="58">'331'!$H$104</definedName>
    <definedName name="OSRRefH22_11x_0" localSheetId="76">'405'!$H$56:$H$58</definedName>
    <definedName name="OSRRefH22_11x_0" localSheetId="78">'411'!$H$65</definedName>
    <definedName name="OSRRefH22_11x_0" localSheetId="79">'412'!$H$61</definedName>
    <definedName name="OSRRefH22_11x_0" localSheetId="82">'414'!$H$54:$H$57</definedName>
    <definedName name="OSRRefH22_11x_0" localSheetId="83">'415'!$H$57:$H$58</definedName>
    <definedName name="OSRRefH22_11x_0" localSheetId="84">'418'!$H$59:$H$60</definedName>
    <definedName name="OSRRefH22_11x_0" localSheetId="91">'433'!$H$67</definedName>
    <definedName name="OSRRefH22_11x_0" localSheetId="93">'444'!$H$66</definedName>
    <definedName name="OSRRefH22_11x_0" localSheetId="94">'450'!$H$64</definedName>
    <definedName name="OSRRefH22_11x_0" localSheetId="75">'491'!$H$69</definedName>
    <definedName name="OSRRefH22_11x_0" localSheetId="89">'492'!$H$61:$H$63</definedName>
    <definedName name="OSRRefH22_11x_0" localSheetId="39">'Div 2'!$H$57</definedName>
    <definedName name="OSRRefH22_11x_0" localSheetId="47">'Div 3'!$H$175</definedName>
    <definedName name="OSRRefH22_11x_0" localSheetId="2">Summary!$H$207</definedName>
    <definedName name="OSRRefH22_12x_0" localSheetId="41">'201'!$H$57</definedName>
    <definedName name="OSRRefH22_12x_0" localSheetId="43">'203'!$H$59</definedName>
    <definedName name="OSRRefH22_12x_0" localSheetId="48">'300'!$H$172</definedName>
    <definedName name="OSRRefH22_12x_0" localSheetId="49">'300 &amp; 317'!$H$196</definedName>
    <definedName name="OSRRefH22_12x_0" localSheetId="50">'301'!$H$59</definedName>
    <definedName name="OSRRefH22_12x_0" localSheetId="55">'308'!$H$91:$H$92</definedName>
    <definedName name="OSRRefH22_12x_0" localSheetId="66">'310'!$H$66</definedName>
    <definedName name="OSRRefH22_12x_0" localSheetId="74">'310 &amp; 491'!$H$77</definedName>
    <definedName name="OSRRefH22_12x_0" localSheetId="56">'311'!$H$90:$H$91</definedName>
    <definedName name="OSRRefH22_12x_0" localSheetId="72">'325'!$H$61</definedName>
    <definedName name="OSRRefH22_12x_0" localSheetId="60">'326'!$H$86:$H$87</definedName>
    <definedName name="OSRRefH22_12x_0" localSheetId="58">'331'!$H$106:$H$107</definedName>
    <definedName name="OSRRefH22_12x_0" localSheetId="76">'405'!$H$60:$H$64</definedName>
    <definedName name="OSRRefH22_12x_0" localSheetId="78">'411'!$H$67</definedName>
    <definedName name="OSRRefH22_12x_0" localSheetId="82">'414'!$H$59</definedName>
    <definedName name="OSRRefH22_12x_0" localSheetId="83">'415'!$H$60:$H$64</definedName>
    <definedName name="OSRRefH22_12x_0" localSheetId="84">'418'!$H$62</definedName>
    <definedName name="OSRRefH22_12x_0" localSheetId="91">'433'!$H$69</definedName>
    <definedName name="OSRRefH22_12x_0" localSheetId="93">'444'!$H$68</definedName>
    <definedName name="OSRRefH22_12x_0" localSheetId="94">'450'!$H$66</definedName>
    <definedName name="OSRRefH22_12x_0" localSheetId="75">'491'!$H$71:$H$72</definedName>
    <definedName name="OSRRefH22_12x_0" localSheetId="89">'492'!$H$65:$H$71</definedName>
    <definedName name="OSRRefH22_12x_0" localSheetId="39">'Div 2'!$H$59:$H$61</definedName>
    <definedName name="OSRRefH22_12x_0" localSheetId="47">'Div 3'!$H$177</definedName>
    <definedName name="OSRRefH22_12x_0" localSheetId="2">Summary!$H$209</definedName>
    <definedName name="OSRRefH22_13x_0" localSheetId="41">'201'!$H$59</definedName>
    <definedName name="OSRRefH22_13x_0" localSheetId="43">'203'!$H$61</definedName>
    <definedName name="OSRRefH22_13x_0" localSheetId="48">'300'!$H$174</definedName>
    <definedName name="OSRRefH22_13x_0" localSheetId="49">'300 &amp; 317'!$H$198</definedName>
    <definedName name="OSRRefH22_13x_0" localSheetId="50">'301'!$H$61</definedName>
    <definedName name="OSRRefH22_13x_0" localSheetId="55">'308'!$H$94</definedName>
    <definedName name="OSRRefH22_13x_0" localSheetId="66">'310'!$H$68</definedName>
    <definedName name="OSRRefH22_13x_0" localSheetId="74">'310 &amp; 491'!$H$79</definedName>
    <definedName name="OSRRefH22_13x_0" localSheetId="56">'311'!$H$93</definedName>
    <definedName name="OSRRefH22_13x_0" localSheetId="72">'325'!$H$63</definedName>
    <definedName name="OSRRefH22_13x_0" localSheetId="60">'326'!$H$89</definedName>
    <definedName name="OSRRefH22_13x_0" localSheetId="58">'331'!$H$109:$H$111</definedName>
    <definedName name="OSRRefH22_13x_0" localSheetId="76">'405'!$H$66</definedName>
    <definedName name="OSRRefH22_13x_0" localSheetId="78">'411'!$H$69:$H$71</definedName>
    <definedName name="OSRRefH22_13x_0" localSheetId="83">'415'!$H$66</definedName>
    <definedName name="OSRRefH22_13x_0" localSheetId="84">'418'!$H$64</definedName>
    <definedName name="OSRRefH22_13x_0" localSheetId="93">'444'!$H$70</definedName>
    <definedName name="OSRRefH22_13x_0" localSheetId="75">'491'!$H$74:$H$75</definedName>
    <definedName name="OSRRefH22_13x_0" localSheetId="89">'492'!$H$73</definedName>
    <definedName name="OSRRefH22_13x_0" localSheetId="39">'Div 2'!$H$63:$H$65</definedName>
    <definedName name="OSRRefH22_13x_0" localSheetId="47">'Div 3'!$H$179</definedName>
    <definedName name="OSRRefH22_13x_0" localSheetId="2">Summary!$H$211</definedName>
    <definedName name="OSRRefH22_14x_0" localSheetId="48">'300'!$H$176</definedName>
    <definedName name="OSRRefH22_14x_0" localSheetId="49">'300 &amp; 317'!$H$200</definedName>
    <definedName name="OSRRefH22_14x_0" localSheetId="50">'301'!$H$63:$H$65</definedName>
    <definedName name="OSRRefH22_14x_0" localSheetId="55">'308'!$H$96</definedName>
    <definedName name="OSRRefH22_14x_0" localSheetId="66">'310'!$H$70:$H$73</definedName>
    <definedName name="OSRRefH22_14x_0" localSheetId="74">'310 &amp; 491'!$H$81:$H$82</definedName>
    <definedName name="OSRRefH22_14x_0" localSheetId="56">'311'!$H$95</definedName>
    <definedName name="OSRRefH22_14x_0" localSheetId="60">'326'!$H$91</definedName>
    <definedName name="OSRRefH22_14x_0" localSheetId="58">'331'!$H$113</definedName>
    <definedName name="OSRRefH22_14x_0" localSheetId="76">'405'!$H$68</definedName>
    <definedName name="OSRRefH22_14x_0" localSheetId="78">'411'!$H$73</definedName>
    <definedName name="OSRRefH22_14x_0" localSheetId="83">'415'!$H$68:$H$72</definedName>
    <definedName name="OSRRefH22_14x_0" localSheetId="75">'491'!$H$77:$H$81</definedName>
    <definedName name="OSRRefH22_14x_0" localSheetId="89">'492'!$H$75</definedName>
    <definedName name="OSRRefH22_14x_0" localSheetId="39">'Div 2'!$H$67:$H$68</definedName>
    <definedName name="OSRRefH22_14x_0" localSheetId="47">'Div 3'!$H$181</definedName>
    <definedName name="OSRRefH22_14x_0" localSheetId="2">Summary!$H$213</definedName>
    <definedName name="OSRRefH22_15x_0" localSheetId="48">'300'!$H$178</definedName>
    <definedName name="OSRRefH22_15x_0" localSheetId="49">'300 &amp; 317'!$H$202</definedName>
    <definedName name="OSRRefH22_15x_0" localSheetId="50">'301'!$H$67:$H$69</definedName>
    <definedName name="OSRRefH22_15x_0" localSheetId="66">'310'!$H$75</definedName>
    <definedName name="OSRRefH22_15x_0" localSheetId="74">'310 &amp; 491'!$H$84:$H$85</definedName>
    <definedName name="OSRRefH22_15x_0" localSheetId="60">'326'!$H$93</definedName>
    <definedName name="OSRRefH22_15x_0" localSheetId="58">'331'!$H$115:$H$118</definedName>
    <definedName name="OSRRefH22_15x_0" localSheetId="76">'405'!$H$70</definedName>
    <definedName name="OSRRefH22_15x_0" localSheetId="83">'415'!$H$74</definedName>
    <definedName name="OSRRefH22_15x_0" localSheetId="75">'491'!$H$83</definedName>
    <definedName name="OSRRefH22_15x_0" localSheetId="89">'492'!$H$77</definedName>
    <definedName name="OSRRefH22_15x_0" localSheetId="39">'Div 2'!$H$70</definedName>
    <definedName name="OSRRefH22_15x_0" localSheetId="47">'Div 3'!$H$183</definedName>
    <definedName name="OSRRefH22_15x_0" localSheetId="2">Summary!$H$215</definedName>
    <definedName name="OSRRefH22_16x_0" localSheetId="48">'300'!$H$180:$H$182</definedName>
    <definedName name="OSRRefH22_16x_0" localSheetId="49">'300 &amp; 317'!$H$204:$H$206</definedName>
    <definedName name="OSRRefH22_16x_0" localSheetId="50">'301'!$H$71</definedName>
    <definedName name="OSRRefH22_16x_0" localSheetId="66">'310'!$H$77:$H$80</definedName>
    <definedName name="OSRRefH22_16x_0" localSheetId="74">'310 &amp; 491'!$H$87:$H$91</definedName>
    <definedName name="OSRRefH22_16x_0" localSheetId="58">'331'!$H$120</definedName>
    <definedName name="OSRRefH22_16x_0" localSheetId="83">'415'!$H$76</definedName>
    <definedName name="OSRRefH22_16x_0" localSheetId="75">'491'!$H$85:$H$92</definedName>
    <definedName name="OSRRefH22_16x_0" localSheetId="39">'Div 2'!$H$72:$H$76</definedName>
    <definedName name="OSRRefH22_16x_0" localSheetId="47">'Div 3'!$H$185</definedName>
    <definedName name="OSRRefH22_16x_0" localSheetId="2">Summary!$H$217</definedName>
    <definedName name="OSRRefH22_17x_0" localSheetId="48">'300'!$H$184:$H$186</definedName>
    <definedName name="OSRRefH22_17x_0" localSheetId="49">'300 &amp; 317'!$H$208:$H$210</definedName>
    <definedName name="OSRRefH22_17x_0" localSheetId="50">'301'!$H$73:$H$77</definedName>
    <definedName name="OSRRefH22_17x_0" localSheetId="66">'310'!$H$82</definedName>
    <definedName name="OSRRefH22_17x_0" localSheetId="74">'310 &amp; 491'!$H$93</definedName>
    <definedName name="OSRRefH22_17x_0" localSheetId="58">'331'!$H$122</definedName>
    <definedName name="OSRRefH22_17x_0" localSheetId="75">'491'!$H$94</definedName>
    <definedName name="OSRRefH22_17x_0" localSheetId="39">'Div 2'!$H$78:$H$79</definedName>
    <definedName name="OSRRefH22_17x_0" localSheetId="47">'Div 3'!$H$187:$H$189</definedName>
    <definedName name="OSRRefH22_17x_0" localSheetId="2">Summary!$H$219</definedName>
    <definedName name="OSRRefH22_18x_0" localSheetId="48">'300'!$H$188:$H$191</definedName>
    <definedName name="OSRRefH22_18x_0" localSheetId="49">'300 &amp; 317'!$H$212:$H$215</definedName>
    <definedName name="OSRRefH22_18x_0" localSheetId="50">'301'!$H$79</definedName>
    <definedName name="OSRRefH22_18x_0" localSheetId="66">'310'!$H$84</definedName>
    <definedName name="OSRRefH22_18x_0" localSheetId="74">'310 &amp; 491'!$H$95:$H$102</definedName>
    <definedName name="OSRRefH22_18x_0" localSheetId="58">'331'!$H$124</definedName>
    <definedName name="OSRRefH22_18x_0" localSheetId="75">'491'!$H$96</definedName>
    <definedName name="OSRRefH22_18x_0" localSheetId="39">'Div 2'!$H$81</definedName>
    <definedName name="OSRRefH22_18x_0" localSheetId="47">'Div 3'!$H$191:$H$193</definedName>
    <definedName name="OSRRefH22_18x_0" localSheetId="2">Summary!$H$221:$H$223</definedName>
    <definedName name="OSRRefH22_19x_0" localSheetId="48">'300'!$H$193:$H$194</definedName>
    <definedName name="OSRRefH22_19x_0" localSheetId="49">'300 &amp; 317'!$H$217:$H$218</definedName>
    <definedName name="OSRRefH22_19x_0" localSheetId="50">'301'!$H$81</definedName>
    <definedName name="OSRRefH22_19x_0" localSheetId="74">'310 &amp; 491'!$H$104</definedName>
    <definedName name="OSRRefH22_19x_0" localSheetId="58">'331'!$H$126</definedName>
    <definedName name="OSRRefH22_19x_0" localSheetId="75">'491'!$H$98:$H$100</definedName>
    <definedName name="OSRRefH22_19x_0" localSheetId="39">'Div 2'!$H$83:$H$84</definedName>
    <definedName name="OSRRefH22_19x_0" localSheetId="47">'Div 3'!$H$195:$H$199</definedName>
    <definedName name="OSRRefH22_19x_0" localSheetId="2">Summary!$H$225:$H$227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'203'!$H$30:$H$33</definedName>
    <definedName name="OSRRefH22_1x_0" localSheetId="44">'204'!$H$30:$H$34</definedName>
    <definedName name="OSRRefH22_1x_0" localSheetId="45">'205'!$H$29</definedName>
    <definedName name="OSRRefH22_1x_0" localSheetId="46">'206'!$H$28:$H$31</definedName>
    <definedName name="OSRRefH22_1x_0" localSheetId="48">'300'!$H$141:$H$147</definedName>
    <definedName name="OSRRefH22_1x_0" localSheetId="49">'300 &amp; 317'!$H$165:$H$171</definedName>
    <definedName name="OSRRefH22_1x_0" localSheetId="50">'301'!$H$30:$H$35</definedName>
    <definedName name="OSRRefH22_1x_0" localSheetId="51">'306'!$H$30:$H$35</definedName>
    <definedName name="OSRRefH22_1x_0" localSheetId="53">'307'!$H$57:$H$59</definedName>
    <definedName name="OSRRefH22_1x_0" localSheetId="55">'308'!$H$63:$H$68</definedName>
    <definedName name="OSRRefH22_1x_0" localSheetId="67">'309'!$H$33:$H$36</definedName>
    <definedName name="OSRRefH22_1x_0" localSheetId="66">'310'!$H$39:$H$43</definedName>
    <definedName name="OSRRefH22_1x_0" localSheetId="74">'310 &amp; 491'!$H$47:$H$53</definedName>
    <definedName name="OSRRefH22_1x_0" localSheetId="56">'311'!$H$62:$H$67</definedName>
    <definedName name="OSRRefH22_1x_0" localSheetId="68">'313'!$H$36:$H$38</definedName>
    <definedName name="OSRRefH22_1x_0" localSheetId="54">'314'!$H$54:$H$55</definedName>
    <definedName name="OSRRefH22_1x_0" localSheetId="59">'315'!$H$77:$H$80</definedName>
    <definedName name="OSRRefH22_1x_0" localSheetId="62">'316'!$H$39:$H$41</definedName>
    <definedName name="OSRRefH22_1x_0" localSheetId="64">'317'!$H$60:$H$64</definedName>
    <definedName name="OSRRefH22_1x_0" localSheetId="65">'320'!$H$35:$H$36</definedName>
    <definedName name="OSRRefH22_1x_0" localSheetId="69">'321'!$H$30:$H$33</definedName>
    <definedName name="OSRRefH22_1x_0" localSheetId="70">'322'!$H$33:$H$35</definedName>
    <definedName name="OSRRefH22_1x_0" localSheetId="72">'325'!$H$33:$H$36</definedName>
    <definedName name="OSRRefH22_1x_0" localSheetId="60">'326'!$H$59:$H$62</definedName>
    <definedName name="OSRRefH22_1x_0" localSheetId="52">'330'!$H$69:$H$71</definedName>
    <definedName name="OSRRefH22_1x_0" localSheetId="58">'331'!$H$81:$H$84</definedName>
    <definedName name="OSRRefH22_1x_0" localSheetId="61">'332'!$H$46:$H$48</definedName>
    <definedName name="OSRRefH22_1x_0" localSheetId="76">'405'!$H$33:$H$34</definedName>
    <definedName name="OSRRefH22_1x_0" localSheetId="77">'406'!$H$31:$H$33</definedName>
    <definedName name="OSRRefH22_1x_0" localSheetId="78">'411'!$H$30:$H$35</definedName>
    <definedName name="OSRRefH22_1x_0" localSheetId="79">'412'!$H$32:$H$37</definedName>
    <definedName name="OSRRefH22_1x_0" localSheetId="81">'413'!$H$33:$H$35</definedName>
    <definedName name="OSRRefH22_1x_0" localSheetId="82">'414'!$H$32:$H$34</definedName>
    <definedName name="OSRRefH22_1x_0" localSheetId="83">'415'!$H$33:$H$36</definedName>
    <definedName name="OSRRefH22_1x_0" localSheetId="84">'418'!$H$33:$H$37</definedName>
    <definedName name="OSRRefH22_1x_0" localSheetId="85">'423'!$H$29</definedName>
    <definedName name="OSRRefH22_1x_0" localSheetId="86">'424'!$H$25</definedName>
    <definedName name="OSRRefH22_1x_0" localSheetId="87">'425'!$H$33:$H$37</definedName>
    <definedName name="OSRRefH22_1x_0" localSheetId="90">'430'!$H$29</definedName>
    <definedName name="OSRRefH22_1x_0" localSheetId="91">'433'!$H$35:$H$40</definedName>
    <definedName name="OSRRefH22_1x_0" localSheetId="92">'435'!$H$23</definedName>
    <definedName name="OSRRefH22_1x_0" localSheetId="93">'444'!$H$35:$H$40</definedName>
    <definedName name="OSRRefH22_1x_0" localSheetId="94">'450'!$H$34:$H$39</definedName>
    <definedName name="OSRRefH22_1x_0" localSheetId="88">'455'!$H$28:$H$29</definedName>
    <definedName name="OSRRefH22_1x_0" localSheetId="75">'491'!$H$41:$H$47</definedName>
    <definedName name="OSRRefH22_1x_0" localSheetId="89">'492'!$H$35:$H$41</definedName>
    <definedName name="OSRRefH22_1x_0" localSheetId="96">'501'!$H$31:$H$35</definedName>
    <definedName name="OSRRefH22_1x_0" localSheetId="39">'Div 2'!$H$31:$H$37</definedName>
    <definedName name="OSRRefH22_1x_0" localSheetId="47">'Div 3'!$H$146:$H$152</definedName>
    <definedName name="OSRRefH22_1x_0" localSheetId="95">'Div 5'!$H$31:$H$35</definedName>
    <definedName name="OSRRefH22_1x_0" localSheetId="63">'Div 6'!$H$60:$H$64</definedName>
    <definedName name="OSRRefH22_1x_0" localSheetId="2">Summary!$H$177:$H$183</definedName>
    <definedName name="OSRRefH22_20x_0" localSheetId="48">'300'!$H$196:$H$202</definedName>
    <definedName name="OSRRefH22_20x_0" localSheetId="49">'300 &amp; 317'!$H$220:$H$226</definedName>
    <definedName name="OSRRefH22_20x_0" localSheetId="50">'301'!$H$83:$H$84</definedName>
    <definedName name="OSRRefH22_20x_0" localSheetId="74">'310 &amp; 491'!$H$106</definedName>
    <definedName name="OSRRefH22_20x_0" localSheetId="75">'491'!$H$102</definedName>
    <definedName name="OSRRefH22_20x_0" localSheetId="47">'Div 3'!$H$201:$H$202</definedName>
    <definedName name="OSRRefH22_20x_0" localSheetId="2">Summary!$H$229:$H$233</definedName>
    <definedName name="OSRRefH22_21x_0" localSheetId="48">'300'!$H$204:$H$205</definedName>
    <definedName name="OSRRefH22_21x_0" localSheetId="49">'300 &amp; 317'!$H$228:$H$229</definedName>
    <definedName name="OSRRefH22_21x_0" localSheetId="50">'301'!$H$86</definedName>
    <definedName name="OSRRefH22_21x_0" localSheetId="74">'310 &amp; 491'!$H$108:$H$110</definedName>
    <definedName name="OSRRefH22_21x_0" localSheetId="47">'Div 3'!$H$204:$H$210</definedName>
    <definedName name="OSRRefH22_21x_0" localSheetId="2">Summary!$H$235:$H$236</definedName>
    <definedName name="OSRRefH22_22x_0" localSheetId="48">'300'!$H$207</definedName>
    <definedName name="OSRRefH22_22x_0" localSheetId="49">'300 &amp; 317'!$H$231</definedName>
    <definedName name="OSRRefH22_22x_0" localSheetId="74">'310 &amp; 491'!$H$112</definedName>
    <definedName name="OSRRefH22_22x_0" localSheetId="47">'Div 3'!$H$212:$H$213</definedName>
    <definedName name="OSRRefH22_22x_0" localSheetId="2">Summary!$H$238:$H$246</definedName>
    <definedName name="OSRRefH22_23x_0" localSheetId="48">'300'!$H$209:$H$211</definedName>
    <definedName name="OSRRefH22_23x_0" localSheetId="49">'300 &amp; 317'!$H$233:$H$235</definedName>
    <definedName name="OSRRefH22_23x_0" localSheetId="47">'Div 3'!$H$215</definedName>
    <definedName name="OSRRefH22_23x_0" localSheetId="2">Summary!$H$248:$H$249</definedName>
    <definedName name="OSRRefH22_24x_0" localSheetId="48">'300'!$H$213</definedName>
    <definedName name="OSRRefH22_24x_0" localSheetId="49">'300 &amp; 317'!$H$237</definedName>
    <definedName name="OSRRefH22_24x_0" localSheetId="47">'Div 3'!$H$217:$H$219</definedName>
    <definedName name="OSRRefH22_24x_0" localSheetId="2">Summary!$H$251</definedName>
    <definedName name="OSRRefH22_25x_0" localSheetId="47">'Div 3'!$H$221</definedName>
    <definedName name="OSRRefH22_25x_0" localSheetId="2">Summary!$H$253:$H$255</definedName>
    <definedName name="OSRRefH22_26x_0" localSheetId="2">Summary!$H$257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'203'!$H$35</definedName>
    <definedName name="OSRRefH22_2x_0" localSheetId="44">'204'!$H$36</definedName>
    <definedName name="OSRRefH22_2x_0" localSheetId="45">'205'!$H$31</definedName>
    <definedName name="OSRRefH22_2x_0" localSheetId="46">'206'!$H$33</definedName>
    <definedName name="OSRRefH22_2x_0" localSheetId="48">'300'!$H$149</definedName>
    <definedName name="OSRRefH22_2x_0" localSheetId="49">'300 &amp; 317'!$H$173</definedName>
    <definedName name="OSRRefH22_2x_0" localSheetId="50">'301'!$H$37</definedName>
    <definedName name="OSRRefH22_2x_0" localSheetId="51">'306'!$H$37</definedName>
    <definedName name="OSRRefH22_2x_0" localSheetId="53">'307'!$H$61</definedName>
    <definedName name="OSRRefH22_2x_0" localSheetId="55">'308'!$H$70</definedName>
    <definedName name="OSRRefH22_2x_0" localSheetId="67">'309'!$H$38</definedName>
    <definedName name="OSRRefH22_2x_0" localSheetId="66">'310'!$H$45</definedName>
    <definedName name="OSRRefH22_2x_0" localSheetId="74">'310 &amp; 491'!$H$55</definedName>
    <definedName name="OSRRefH22_2x_0" localSheetId="56">'311'!$H$69</definedName>
    <definedName name="OSRRefH22_2x_0" localSheetId="68">'313'!$H$40</definedName>
    <definedName name="OSRRefH22_2x_0" localSheetId="54">'314'!$H$57</definedName>
    <definedName name="OSRRefH22_2x_0" localSheetId="59">'315'!$H$82</definedName>
    <definedName name="OSRRefH22_2x_0" localSheetId="62">'316'!$H$43</definedName>
    <definedName name="OSRRefH22_2x_0" localSheetId="64">'317'!$H$66</definedName>
    <definedName name="OSRRefH22_2x_0" localSheetId="65">'320'!$H$38</definedName>
    <definedName name="OSRRefH22_2x_0" localSheetId="69">'321'!$H$35</definedName>
    <definedName name="OSRRefH22_2x_0" localSheetId="70">'322'!$H$37</definedName>
    <definedName name="OSRRefH22_2x_0" localSheetId="72">'325'!$H$38</definedName>
    <definedName name="OSRRefH22_2x_0" localSheetId="60">'326'!$H$64</definedName>
    <definedName name="OSRRefH22_2x_0" localSheetId="52">'330'!$H$73</definedName>
    <definedName name="OSRRefH22_2x_0" localSheetId="58">'331'!$H$86</definedName>
    <definedName name="OSRRefH22_2x_0" localSheetId="61">'332'!$H$50</definedName>
    <definedName name="OSRRefH22_2x_0" localSheetId="76">'405'!$H$36</definedName>
    <definedName name="OSRRefH22_2x_0" localSheetId="77">'406'!$H$35</definedName>
    <definedName name="OSRRefH22_2x_0" localSheetId="78">'411'!$H$37</definedName>
    <definedName name="OSRRefH22_2x_0" localSheetId="79">'412'!$H$39</definedName>
    <definedName name="OSRRefH22_2x_0" localSheetId="81">'413'!$H$37</definedName>
    <definedName name="OSRRefH22_2x_0" localSheetId="82">'414'!$H$36</definedName>
    <definedName name="OSRRefH22_2x_0" localSheetId="83">'415'!$H$38</definedName>
    <definedName name="OSRRefH22_2x_0" localSheetId="84">'418'!$H$39</definedName>
    <definedName name="OSRRefH22_2x_0" localSheetId="85">'423'!$H$31</definedName>
    <definedName name="OSRRefH22_2x_0" localSheetId="86">'424'!$H$27</definedName>
    <definedName name="OSRRefH22_2x_0" localSheetId="87">'425'!$H$39</definedName>
    <definedName name="OSRRefH22_2x_0" localSheetId="90">'430'!$H$31</definedName>
    <definedName name="OSRRefH22_2x_0" localSheetId="91">'433'!$H$42</definedName>
    <definedName name="OSRRefH22_2x_0" localSheetId="92">'435'!$H$25</definedName>
    <definedName name="OSRRefH22_2x_0" localSheetId="93">'444'!$H$42</definedName>
    <definedName name="OSRRefH22_2x_0" localSheetId="94">'450'!$H$41</definedName>
    <definedName name="OSRRefH22_2x_0" localSheetId="75">'491'!$H$49</definedName>
    <definedName name="OSRRefH22_2x_0" localSheetId="89">'492'!$H$43</definedName>
    <definedName name="OSRRefH22_2x_0" localSheetId="96">'501'!$H$37</definedName>
    <definedName name="OSRRefH22_2x_0" localSheetId="39">'Div 2'!$H$39</definedName>
    <definedName name="OSRRefH22_2x_0" localSheetId="47">'Div 3'!$H$154</definedName>
    <definedName name="OSRRefH22_2x_0" localSheetId="95">'Div 5'!$H$37</definedName>
    <definedName name="OSRRefH22_2x_0" localSheetId="63">'Div 6'!$H$66</definedName>
    <definedName name="OSRRefH22_2x_0" localSheetId="2">Summary!$H$185</definedName>
    <definedName name="OSRRefH22_3x_0" localSheetId="41">'201'!$H$35</definedName>
    <definedName name="OSRRefH22_3x_0" localSheetId="42">'202'!$H$36</definedName>
    <definedName name="OSRRefH22_3x_0" localSheetId="43">'203'!$H$37</definedName>
    <definedName name="OSRRefH22_3x_0" localSheetId="44">'204'!$H$38</definedName>
    <definedName name="OSRRefH22_3x_0" localSheetId="45">'205'!$H$33:$H$34</definedName>
    <definedName name="OSRRefH22_3x_0" localSheetId="46">'206'!$H$35</definedName>
    <definedName name="OSRRefH22_3x_0" localSheetId="48">'300'!$H$151</definedName>
    <definedName name="OSRRefH22_3x_0" localSheetId="49">'300 &amp; 317'!$H$175</definedName>
    <definedName name="OSRRefH22_3x_0" localSheetId="50">'301'!$H$39</definedName>
    <definedName name="OSRRefH22_3x_0" localSheetId="51">'306'!$H$39</definedName>
    <definedName name="OSRRefH22_3x_0" localSheetId="53">'307'!$H$63</definedName>
    <definedName name="OSRRefH22_3x_0" localSheetId="55">'308'!$H$72</definedName>
    <definedName name="OSRRefH22_3x_0" localSheetId="67">'309'!$H$40</definedName>
    <definedName name="OSRRefH22_3x_0" localSheetId="66">'310'!$H$47</definedName>
    <definedName name="OSRRefH22_3x_0" localSheetId="74">'310 &amp; 491'!$H$57</definedName>
    <definedName name="OSRRefH22_3x_0" localSheetId="56">'311'!$H$71</definedName>
    <definedName name="OSRRefH22_3x_0" localSheetId="68">'313'!$H$42</definedName>
    <definedName name="OSRRefH22_3x_0" localSheetId="54">'314'!$H$59</definedName>
    <definedName name="OSRRefH22_3x_0" localSheetId="59">'315'!$H$84</definedName>
    <definedName name="OSRRefH22_3x_0" localSheetId="62">'316'!$H$45</definedName>
    <definedName name="OSRRefH22_3x_0" localSheetId="64">'317'!$H$68</definedName>
    <definedName name="OSRRefH22_3x_0" localSheetId="65">'320'!$H$40:$H$41</definedName>
    <definedName name="OSRRefH22_3x_0" localSheetId="69">'321'!$H$37</definedName>
    <definedName name="OSRRefH22_3x_0" localSheetId="70">'322'!$H$39</definedName>
    <definedName name="OSRRefH22_3x_0" localSheetId="72">'325'!$H$40</definedName>
    <definedName name="OSRRefH22_3x_0" localSheetId="60">'326'!$H$66</definedName>
    <definedName name="OSRRefH22_3x_0" localSheetId="52">'330'!$H$75</definedName>
    <definedName name="OSRRefH22_3x_0" localSheetId="58">'331'!$H$88</definedName>
    <definedName name="OSRRefH22_3x_0" localSheetId="61">'332'!$H$52</definedName>
    <definedName name="OSRRefH22_3x_0" localSheetId="76">'405'!$H$38</definedName>
    <definedName name="OSRRefH22_3x_0" localSheetId="77">'406'!$H$37</definedName>
    <definedName name="OSRRefH22_3x_0" localSheetId="78">'411'!$H$39</definedName>
    <definedName name="OSRRefH22_3x_0" localSheetId="79">'412'!$H$41</definedName>
    <definedName name="OSRRefH22_3x_0" localSheetId="81">'413'!$H$39</definedName>
    <definedName name="OSRRefH22_3x_0" localSheetId="82">'414'!$H$38</definedName>
    <definedName name="OSRRefH22_3x_0" localSheetId="83">'415'!$H$40</definedName>
    <definedName name="OSRRefH22_3x_0" localSheetId="84">'418'!$H$41</definedName>
    <definedName name="OSRRefH22_3x_0" localSheetId="85">'423'!$H$33</definedName>
    <definedName name="OSRRefH22_3x_0" localSheetId="86">'424'!$H$29</definedName>
    <definedName name="OSRRefH22_3x_0" localSheetId="87">'425'!$H$41</definedName>
    <definedName name="OSRRefH22_3x_0" localSheetId="90">'430'!$H$33:$H$34</definedName>
    <definedName name="OSRRefH22_3x_0" localSheetId="91">'433'!$H$44</definedName>
    <definedName name="OSRRefH22_3x_0" localSheetId="92">'435'!$H$27</definedName>
    <definedName name="OSRRefH22_3x_0" localSheetId="93">'444'!$H$44</definedName>
    <definedName name="OSRRefH22_3x_0" localSheetId="94">'450'!$H$43</definedName>
    <definedName name="OSRRefH22_3x_0" localSheetId="75">'491'!$H$51</definedName>
    <definedName name="OSRRefH22_3x_0" localSheetId="89">'492'!$H$45</definedName>
    <definedName name="OSRRefH22_3x_0" localSheetId="96">'501'!$H$39</definedName>
    <definedName name="OSRRefH22_3x_0" localSheetId="39">'Div 2'!$H$41</definedName>
    <definedName name="OSRRefH22_3x_0" localSheetId="47">'Div 3'!$H$156</definedName>
    <definedName name="OSRRefH22_3x_0" localSheetId="95">'Div 5'!$H$39</definedName>
    <definedName name="OSRRefH22_3x_0" localSheetId="63">'Div 6'!$H$68</definedName>
    <definedName name="OSRRefH22_3x_0" localSheetId="2">Summary!$H$187</definedName>
    <definedName name="OSRRefH22_4x_0" localSheetId="41">'201'!$H$37</definedName>
    <definedName name="OSRRefH22_4x_0" localSheetId="42">'202'!$H$38</definedName>
    <definedName name="OSRRefH22_4x_0" localSheetId="43">'203'!$H$39</definedName>
    <definedName name="OSRRefH22_4x_0" localSheetId="44">'204'!$H$40:$H$42</definedName>
    <definedName name="OSRRefH22_4x_0" localSheetId="45">'205'!$H$36</definedName>
    <definedName name="OSRRefH22_4x_0" localSheetId="46">'206'!$H$37:$H$38</definedName>
    <definedName name="OSRRefH22_4x_0" localSheetId="48">'300'!$H$153</definedName>
    <definedName name="OSRRefH22_4x_0" localSheetId="49">'300 &amp; 317'!$H$177</definedName>
    <definedName name="OSRRefH22_4x_0" localSheetId="50">'301'!$H$41</definedName>
    <definedName name="OSRRefH22_4x_0" localSheetId="51">'306'!$H$41</definedName>
    <definedName name="OSRRefH22_4x_0" localSheetId="53">'307'!$H$65</definedName>
    <definedName name="OSRRefH22_4x_0" localSheetId="55">'308'!$H$74</definedName>
    <definedName name="OSRRefH22_4x_0" localSheetId="67">'309'!$H$42</definedName>
    <definedName name="OSRRefH22_4x_0" localSheetId="66">'310'!$H$49</definedName>
    <definedName name="OSRRefH22_4x_0" localSheetId="74">'310 &amp; 491'!$H$59</definedName>
    <definedName name="OSRRefH22_4x_0" localSheetId="56">'311'!$H$73</definedName>
    <definedName name="OSRRefH22_4x_0" localSheetId="68">'313'!$H$44</definedName>
    <definedName name="OSRRefH22_4x_0" localSheetId="59">'315'!$H$86</definedName>
    <definedName name="OSRRefH22_4x_0" localSheetId="62">'316'!$H$47</definedName>
    <definedName name="OSRRefH22_4x_0" localSheetId="64">'317'!$H$70</definedName>
    <definedName name="OSRRefH22_4x_0" localSheetId="65">'320'!$H$43</definedName>
    <definedName name="OSRRefH22_4x_0" localSheetId="69">'321'!$H$39</definedName>
    <definedName name="OSRRefH22_4x_0" localSheetId="70">'322'!$H$41</definedName>
    <definedName name="OSRRefH22_4x_0" localSheetId="72">'325'!$H$42:$H$43</definedName>
    <definedName name="OSRRefH22_4x_0" localSheetId="60">'326'!$H$68</definedName>
    <definedName name="OSRRefH22_4x_0" localSheetId="52">'330'!$H$77</definedName>
    <definedName name="OSRRefH22_4x_0" localSheetId="58">'331'!$H$90</definedName>
    <definedName name="OSRRefH22_4x_0" localSheetId="61">'332'!$H$54</definedName>
    <definedName name="OSRRefH22_4x_0" localSheetId="76">'405'!$H$40</definedName>
    <definedName name="OSRRefH22_4x_0" localSheetId="77">'406'!$H$39</definedName>
    <definedName name="OSRRefH22_4x_0" localSheetId="78">'411'!$H$41:$H$43</definedName>
    <definedName name="OSRRefH22_4x_0" localSheetId="79">'412'!$H$43</definedName>
    <definedName name="OSRRefH22_4x_0" localSheetId="81">'413'!$H$41</definedName>
    <definedName name="OSRRefH22_4x_0" localSheetId="82">'414'!$H$40</definedName>
    <definedName name="OSRRefH22_4x_0" localSheetId="83">'415'!$H$42</definedName>
    <definedName name="OSRRefH22_4x_0" localSheetId="84">'418'!$H$43</definedName>
    <definedName name="OSRRefH22_4x_0" localSheetId="85">'423'!$H$35</definedName>
    <definedName name="OSRRefH22_4x_0" localSheetId="86">'424'!$H$31</definedName>
    <definedName name="OSRRefH22_4x_0" localSheetId="87">'425'!$H$43</definedName>
    <definedName name="OSRRefH22_4x_0" localSheetId="90">'430'!$H$36</definedName>
    <definedName name="OSRRefH22_4x_0" localSheetId="91">'433'!$H$46</definedName>
    <definedName name="OSRRefH22_4x_0" localSheetId="93">'444'!$H$46</definedName>
    <definedName name="OSRRefH22_4x_0" localSheetId="94">'450'!$H$45</definedName>
    <definedName name="OSRRefH22_4x_0" localSheetId="75">'491'!$H$53</definedName>
    <definedName name="OSRRefH22_4x_0" localSheetId="89">'492'!$H$47</definedName>
    <definedName name="OSRRefH22_4x_0" localSheetId="96">'501'!$H$41</definedName>
    <definedName name="OSRRefH22_4x_0" localSheetId="39">'Div 2'!$H$43</definedName>
    <definedName name="OSRRefH22_4x_0" localSheetId="47">'Div 3'!$H$158</definedName>
    <definedName name="OSRRefH22_4x_0" localSheetId="95">'Div 5'!$H$41</definedName>
    <definedName name="OSRRefH22_4x_0" localSheetId="63">'Div 6'!$H$70</definedName>
    <definedName name="OSRRefH22_4x_0" localSheetId="2">Summary!$H$189</definedName>
    <definedName name="OSRRefH22_5x_0" localSheetId="41">'201'!$H$39</definedName>
    <definedName name="OSRRefH22_5x_0" localSheetId="42">'202'!$H$40</definedName>
    <definedName name="OSRRefH22_5x_0" localSheetId="43">'203'!$H$41</definedName>
    <definedName name="OSRRefH22_5x_0" localSheetId="44">'204'!$H$44</definedName>
    <definedName name="OSRRefH22_5x_0" localSheetId="45">'205'!$H$38</definedName>
    <definedName name="OSRRefH22_5x_0" localSheetId="46">'206'!$H$40</definedName>
    <definedName name="OSRRefH22_5x_0" localSheetId="48">'300'!$H$155:$H$156</definedName>
    <definedName name="OSRRefH22_5x_0" localSheetId="49">'300 &amp; 317'!$H$179:$H$180</definedName>
    <definedName name="OSRRefH22_5x_0" localSheetId="50">'301'!$H$43:$H$44</definedName>
    <definedName name="OSRRefH22_5x_0" localSheetId="53">'307'!$H$67</definedName>
    <definedName name="OSRRefH22_5x_0" localSheetId="55">'308'!$H$76</definedName>
    <definedName name="OSRRefH22_5x_0" localSheetId="67">'309'!$H$44</definedName>
    <definedName name="OSRRefH22_5x_0" localSheetId="66">'310'!$H$51:$H$52</definedName>
    <definedName name="OSRRefH22_5x_0" localSheetId="74">'310 &amp; 491'!$H$61:$H$63</definedName>
    <definedName name="OSRRefH22_5x_0" localSheetId="56">'311'!$H$75</definedName>
    <definedName name="OSRRefH22_5x_0" localSheetId="68">'313'!$H$46</definedName>
    <definedName name="OSRRefH22_5x_0" localSheetId="59">'315'!$H$88</definedName>
    <definedName name="OSRRefH22_5x_0" localSheetId="62">'316'!$H$49:$H$50</definedName>
    <definedName name="OSRRefH22_5x_0" localSheetId="64">'317'!$H$72:$H$73</definedName>
    <definedName name="OSRRefH22_5x_0" localSheetId="65">'320'!$H$45</definedName>
    <definedName name="OSRRefH22_5x_0" localSheetId="69">'321'!$H$41</definedName>
    <definedName name="OSRRefH22_5x_0" localSheetId="70">'322'!$H$43</definedName>
    <definedName name="OSRRefH22_5x_0" localSheetId="72">'325'!$H$45</definedName>
    <definedName name="OSRRefH22_5x_0" localSheetId="60">'326'!$H$70</definedName>
    <definedName name="OSRRefH22_5x_0" localSheetId="52">'330'!$H$79</definedName>
    <definedName name="OSRRefH22_5x_0" localSheetId="58">'331'!$H$92</definedName>
    <definedName name="OSRRefH22_5x_0" localSheetId="61">'332'!$H$56:$H$57</definedName>
    <definedName name="OSRRefH22_5x_0" localSheetId="76">'405'!$H$42:$H$43</definedName>
    <definedName name="OSRRefH22_5x_0" localSheetId="77">'406'!$H$41</definedName>
    <definedName name="OSRRefH22_5x_0" localSheetId="78">'411'!$H$45</definedName>
    <definedName name="OSRRefH22_5x_0" localSheetId="79">'412'!$H$45</definedName>
    <definedName name="OSRRefH22_5x_0" localSheetId="81">'413'!$H$43</definedName>
    <definedName name="OSRRefH22_5x_0" localSheetId="82">'414'!$H$42</definedName>
    <definedName name="OSRRefH22_5x_0" localSheetId="83">'415'!$H$44:$H$45</definedName>
    <definedName name="OSRRefH22_5x_0" localSheetId="84">'418'!$H$45:$H$46</definedName>
    <definedName name="OSRRefH22_5x_0" localSheetId="85">'423'!$H$37</definedName>
    <definedName name="OSRRefH22_5x_0" localSheetId="86">'424'!$H$33</definedName>
    <definedName name="OSRRefH22_5x_0" localSheetId="87">'425'!$H$45</definedName>
    <definedName name="OSRRefH22_5x_0" localSheetId="90">'430'!$H$38</definedName>
    <definedName name="OSRRefH22_5x_0" localSheetId="91">'433'!$H$48</definedName>
    <definedName name="OSRRefH22_5x_0" localSheetId="93">'444'!$H$48</definedName>
    <definedName name="OSRRefH22_5x_0" localSheetId="94">'450'!$H$47</definedName>
    <definedName name="OSRRefH22_5x_0" localSheetId="75">'491'!$H$55:$H$57</definedName>
    <definedName name="OSRRefH22_5x_0" localSheetId="89">'492'!$H$49</definedName>
    <definedName name="OSRRefH22_5x_0" localSheetId="96">'501'!$H$43</definedName>
    <definedName name="OSRRefH22_5x_0" localSheetId="39">'Div 2'!$H$45</definedName>
    <definedName name="OSRRefH22_5x_0" localSheetId="47">'Div 3'!$H$160:$H$161</definedName>
    <definedName name="OSRRefH22_5x_0" localSheetId="95">'Div 5'!$H$43</definedName>
    <definedName name="OSRRefH22_5x_0" localSheetId="63">'Div 6'!$H$72:$H$73</definedName>
    <definedName name="OSRRefH22_5x_0" localSheetId="2">Summary!$H$191:$H$193</definedName>
    <definedName name="OSRRefH22_6x_0" localSheetId="41">'201'!$H$41</definedName>
    <definedName name="OSRRefH22_6x_0" localSheetId="42">'202'!$H$42</definedName>
    <definedName name="OSRRefH22_6x_0" localSheetId="43">'203'!$H$43</definedName>
    <definedName name="OSRRefH22_6x_0" localSheetId="44">'204'!$H$46:$H$47</definedName>
    <definedName name="OSRRefH22_6x_0" localSheetId="45">'205'!$H$40</definedName>
    <definedName name="OSRRefH22_6x_0" localSheetId="48">'300'!$H$158:$H$159</definedName>
    <definedName name="OSRRefH22_6x_0" localSheetId="49">'300 &amp; 317'!$H$182:$H$183</definedName>
    <definedName name="OSRRefH22_6x_0" localSheetId="50">'301'!$H$46:$H$47</definedName>
    <definedName name="OSRRefH22_6x_0" localSheetId="53">'307'!$H$69:$H$70</definedName>
    <definedName name="OSRRefH22_6x_0" localSheetId="55">'308'!$H$78</definedName>
    <definedName name="OSRRefH22_6x_0" localSheetId="67">'309'!$H$46</definedName>
    <definedName name="OSRRefH22_6x_0" localSheetId="66">'310'!$H$54</definedName>
    <definedName name="OSRRefH22_6x_0" localSheetId="74">'310 &amp; 491'!$H$65</definedName>
    <definedName name="OSRRefH22_6x_0" localSheetId="56">'311'!$H$77</definedName>
    <definedName name="OSRRefH22_6x_0" localSheetId="68">'313'!$H$48</definedName>
    <definedName name="OSRRefH22_6x_0" localSheetId="59">'315'!$H$90</definedName>
    <definedName name="OSRRefH22_6x_0" localSheetId="62">'316'!$H$52</definedName>
    <definedName name="OSRRefH22_6x_0" localSheetId="64">'317'!$H$75</definedName>
    <definedName name="OSRRefH22_6x_0" localSheetId="69">'321'!$H$43</definedName>
    <definedName name="OSRRefH22_6x_0" localSheetId="70">'322'!$H$45</definedName>
    <definedName name="OSRRefH22_6x_0" localSheetId="72">'325'!$H$47</definedName>
    <definedName name="OSRRefH22_6x_0" localSheetId="60">'326'!$H$72</definedName>
    <definedName name="OSRRefH22_6x_0" localSheetId="52">'330'!$H$81:$H$82</definedName>
    <definedName name="OSRRefH22_6x_0" localSheetId="58">'331'!$H$94</definedName>
    <definedName name="OSRRefH22_6x_0" localSheetId="61">'332'!$H$59</definedName>
    <definedName name="OSRRefH22_6x_0" localSheetId="76">'405'!$H$45</definedName>
    <definedName name="OSRRefH22_6x_0" localSheetId="77">'406'!$H$43</definedName>
    <definedName name="OSRRefH22_6x_0" localSheetId="78">'411'!$H$47</definedName>
    <definedName name="OSRRefH22_6x_0" localSheetId="79">'412'!$H$47</definedName>
    <definedName name="OSRRefH22_6x_0" localSheetId="81">'413'!$H$45</definedName>
    <definedName name="OSRRefH22_6x_0" localSheetId="82">'414'!$H$44</definedName>
    <definedName name="OSRRefH22_6x_0" localSheetId="83">'415'!$H$47</definedName>
    <definedName name="OSRRefH22_6x_0" localSheetId="84">'418'!$H$48</definedName>
    <definedName name="OSRRefH22_6x_0" localSheetId="86">'424'!$H$35</definedName>
    <definedName name="OSRRefH22_6x_0" localSheetId="87">'425'!$H$47</definedName>
    <definedName name="OSRRefH22_6x_0" localSheetId="91">'433'!$H$50</definedName>
    <definedName name="OSRRefH22_6x_0" localSheetId="93">'444'!$H$50</definedName>
    <definedName name="OSRRefH22_6x_0" localSheetId="94">'450'!$H$49</definedName>
    <definedName name="OSRRefH22_6x_0" localSheetId="75">'491'!$H$59</definedName>
    <definedName name="OSRRefH22_6x_0" localSheetId="89">'492'!$H$51</definedName>
    <definedName name="OSRRefH22_6x_0" localSheetId="96">'501'!$H$45</definedName>
    <definedName name="OSRRefH22_6x_0" localSheetId="39">'Div 2'!$H$47</definedName>
    <definedName name="OSRRefH22_6x_0" localSheetId="47">'Div 3'!$H$163:$H$164</definedName>
    <definedName name="OSRRefH22_6x_0" localSheetId="95">'Div 5'!$H$45</definedName>
    <definedName name="OSRRefH22_6x_0" localSheetId="63">'Div 6'!$H$75</definedName>
    <definedName name="OSRRefH22_6x_0" localSheetId="2">Summary!$H$195:$H$196</definedName>
    <definedName name="OSRRefH22_7x_0" localSheetId="41">'201'!$H$43</definedName>
    <definedName name="OSRRefH22_7x_0" localSheetId="42">'202'!$H$44:$H$45</definedName>
    <definedName name="OSRRefH22_7x_0" localSheetId="43">'203'!$H$45</definedName>
    <definedName name="OSRRefH22_7x_0" localSheetId="44">'204'!$H$49</definedName>
    <definedName name="OSRRefH22_7x_0" localSheetId="48">'300'!$H$161</definedName>
    <definedName name="OSRRefH22_7x_0" localSheetId="49">'300 &amp; 317'!$H$185</definedName>
    <definedName name="OSRRefH22_7x_0" localSheetId="50">'301'!$H$49</definedName>
    <definedName name="OSRRefH22_7x_0" localSheetId="53">'307'!$H$72:$H$73</definedName>
    <definedName name="OSRRefH22_7x_0" localSheetId="55">'308'!$H$80</definedName>
    <definedName name="OSRRefH22_7x_0" localSheetId="67">'309'!$H$48</definedName>
    <definedName name="OSRRefH22_7x_0" localSheetId="66">'310'!$H$56</definedName>
    <definedName name="OSRRefH22_7x_0" localSheetId="74">'310 &amp; 491'!$H$67</definedName>
    <definedName name="OSRRefH22_7x_0" localSheetId="56">'311'!$H$79</definedName>
    <definedName name="OSRRefH22_7x_0" localSheetId="68">'313'!$H$50</definedName>
    <definedName name="OSRRefH22_7x_0" localSheetId="59">'315'!$H$92:$H$93</definedName>
    <definedName name="OSRRefH22_7x_0" localSheetId="62">'316'!$H$54</definedName>
    <definedName name="OSRRefH22_7x_0" localSheetId="64">'317'!$H$77</definedName>
    <definedName name="OSRRefH22_7x_0" localSheetId="69">'321'!$H$45:$H$46</definedName>
    <definedName name="OSRRefH22_7x_0" localSheetId="70">'322'!$H$47</definedName>
    <definedName name="OSRRefH22_7x_0" localSheetId="72">'325'!$H$49</definedName>
    <definedName name="OSRRefH22_7x_0" localSheetId="60">'326'!$H$74</definedName>
    <definedName name="OSRRefH22_7x_0" localSheetId="52">'330'!$H$84:$H$85</definedName>
    <definedName name="OSRRefH22_7x_0" localSheetId="58">'331'!$H$96</definedName>
    <definedName name="OSRRefH22_7x_0" localSheetId="61">'332'!$H$61</definedName>
    <definedName name="OSRRefH22_7x_0" localSheetId="76">'405'!$H$47</definedName>
    <definedName name="OSRRefH22_7x_0" localSheetId="77">'406'!$H$45:$H$46</definedName>
    <definedName name="OSRRefH22_7x_0" localSheetId="78">'411'!$H$49</definedName>
    <definedName name="OSRRefH22_7x_0" localSheetId="79">'412'!$H$49</definedName>
    <definedName name="OSRRefH22_7x_0" localSheetId="81">'413'!$H$47</definedName>
    <definedName name="OSRRefH22_7x_0" localSheetId="82">'414'!$H$46</definedName>
    <definedName name="OSRRefH22_7x_0" localSheetId="83">'415'!$H$49</definedName>
    <definedName name="OSRRefH22_7x_0" localSheetId="84">'418'!$H$50</definedName>
    <definedName name="OSRRefH22_7x_0" localSheetId="86">'424'!$H$37</definedName>
    <definedName name="OSRRefH22_7x_0" localSheetId="87">'425'!$H$49:$H$50</definedName>
    <definedName name="OSRRefH22_7x_0" localSheetId="91">'433'!$H$52</definedName>
    <definedName name="OSRRefH22_7x_0" localSheetId="93">'444'!$H$52</definedName>
    <definedName name="OSRRefH22_7x_0" localSheetId="94">'450'!$H$51</definedName>
    <definedName name="OSRRefH22_7x_0" localSheetId="75">'491'!$H$61</definedName>
    <definedName name="OSRRefH22_7x_0" localSheetId="89">'492'!$H$53</definedName>
    <definedName name="OSRRefH22_7x_0" localSheetId="39">'Div 2'!$H$49</definedName>
    <definedName name="OSRRefH22_7x_0" localSheetId="47">'Div 3'!$H$166</definedName>
    <definedName name="OSRRefH22_7x_0" localSheetId="63">'Div 6'!$H$77</definedName>
    <definedName name="OSRRefH22_7x_0" localSheetId="2">Summary!$H$198</definedName>
    <definedName name="OSRRefH22_8x_0" localSheetId="41">'201'!$H$45:$H$46</definedName>
    <definedName name="OSRRefH22_8x_0" localSheetId="42">'202'!$H$47</definedName>
    <definedName name="OSRRefH22_8x_0" localSheetId="43">'203'!$H$47</definedName>
    <definedName name="OSRRefH22_8x_0" localSheetId="48">'300'!$H$163</definedName>
    <definedName name="OSRRefH22_8x_0" localSheetId="49">'300 &amp; 317'!$H$187</definedName>
    <definedName name="OSRRefH22_8x_0" localSheetId="50">'301'!$H$51</definedName>
    <definedName name="OSRRefH22_8x_0" localSheetId="53">'307'!$H$75</definedName>
    <definedName name="OSRRefH22_8x_0" localSheetId="55">'308'!$H$82</definedName>
    <definedName name="OSRRefH22_8x_0" localSheetId="67">'309'!$H$50:$H$51</definedName>
    <definedName name="OSRRefH22_8x_0" localSheetId="66">'310'!$H$58</definedName>
    <definedName name="OSRRefH22_8x_0" localSheetId="74">'310 &amp; 491'!$H$69</definedName>
    <definedName name="OSRRefH22_8x_0" localSheetId="56">'311'!$H$81</definedName>
    <definedName name="OSRRefH22_8x_0" localSheetId="68">'313'!$H$52</definedName>
    <definedName name="OSRRefH22_8x_0" localSheetId="59">'315'!$H$95:$H$97</definedName>
    <definedName name="OSRRefH22_8x_0" localSheetId="62">'316'!$H$56:$H$60</definedName>
    <definedName name="OSRRefH22_8x_0" localSheetId="64">'317'!$H$79:$H$81</definedName>
    <definedName name="OSRRefH22_8x_0" localSheetId="69">'321'!$H$48:$H$50</definedName>
    <definedName name="OSRRefH22_8x_0" localSheetId="70">'322'!$H$49:$H$51</definedName>
    <definedName name="OSRRefH22_8x_0" localSheetId="72">'325'!$H$51</definedName>
    <definedName name="OSRRefH22_8x_0" localSheetId="60">'326'!$H$76</definedName>
    <definedName name="OSRRefH22_8x_0" localSheetId="52">'330'!$H$87</definedName>
    <definedName name="OSRRefH22_8x_0" localSheetId="58">'331'!$H$98</definedName>
    <definedName name="OSRRefH22_8x_0" localSheetId="61">'332'!$H$63:$H$67</definedName>
    <definedName name="OSRRefH22_8x_0" localSheetId="76">'405'!$H$49</definedName>
    <definedName name="OSRRefH22_8x_0" localSheetId="77">'406'!$H$48</definedName>
    <definedName name="OSRRefH22_8x_0" localSheetId="78">'411'!$H$51:$H$52</definedName>
    <definedName name="OSRRefH22_8x_0" localSheetId="79">'412'!$H$51</definedName>
    <definedName name="OSRRefH22_8x_0" localSheetId="81">'413'!$H$49:$H$50</definedName>
    <definedName name="OSRRefH22_8x_0" localSheetId="82">'414'!$H$48</definedName>
    <definedName name="OSRRefH22_8x_0" localSheetId="83">'415'!$H$51</definedName>
    <definedName name="OSRRefH22_8x_0" localSheetId="84">'418'!$H$52</definedName>
    <definedName name="OSRRefH22_8x_0" localSheetId="87">'425'!$H$52:$H$53</definedName>
    <definedName name="OSRRefH22_8x_0" localSheetId="91">'433'!$H$54:$H$56</definedName>
    <definedName name="OSRRefH22_8x_0" localSheetId="93">'444'!$H$54</definedName>
    <definedName name="OSRRefH22_8x_0" localSheetId="94">'450'!$H$53:$H$55</definedName>
    <definedName name="OSRRefH22_8x_0" localSheetId="75">'491'!$H$63</definedName>
    <definedName name="OSRRefH22_8x_0" localSheetId="89">'492'!$H$55</definedName>
    <definedName name="OSRRefH22_8x_0" localSheetId="39">'Div 2'!$H$51</definedName>
    <definedName name="OSRRefH22_8x_0" localSheetId="47">'Div 3'!$H$168</definedName>
    <definedName name="OSRRefH22_8x_0" localSheetId="63">'Div 6'!$H$79:$H$81</definedName>
    <definedName name="OSRRefH22_8x_0" localSheetId="2">Summary!$H$200</definedName>
    <definedName name="OSRRefH22_9x_0" localSheetId="41">'201'!$H$48:$H$49</definedName>
    <definedName name="OSRRefH22_9x_0" localSheetId="42">'202'!$H$49:$H$50</definedName>
    <definedName name="OSRRefH22_9x_0" localSheetId="43">'203'!$H$49:$H$50</definedName>
    <definedName name="OSRRefH22_9x_0" localSheetId="48">'300'!$H$165</definedName>
    <definedName name="OSRRefH22_9x_0" localSheetId="49">'300 &amp; 317'!$H$189</definedName>
    <definedName name="OSRRefH22_9x_0" localSheetId="50">'301'!$H$53</definedName>
    <definedName name="OSRRefH22_9x_0" localSheetId="55">'308'!$H$84</definedName>
    <definedName name="OSRRefH22_9x_0" localSheetId="67">'309'!$H$53:$H$54</definedName>
    <definedName name="OSRRefH22_9x_0" localSheetId="66">'310'!$H$60</definedName>
    <definedName name="OSRRefH22_9x_0" localSheetId="74">'310 &amp; 491'!$H$71</definedName>
    <definedName name="OSRRefH22_9x_0" localSheetId="56">'311'!$H$83</definedName>
    <definedName name="OSRRefH22_9x_0" localSheetId="68">'313'!$H$54</definedName>
    <definedName name="OSRRefH22_9x_0" localSheetId="59">'315'!$H$99</definedName>
    <definedName name="OSRRefH22_9x_0" localSheetId="62">'316'!$H$62</definedName>
    <definedName name="OSRRefH22_9x_0" localSheetId="64">'317'!$H$83</definedName>
    <definedName name="OSRRefH22_9x_0" localSheetId="69">'321'!$H$52</definedName>
    <definedName name="OSRRefH22_9x_0" localSheetId="70">'322'!$H$53:$H$55</definedName>
    <definedName name="OSRRefH22_9x_0" localSheetId="72">'325'!$H$53:$H$55</definedName>
    <definedName name="OSRRefH22_9x_0" localSheetId="60">'326'!$H$78</definedName>
    <definedName name="OSRRefH22_9x_0" localSheetId="58">'331'!$H$100</definedName>
    <definedName name="OSRRefH22_9x_0" localSheetId="61">'332'!$H$69</definedName>
    <definedName name="OSRRefH22_9x_0" localSheetId="76">'405'!$H$51:$H$52</definedName>
    <definedName name="OSRRefH22_9x_0" localSheetId="77">'406'!$H$50</definedName>
    <definedName name="OSRRefH22_9x_0" localSheetId="78">'411'!$H$54:$H$58</definedName>
    <definedName name="OSRRefH22_9x_0" localSheetId="79">'412'!$H$53:$H$54</definedName>
    <definedName name="OSRRefH22_9x_0" localSheetId="81">'413'!$H$52:$H$53</definedName>
    <definedName name="OSRRefH22_9x_0" localSheetId="82">'414'!$H$50</definedName>
    <definedName name="OSRRefH22_9x_0" localSheetId="83">'415'!$H$53</definedName>
    <definedName name="OSRRefH22_9x_0" localSheetId="84">'418'!$H$54:$H$55</definedName>
    <definedName name="OSRRefH22_9x_0" localSheetId="87">'425'!$H$55</definedName>
    <definedName name="OSRRefH22_9x_0" localSheetId="91">'433'!$H$58:$H$63</definedName>
    <definedName name="OSRRefH22_9x_0" localSheetId="93">'444'!$H$56:$H$58</definedName>
    <definedName name="OSRRefH22_9x_0" localSheetId="94">'450'!$H$57:$H$60</definedName>
    <definedName name="OSRRefH22_9x_0" localSheetId="75">'491'!$H$65</definedName>
    <definedName name="OSRRefH22_9x_0" localSheetId="89">'492'!$H$57</definedName>
    <definedName name="OSRRefH22_9x_0" localSheetId="39">'Div 2'!$H$53</definedName>
    <definedName name="OSRRefH22_9x_0" localSheetId="47">'Div 3'!$H$170</definedName>
    <definedName name="OSRRefH22_9x_0" localSheetId="63">'Div 6'!$H$83</definedName>
    <definedName name="OSRRefH22_9x_0" localSheetId="2">Summary!$H$202</definedName>
    <definedName name="OSRRefH22x_0" localSheetId="40">'200'!$H$20,'200'!$H$22,'200'!$H$24</definedName>
    <definedName name="OSRRefH22x_0" localSheetId="41">'201'!$H$20:$H$27,'201'!$H$29:$H$31,'201'!$H$33,'201'!$H$35,'201'!$H$37,'201'!$H$39,'201'!$H$41,'201'!$H$43,'201'!$H$45:$H$46,'201'!$H$48:$H$49,'201'!$H$51,'201'!$H$53:$H$55,'201'!$H$57,'201'!$H$59</definedName>
    <definedName name="OSRRefH22x_0" localSheetId="42">'202'!$H$20:$H$27,'202'!$H$29:$H$32,'202'!$H$34,'202'!$H$36,'202'!$H$38,'202'!$H$40,'202'!$H$42,'202'!$H$44:$H$45,'202'!$H$47,'202'!$H$49:$H$50,'202'!$H$52,'202'!$H$54</definedName>
    <definedName name="OSRRefH22x_0" localSheetId="43">'203'!$H$20:$H$28,'203'!$H$30:$H$33,'203'!$H$35,'203'!$H$37,'203'!$H$39,'203'!$H$41,'203'!$H$43,'203'!$H$45,'203'!$H$47,'203'!$H$49:$H$50,'203'!$H$52:$H$55,'203'!$H$57,'203'!$H$59,'203'!$H$61</definedName>
    <definedName name="OSRRefH22x_0" localSheetId="44">'204'!$H$20:$H$28,'204'!$H$30:$H$34,'204'!$H$36,'204'!$H$38,'204'!$H$40:$H$42,'204'!$H$44,'204'!$H$46:$H$47,'204'!$H$49</definedName>
    <definedName name="OSRRefH22x_0" localSheetId="45">'205'!$H$20:$H$27,'205'!$H$29,'205'!$H$31,'205'!$H$33:$H$34,'205'!$H$36,'205'!$H$38,'205'!$H$40</definedName>
    <definedName name="OSRRefH22x_0" localSheetId="46">'206'!$H$20:$H$26,'206'!$H$28:$H$31,'206'!$H$33,'206'!$H$35,'206'!$H$37:$H$38,'206'!$H$40</definedName>
    <definedName name="OSRRefH22x_0" localSheetId="48">'300'!$H$130:$H$139,'300'!$H$141:$H$147,'300'!$H$149,'300'!$H$151,'300'!$H$153,'300'!$H$155:$H$156,'300'!$H$158:$H$159,'300'!$H$161,'300'!$H$163,'300'!$H$165,'300'!$H$167:$H$168,'300'!$H$170,'300'!$H$172,'300'!$H$174,'300'!$H$176,'300'!$H$178,'300'!$H$180:$H$182,'300'!$H$184:$H$186,'300'!$H$188:$H$191,'300'!$H$193:$H$194,'300'!$H$196:$H$202,'300'!$H$204:$H$205,'300'!$H$207,'300'!$H$209:$H$211,'300'!$H$213</definedName>
    <definedName name="OSRRefH22x_0" localSheetId="49">'300 &amp; 317'!$H$154:$H$163,'300 &amp; 317'!$H$165:$H$171,'300 &amp; 317'!$H$173,'300 &amp; 317'!$H$175,'300 &amp; 317'!$H$177,'300 &amp; 317'!$H$179:$H$180,'300 &amp; 317'!$H$182:$H$183,'300 &amp; 317'!$H$185,'300 &amp; 317'!$H$187,'300 &amp; 317'!$H$189,'300 &amp; 317'!$H$191:$H$192,'300 &amp; 317'!$H$194,'300 &amp; 317'!$H$196,'300 &amp; 317'!$H$198,'300 &amp; 317'!$H$200,'300 &amp; 317'!$H$202,'300 &amp; 317'!$H$204:$H$206,'300 &amp; 317'!$H$208:$H$210,'300 &amp; 317'!$H$212:$H$215,'300 &amp; 317'!$H$217:$H$218,'300 &amp; 317'!$H$220:$H$226,'300 &amp; 317'!$H$228:$H$229,'300 &amp; 317'!$H$231,'300 &amp; 317'!$H$233:$H$235,'300 &amp; 317'!$H$237</definedName>
    <definedName name="OSRRefH22x_0" localSheetId="50">'301'!$H$20:$H$28,'301'!$H$30:$H$35,'301'!$H$37,'301'!$H$39,'301'!$H$41,'301'!$H$43:$H$44,'301'!$H$46:$H$47,'301'!$H$49,'301'!$H$51,'301'!$H$53,'301'!$H$55,'301'!$H$57,'301'!$H$59,'301'!$H$61,'301'!$H$63:$H$65,'301'!$H$67:$H$69,'301'!$H$71,'301'!$H$73:$H$77,'301'!$H$79,'301'!$H$81,'301'!$H$83:$H$84,'301'!$H$86</definedName>
    <definedName name="OSRRefH22x_0" localSheetId="51">'306'!$H$20:$H$28,'306'!$H$30:$H$35,'306'!$H$37,'306'!$H$39,'306'!$H$41</definedName>
    <definedName name="OSRRefH22x_0" localSheetId="53">'307'!$H$48:$H$55,'307'!$H$57:$H$59,'307'!$H$61,'307'!$H$63,'307'!$H$65,'307'!$H$67,'307'!$H$69:$H$70,'307'!$H$72:$H$73,'307'!$H$75</definedName>
    <definedName name="OSRRefH22x_0" localSheetId="55">'308'!$H$53:$H$61,'308'!$H$63:$H$68,'308'!$H$70,'308'!$H$72,'308'!$H$74,'308'!$H$76,'308'!$H$78,'308'!$H$80,'308'!$H$82,'308'!$H$84,'308'!$H$86,'308'!$H$88:$H$89,'308'!$H$91:$H$92,'308'!$H$94,'308'!$H$96</definedName>
    <definedName name="OSRRefH22x_0" localSheetId="67">'309'!$H$24:$H$31,'309'!$H$33:$H$36,'309'!$H$38,'309'!$H$40,'309'!$H$42,'309'!$H$44,'309'!$H$46,'309'!$H$48,'309'!$H$50:$H$51,'309'!$H$53:$H$54,'309'!$H$56</definedName>
    <definedName name="OSRRefH22x_0" localSheetId="66">'310'!$H$30:$H$37,'310'!$H$39:$H$43,'310'!$H$45,'310'!$H$47,'310'!$H$49,'310'!$H$51:$H$52,'310'!$H$54,'310'!$H$56,'310'!$H$58,'310'!$H$60,'310'!$H$62,'310'!$H$64,'310'!$H$66,'310'!$H$68,'310'!$H$70:$H$73,'310'!$H$75,'310'!$H$77:$H$80,'310'!$H$82,'310'!$H$84</definedName>
    <definedName name="OSRRefH22x_0" localSheetId="74">'310 &amp; 491'!$H$37:$H$45,'310 &amp; 491'!$H$47:$H$53,'310 &amp; 491'!$H$55,'310 &amp; 491'!$H$57,'310 &amp; 491'!$H$59,'310 &amp; 491'!$H$61:$H$63,'310 &amp; 491'!$H$65,'310 &amp; 491'!$H$67,'310 &amp; 491'!$H$69,'310 &amp; 491'!$H$71,'310 &amp; 491'!$H$73,'310 &amp; 491'!$H$75,'310 &amp; 491'!$H$77,'310 &amp; 491'!$H$79,'310 &amp; 491'!$H$81:$H$82,'310 &amp; 491'!$H$84:$H$85,'310 &amp; 491'!$H$87:$H$91,'310 &amp; 491'!$H$93,'310 &amp; 491'!$H$95:$H$102,'310 &amp; 491'!$H$104,'310 &amp; 491'!$H$106,'310 &amp; 491'!$H$108:$H$110,'310 &amp; 491'!$H$112</definedName>
    <definedName name="OSRRefH22x_0" localSheetId="56">'311'!$H$52:$H$60,'311'!$H$62:$H$67,'311'!$H$69,'311'!$H$71,'311'!$H$73,'311'!$H$75,'311'!$H$77,'311'!$H$79,'311'!$H$81,'311'!$H$83,'311'!$H$85,'311'!$H$87:$H$88,'311'!$H$90:$H$91,'311'!$H$93,'311'!$H$95</definedName>
    <definedName name="OSRRefH22x_0" localSheetId="68">'313'!$H$27:$H$34,'313'!$H$36:$H$38,'313'!$H$40,'313'!$H$42,'313'!$H$44,'313'!$H$46,'313'!$H$48,'313'!$H$50,'313'!$H$52,'313'!$H$54,'313'!$H$56:$H$58,'313'!$H$60</definedName>
    <definedName name="OSRRefH22x_0" localSheetId="54">'314'!$H$46:$H$52,'314'!$H$54:$H$55,'314'!$H$57,'314'!$H$59</definedName>
    <definedName name="OSRRefH22x_0" localSheetId="59">'315'!$H$68:$H$75,'315'!$H$77:$H$80,'315'!$H$82,'315'!$H$84,'315'!$H$86,'315'!$H$88,'315'!$H$90,'315'!$H$92:$H$93,'315'!$H$95:$H$97,'315'!$H$99,'315'!$H$101</definedName>
    <definedName name="OSRRefH22x_0" localSheetId="62">'316'!$H$30:$H$37,'316'!$H$39:$H$41,'316'!$H$43,'316'!$H$45,'316'!$H$47,'316'!$H$49:$H$50,'316'!$H$52,'316'!$H$54,'316'!$H$56:$H$60,'316'!$H$62</definedName>
    <definedName name="OSRRefH22x_0" localSheetId="64">'317'!$H$50:$H$58,'317'!$H$60:$H$64,'317'!$H$66,'317'!$H$68,'317'!$H$70,'317'!$H$72:$H$73,'317'!$H$75,'317'!$H$77,'317'!$H$79:$H$81,'317'!$H$83</definedName>
    <definedName name="OSRRefH22x_0" localSheetId="65">'320'!$H$27:$H$33,'320'!$H$35:$H$36,'320'!$H$38,'320'!$H$40:$H$41,'320'!$H$43,'320'!$H$45</definedName>
    <definedName name="OSRRefH22x_0" localSheetId="69">'321'!$H$24:$H$28,'321'!$H$30:$H$33,'321'!$H$35,'321'!$H$37,'321'!$H$39,'321'!$H$41,'321'!$H$43,'321'!$H$45:$H$46,'321'!$H$48:$H$50,'321'!$H$52,'321'!$H$54</definedName>
    <definedName name="OSRRefH22x_0" localSheetId="70">'322'!$H$24:$H$31,'322'!$H$33:$H$35,'322'!$H$37,'322'!$H$39,'322'!$H$41,'322'!$H$43,'322'!$H$45,'322'!$H$47,'322'!$H$49:$H$51,'322'!$H$53:$H$55,'322'!$H$57,'322'!$H$59</definedName>
    <definedName name="OSRRefH22x_0" localSheetId="72">'325'!$H$24:$H$31,'325'!$H$33:$H$36,'325'!$H$38,'325'!$H$40,'325'!$H$42:$H$43,'325'!$H$45,'325'!$H$47,'325'!$H$49,'325'!$H$51,'325'!$H$53:$H$55,'325'!$H$57,'325'!$H$59,'325'!$H$61,'325'!$H$63</definedName>
    <definedName name="OSRRefH22x_0" localSheetId="60">'326'!$H$50:$H$57,'326'!$H$59:$H$62,'326'!$H$64,'326'!$H$66,'326'!$H$68,'326'!$H$70,'326'!$H$72,'326'!$H$74,'326'!$H$76,'326'!$H$78,'326'!$H$80:$H$82,'326'!$H$84,'326'!$H$86:$H$87,'326'!$H$89,'326'!$H$91,'326'!$H$93</definedName>
    <definedName name="OSRRefH22x_0" localSheetId="73">'327'!$H$22</definedName>
    <definedName name="OSRRefH22x_0" localSheetId="52">'330'!$H$60:$H$67,'330'!$H$69:$H$71,'330'!$H$73,'330'!$H$75,'330'!$H$77,'330'!$H$79,'330'!$H$81:$H$82,'330'!$H$84:$H$85,'330'!$H$87</definedName>
    <definedName name="OSRRefH22x_0" localSheetId="58">'331'!$H$72:$H$79,'331'!$H$81:$H$84,'331'!$H$86,'331'!$H$88,'331'!$H$90,'331'!$H$92,'331'!$H$94,'331'!$H$96,'331'!$H$98,'331'!$H$100,'331'!$H$102,'331'!$H$104,'331'!$H$106:$H$107,'331'!$H$109:$H$111,'331'!$H$113,'331'!$H$115:$H$118,'331'!$H$120,'331'!$H$122,'331'!$H$124,'331'!$H$126</definedName>
    <definedName name="OSRRefH22x_0" localSheetId="61">'332'!$H$37:$H$44,'332'!$H$46:$H$48,'332'!$H$50,'332'!$H$52,'332'!$H$54,'332'!$H$56:$H$57,'332'!$H$59,'332'!$H$61,'332'!$H$63:$H$67,'332'!$H$69</definedName>
    <definedName name="OSRRefH22x_0" localSheetId="76">'405'!$H$24:$H$31,'405'!$H$33:$H$34,'405'!$H$36,'405'!$H$38,'405'!$H$40,'405'!$H$42:$H$43,'405'!$H$45,'405'!$H$47,'405'!$H$49,'405'!$H$51:$H$52,'405'!$H$54,'405'!$H$56:$H$58,'405'!$H$60:$H$64,'405'!$H$66,'405'!$H$68,'405'!$H$70</definedName>
    <definedName name="OSRRefH22x_0" localSheetId="77">'406'!$H$22:$H$29,'406'!$H$31:$H$33,'406'!$H$35,'406'!$H$37,'406'!$H$39,'406'!$H$41,'406'!$H$43,'406'!$H$45:$H$46,'406'!$H$48,'406'!$H$50</definedName>
    <definedName name="OSRRefH22x_0" localSheetId="78">'411'!$H$20:$H$28,'411'!$H$30:$H$35,'411'!$H$37,'411'!$H$39,'411'!$H$41:$H$43,'411'!$H$45,'411'!$H$47,'411'!$H$49,'411'!$H$51:$H$52,'411'!$H$54:$H$58,'411'!$H$60:$H$63,'411'!$H$65,'411'!$H$67,'411'!$H$69:$H$71,'411'!$H$73</definedName>
    <definedName name="OSRRefH22x_0" localSheetId="79">'412'!$H$23:$H$30,'412'!$H$32:$H$37,'412'!$H$39,'412'!$H$41,'412'!$H$43,'412'!$H$45,'412'!$H$47,'412'!$H$49,'412'!$H$51,'412'!$H$53:$H$54,'412'!$H$56:$H$59,'412'!$H$61</definedName>
    <definedName name="OSRRefH22x_0" localSheetId="81">'413'!$H$24:$H$31,'413'!$H$33:$H$35,'413'!$H$37,'413'!$H$39,'413'!$H$41,'413'!$H$43,'413'!$H$45,'413'!$H$47,'413'!$H$49:$H$50,'413'!$H$52:$H$53,'413'!$H$55</definedName>
    <definedName name="OSRRefH22x_0" localSheetId="82">'414'!$H$24:$H$30,'414'!$H$32:$H$34,'414'!$H$36,'414'!$H$38,'414'!$H$40,'414'!$H$42,'414'!$H$44,'414'!$H$46,'414'!$H$48,'414'!$H$50,'414'!$H$52,'414'!$H$54:$H$57,'414'!$H$59</definedName>
    <definedName name="OSRRefH22x_0" localSheetId="83">'415'!$H$24:$H$31,'415'!$H$33:$H$36,'415'!$H$38,'415'!$H$40,'415'!$H$42,'415'!$H$44:$H$45,'415'!$H$47,'415'!$H$49,'415'!$H$51,'415'!$H$53,'415'!$H$55,'415'!$H$57:$H$58,'415'!$H$60:$H$64,'415'!$H$66,'415'!$H$68:$H$72,'415'!$H$74,'415'!$H$76</definedName>
    <definedName name="OSRRefH22x_0" localSheetId="84">'418'!$H$24:$H$31,'418'!$H$33:$H$37,'418'!$H$39,'418'!$H$41,'418'!$H$43,'418'!$H$45:$H$46,'418'!$H$48,'418'!$H$50,'418'!$H$52,'418'!$H$54:$H$55,'418'!$H$57,'418'!$H$59:$H$60,'418'!$H$62,'418'!$H$64</definedName>
    <definedName name="OSRRefH22x_0" localSheetId="85">'423'!$H$20:$H$27,'423'!$H$29,'423'!$H$31,'423'!$H$33,'423'!$H$35,'423'!$H$37</definedName>
    <definedName name="OSRRefH22x_0" localSheetId="86">'424'!$H$23,'424'!$H$25,'424'!$H$27,'424'!$H$29,'424'!$H$31,'424'!$H$33,'424'!$H$35,'424'!$H$37</definedName>
    <definedName name="OSRRefH22x_0" localSheetId="87">'425'!$H$24:$H$31,'425'!$H$33:$H$37,'425'!$H$39,'425'!$H$41,'425'!$H$43,'425'!$H$45,'425'!$H$47,'425'!$H$49:$H$50,'425'!$H$52:$H$53,'425'!$H$55,'425'!$H$57</definedName>
    <definedName name="OSRRefH22x_0" localSheetId="90">'430'!$H$20:$H$27,'430'!$H$29,'430'!$H$31,'430'!$H$33:$H$34,'430'!$H$36,'430'!$H$38</definedName>
    <definedName name="OSRRefH22x_0" localSheetId="91">'433'!$H$25:$H$33,'433'!$H$35:$H$40,'433'!$H$42,'433'!$H$44,'433'!$H$46,'433'!$H$48,'433'!$H$50,'433'!$H$52,'433'!$H$54:$H$56,'433'!$H$58:$H$63,'433'!$H$65,'433'!$H$67,'433'!$H$69</definedName>
    <definedName name="OSRRefH22x_0" localSheetId="92">'435'!$H$20:$H$21,'435'!$H$23,'435'!$H$25,'435'!$H$27</definedName>
    <definedName name="OSRRefH22x_0" localSheetId="93">'444'!$H$25:$H$33,'444'!$H$35:$H$40,'444'!$H$42,'444'!$H$44,'444'!$H$46,'444'!$H$48,'444'!$H$50,'444'!$H$52,'444'!$H$54,'444'!$H$56:$H$58,'444'!$H$60:$H$64,'444'!$H$66,'444'!$H$68,'444'!$H$70</definedName>
    <definedName name="OSRRefH22x_0" localSheetId="94">'450'!$H$24:$H$32,'450'!$H$34:$H$39,'450'!$H$41,'450'!$H$43,'450'!$H$45,'450'!$H$47,'450'!$H$49,'450'!$H$51,'450'!$H$53:$H$55,'450'!$H$57:$H$60,'450'!$H$62,'450'!$H$64,'450'!$H$66</definedName>
    <definedName name="OSRRefH22x_0" localSheetId="88">'455'!$H$20:$H$26,'455'!$H$28:$H$29</definedName>
    <definedName name="OSRRefH22x_0" localSheetId="75">'491'!$H$31:$H$39,'491'!$H$41:$H$47,'491'!$H$49,'491'!$H$51,'491'!$H$53,'491'!$H$55:$H$57,'491'!$H$59,'491'!$H$61,'491'!$H$63,'491'!$H$65,'491'!$H$67,'491'!$H$69,'491'!$H$71:$H$72,'491'!$H$74:$H$75,'491'!$H$77:$H$81,'491'!$H$83,'491'!$H$85:$H$92,'491'!$H$94,'491'!$H$96,'491'!$H$98:$H$100,'491'!$H$102</definedName>
    <definedName name="OSRRefH22x_0" localSheetId="89">'492'!$H$25:$H$33,'492'!$H$35:$H$41,'492'!$H$43,'492'!$H$45,'492'!$H$47,'492'!$H$49,'492'!$H$51,'492'!$H$53,'492'!$H$55,'492'!$H$57,'492'!$H$59,'492'!$H$61:$H$63,'492'!$H$65:$H$71,'492'!$H$73,'492'!$H$75,'492'!$H$77</definedName>
    <definedName name="OSRRefH22x_0" localSheetId="96">'501'!$H$21:$H$29,'501'!$H$31:$H$35,'501'!$H$37,'501'!$H$39,'501'!$H$41,'501'!$H$43,'501'!$H$45</definedName>
    <definedName name="OSRRefH22x_0" localSheetId="39">'Div 2'!$H$20:$H$29,'Div 2'!$H$31:$H$37,'Div 2'!$H$39,'Div 2'!$H$41,'Div 2'!$H$43,'Div 2'!$H$45,'Div 2'!$H$47,'Div 2'!$H$49,'Div 2'!$H$51,'Div 2'!$H$53,'Div 2'!$H$55,'Div 2'!$H$57,'Div 2'!$H$59:$H$61,'Div 2'!$H$63:$H$65,'Div 2'!$H$67:$H$68,'Div 2'!$H$70,'Div 2'!$H$72:$H$76,'Div 2'!$H$78:$H$79,'Div 2'!$H$81,'Div 2'!$H$83:$H$84</definedName>
    <definedName name="OSRRefH22x_0" localSheetId="47">'Div 3'!$H$135:$H$144,'Div 3'!$H$146:$H$152,'Div 3'!$H$154,'Div 3'!$H$156,'Div 3'!$H$158,'Div 3'!$H$160:$H$161,'Div 3'!$H$163:$H$164,'Div 3'!$H$166,'Div 3'!$H$168,'Div 3'!$H$170,'Div 3'!$H$172:$H$173,'Div 3'!$H$175,'Div 3'!$H$177,'Div 3'!$H$179,'Div 3'!$H$181,'Div 3'!$H$183,'Div 3'!$H$185,'Div 3'!$H$187:$H$189,'Div 3'!$H$191:$H$193,'Div 3'!$H$195:$H$199,'Div 3'!$H$201:$H$202,'Div 3'!$H$204:$H$210,'Div 3'!$H$212:$H$213,'Div 3'!$H$215,'Div 3'!$H$217:$H$219,'Div 3'!$H$221</definedName>
    <definedName name="OSRRefH22x_0" localSheetId="95">'Div 5'!$H$21:$H$29,'Div 5'!$H$31:$H$35,'Div 5'!$H$37,'Div 5'!$H$39,'Div 5'!$H$41,'Div 5'!$H$43,'Div 5'!$H$45</definedName>
    <definedName name="OSRRefH22x_0" localSheetId="63">'Div 6'!$H$50:$H$58,'Div 6'!$H$60:$H$64,'Div 6'!$H$66,'Div 6'!$H$68,'Div 6'!$H$70,'Div 6'!$H$72:$H$73,'Div 6'!$H$75,'Div 6'!$H$77,'Div 6'!$H$79:$H$81,'Div 6'!$H$83</definedName>
    <definedName name="OSRRefH22x_0" localSheetId="2">Summary!$H$166:$H$175,Summary!$H$177:$H$183,Summary!$H$185,Summary!$H$187,Summary!$H$189,Summary!$H$191:$H$193,Summary!$H$195:$H$196,Summary!$H$198,Summary!$H$200,Summary!$H$202,Summary!$H$204:$H$205,Summary!$H$207,Summary!$H$209,Summary!$H$211,Summary!$H$213,Summary!$H$215,Summary!$H$217,Summary!$H$219,Summary!$H$221:$H$223,Summary!$H$225:$H$227,Summary!$H$229:$H$233,Summary!$H$235:$H$236,Summary!$H$238:$H$246,Summary!$H$248:$H$249,Summary!$H$251,Summary!$H$253:$H$255,Summary!$H$257</definedName>
    <definedName name="OSRRefH25x_0" localSheetId="48">'300'!$H$216:$H$221</definedName>
    <definedName name="OSRRefH25x_0" localSheetId="49">'300 &amp; 317'!$H$240:$H$247</definedName>
    <definedName name="OSRRefH25x_0" localSheetId="50">'301'!$H$89:$H$90</definedName>
    <definedName name="OSRRefH25x_0" localSheetId="55">'308'!$H$99:$H$100</definedName>
    <definedName name="OSRRefH25x_0" localSheetId="74">'310 &amp; 491'!$H$115:$H$117</definedName>
    <definedName name="OSRRefH25x_0" localSheetId="56">'311'!$H$98:$H$99</definedName>
    <definedName name="OSRRefH25x_0" localSheetId="59">'315'!$H$104:$H$105</definedName>
    <definedName name="OSRRefH25x_0" localSheetId="62">'316'!$H$65</definedName>
    <definedName name="OSRRefH25x_0" localSheetId="64">'317'!$H$86:$H$88</definedName>
    <definedName name="OSRRefH25x_0" localSheetId="65">'320'!$H$48:$H$49</definedName>
    <definedName name="OSRRefH25x_0" localSheetId="58">'331'!$H$129:$H$130</definedName>
    <definedName name="OSRRefH25x_0" localSheetId="61">'332'!$H$72:$H$74</definedName>
    <definedName name="OSRRefH25x_0" localSheetId="78">'411'!$H$76:$H$77</definedName>
    <definedName name="OSRRefH25x_0" localSheetId="85">'423'!$H$40</definedName>
    <definedName name="OSRRefH25x_0" localSheetId="86">'424'!$H$40</definedName>
    <definedName name="OSRRefH25x_0" localSheetId="87">'425'!$H$60</definedName>
    <definedName name="OSRRefH25x_0" localSheetId="88">'455'!$H$32:$H$33</definedName>
    <definedName name="OSRRefH25x_0" localSheetId="75">'491'!$H$105:$H$107</definedName>
    <definedName name="OSRRefH25x_0" localSheetId="96">'501'!$H$48</definedName>
    <definedName name="OSRRefH25x_0" localSheetId="47">'Div 3'!$H$224:$H$229</definedName>
    <definedName name="OSRRefH25x_0" localSheetId="95">'Div 5'!$H$48</definedName>
    <definedName name="OSRRefH25x_0" localSheetId="63">'Div 6'!$H$86:$H$88</definedName>
    <definedName name="OSRRefH25x_0" localSheetId="2">Summary!$H$260:$H$269</definedName>
    <definedName name="OSRRefP13x_0" localSheetId="48">'300'!$P$13:$P$86</definedName>
    <definedName name="OSRRefP13x_0" localSheetId="49">'300 &amp; 317'!$P$13:$P$102</definedName>
    <definedName name="OSRRefP13x_0" localSheetId="53">'307'!$P$13:$P$31</definedName>
    <definedName name="OSRRefP13x_0" localSheetId="55">'308'!$P$13:$P$33</definedName>
    <definedName name="OSRRefP13x_0" localSheetId="67">'309'!$P$13:$P$14</definedName>
    <definedName name="OSRRefP13x_0" localSheetId="66">'310'!$P$13:$P$20</definedName>
    <definedName name="OSRRefP13x_0" localSheetId="74">'310 &amp; 491'!$P$13:$P$27</definedName>
    <definedName name="OSRRefP13x_0" localSheetId="56">'311'!$P$13:$P$32</definedName>
    <definedName name="OSRRefP13x_0" localSheetId="68">'313'!$P$13:$P$17</definedName>
    <definedName name="OSRRefP13x_0" localSheetId="54">'314'!$P$13:$P$28</definedName>
    <definedName name="OSRRefP13x_0" localSheetId="59">'315'!$P$13:$P$46</definedName>
    <definedName name="OSRRefP13x_0" localSheetId="62">'316'!$P$13:$P$22</definedName>
    <definedName name="OSRRefP13x_0" localSheetId="64">'317'!$P$13:$P$32</definedName>
    <definedName name="OSRRefP13x_0" localSheetId="65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2">'325'!$P$13:$P$14</definedName>
    <definedName name="OSRRefP13x_0" localSheetId="60">'326'!$P$13:$P$31</definedName>
    <definedName name="OSRRefP13x_0" localSheetId="73">'327'!$P$13</definedName>
    <definedName name="OSRRefP13x_0" localSheetId="52">'330'!$P$13:$P$39</definedName>
    <definedName name="OSRRefP13x_0" localSheetId="58">'331'!$P$13:$P$47</definedName>
    <definedName name="OSRRefP13x_0" localSheetId="61">'332'!$P$13:$P$25</definedName>
    <definedName name="OSRRefP13x_0" localSheetId="76">'405'!$P$13:$P$14</definedName>
    <definedName name="OSRRefP13x_0" localSheetId="79">'412'!$P$13:$P$14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6">'424'!$P$13</definedName>
    <definedName name="OSRRefP13x_0" localSheetId="87">'425'!$P$13:$P$14</definedName>
    <definedName name="OSRRefP13x_0" localSheetId="91">'433'!$P$13:$P$15</definedName>
    <definedName name="OSRRefP13x_0" localSheetId="93">'444'!$P$13:$P$15</definedName>
    <definedName name="OSRRefP13x_0" localSheetId="94">'450'!$P$13:$P$14</definedName>
    <definedName name="OSRRefP13x_0" localSheetId="75">'491'!$P$13:$P$21</definedName>
    <definedName name="OSRRefP13x_0" localSheetId="89">'492'!$P$13:$P$15</definedName>
    <definedName name="OSRRefP13x_0" localSheetId="96">'501'!$P$13</definedName>
    <definedName name="OSRRefP13x_0" localSheetId="47">'Div 3'!$P$13:$P$89</definedName>
    <definedName name="OSRRefP13x_0" localSheetId="95">'Div 5'!$P$13</definedName>
    <definedName name="OSRRefP13x_0" localSheetId="63">'Div 6'!$P$13:$P$32</definedName>
    <definedName name="OSRRefP13x_0" localSheetId="2">Summary!$P$13:$P$112</definedName>
    <definedName name="OSRRefP16x_0" localSheetId="48">'300'!$P$89:$P$124</definedName>
    <definedName name="OSRRefP16x_0" localSheetId="49">'300 &amp; 317'!$P$105:$P$148</definedName>
    <definedName name="OSRRefP16x_0" localSheetId="53">'307'!$P$34:$P$42</definedName>
    <definedName name="OSRRefP16x_0" localSheetId="55">'308'!$P$36:$P$47</definedName>
    <definedName name="OSRRefP16x_0" localSheetId="67">'309'!$P$17:$P$18</definedName>
    <definedName name="OSRRefP16x_0" localSheetId="66">'310'!$P$23:$P$24</definedName>
    <definedName name="OSRRefP16x_0" localSheetId="74">'310 &amp; 491'!$P$30:$P$31</definedName>
    <definedName name="OSRRefP16x_0" localSheetId="56">'311'!$P$35:$P$46</definedName>
    <definedName name="OSRRefP16x_0" localSheetId="68">'313'!$P$20:$P$21</definedName>
    <definedName name="OSRRefP16x_0" localSheetId="54">'314'!$P$31:$P$40</definedName>
    <definedName name="OSRRefP16x_0" localSheetId="59">'315'!$P$49:$P$62</definedName>
    <definedName name="OSRRefP16x_0" localSheetId="64">'317'!$P$35:$P$44</definedName>
    <definedName name="OSRRefP16x_0" localSheetId="65">'320'!$P$18:$P$21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2">'325'!$P$17:$P$18</definedName>
    <definedName name="OSRRefP16x_0" localSheetId="60">'326'!$P$34:$P$44</definedName>
    <definedName name="OSRRefP16x_0" localSheetId="73">'327'!$P$16</definedName>
    <definedName name="OSRRefP16x_0" localSheetId="52">'330'!$P$42:$P$54</definedName>
    <definedName name="OSRRefP16x_0" localSheetId="58">'331'!$P$50:$P$66</definedName>
    <definedName name="OSRRefP16x_0" localSheetId="61">'332'!$P$28:$P$31</definedName>
    <definedName name="OSRRefP16x_0" localSheetId="76">'405'!$P$17:$P$18</definedName>
    <definedName name="OSRRefP16x_0" localSheetId="77">'406'!$P$15:$P$16</definedName>
    <definedName name="OSRRefP16x_0" localSheetId="79">'412'!$P$17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6">'424'!$P$16:$P$17</definedName>
    <definedName name="OSRRefP16x_0" localSheetId="87">'425'!$P$17:$P$18</definedName>
    <definedName name="OSRRefP16x_0" localSheetId="91">'433'!$P$18:$P$19</definedName>
    <definedName name="OSRRefP16x_0" localSheetId="93">'444'!$P$18:$P$19</definedName>
    <definedName name="OSRRefP16x_0" localSheetId="94">'450'!$P$17:$P$18</definedName>
    <definedName name="OSRRefP16x_0" localSheetId="75">'491'!$P$24:$P$25</definedName>
    <definedName name="OSRRefP16x_0" localSheetId="89">'492'!$P$18:$P$19</definedName>
    <definedName name="OSRRefP16x_0" localSheetId="47">'Div 3'!$P$92:$P$129</definedName>
    <definedName name="OSRRefP16x_0" localSheetId="63">'Div 6'!$P$35:$P$44</definedName>
    <definedName name="OSRRefP16x_0" localSheetId="2">Summary!$P$115:$P$160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'300'!$P$130:$P$139</definedName>
    <definedName name="OSRRefP22_0x_0" localSheetId="49">'300 &amp; 317'!$P$154:$P$163</definedName>
    <definedName name="OSRRefP22_0x_0" localSheetId="50">'301'!$P$20:$P$28</definedName>
    <definedName name="OSRRefP22_0x_0" localSheetId="51">'306'!$P$20:$P$28</definedName>
    <definedName name="OSRRefP22_0x_0" localSheetId="53">'307'!$P$48:$P$55</definedName>
    <definedName name="OSRRefP22_0x_0" localSheetId="55">'308'!$P$53:$P$61</definedName>
    <definedName name="OSRRefP22_0x_0" localSheetId="67">'309'!$P$24:$P$31</definedName>
    <definedName name="OSRRefP22_0x_0" localSheetId="66">'310'!$P$30:$P$37</definedName>
    <definedName name="OSRRefP22_0x_0" localSheetId="74">'310 &amp; 491'!$P$37:$P$45</definedName>
    <definedName name="OSRRefP22_0x_0" localSheetId="56">'311'!$P$52:$P$60</definedName>
    <definedName name="OSRRefP22_0x_0" localSheetId="68">'313'!$P$27:$P$34</definedName>
    <definedName name="OSRRefP22_0x_0" localSheetId="54">'314'!$P$46:$P$52</definedName>
    <definedName name="OSRRefP22_0x_0" localSheetId="59">'315'!$P$68:$P$75</definedName>
    <definedName name="OSRRefP22_0x_0" localSheetId="62">'316'!$P$30:$P$37</definedName>
    <definedName name="OSRRefP22_0x_0" localSheetId="64">'317'!$P$50:$P$58</definedName>
    <definedName name="OSRRefP22_0x_0" localSheetId="65">'320'!$P$27:$P$33</definedName>
    <definedName name="OSRRefP22_0x_0" localSheetId="69">'321'!$P$24:$P$28</definedName>
    <definedName name="OSRRefP22_0x_0" localSheetId="70">'322'!$P$24:$P$31</definedName>
    <definedName name="OSRRefP22_0x_0" localSheetId="72">'325'!$P$24:$P$31</definedName>
    <definedName name="OSRRefP22_0x_0" localSheetId="60">'326'!$P$50:$P$57</definedName>
    <definedName name="OSRRefP22_0x_0" localSheetId="73">'327'!$P$22</definedName>
    <definedName name="OSRRefP22_0x_0" localSheetId="52">'330'!$P$60:$P$67</definedName>
    <definedName name="OSRRefP22_0x_0" localSheetId="58">'331'!$P$72:$P$79</definedName>
    <definedName name="OSRRefP22_0x_0" localSheetId="61">'332'!$P$37:$P$44</definedName>
    <definedName name="OSRRefP22_0x_0" localSheetId="76">'405'!$P$24:$P$31</definedName>
    <definedName name="OSRRefP22_0x_0" localSheetId="77">'406'!$P$22:$P$29</definedName>
    <definedName name="OSRRefP22_0x_0" localSheetId="78">'411'!$P$20:$P$28</definedName>
    <definedName name="OSRRefP22_0x_0" localSheetId="79">'412'!$P$23:$P$30</definedName>
    <definedName name="OSRRefP22_0x_0" localSheetId="81">'413'!$P$24:$P$31</definedName>
    <definedName name="OSRRefP22_0x_0" localSheetId="82">'414'!$P$24:$P$30</definedName>
    <definedName name="OSRRefP22_0x_0" localSheetId="83">'415'!$P$24:$P$31</definedName>
    <definedName name="OSRRefP22_0x_0" localSheetId="84">'418'!$P$24:$P$31</definedName>
    <definedName name="OSRRefP22_0x_0" localSheetId="85">'423'!$P$20:$P$27</definedName>
    <definedName name="OSRRefP22_0x_0" localSheetId="86">'424'!$P$23</definedName>
    <definedName name="OSRRefP22_0x_0" localSheetId="87">'425'!$P$24:$P$31</definedName>
    <definedName name="OSRRefP22_0x_0" localSheetId="90">'430'!$P$20:$P$27</definedName>
    <definedName name="OSRRefP22_0x_0" localSheetId="91">'433'!$P$25:$P$33</definedName>
    <definedName name="OSRRefP22_0x_0" localSheetId="92">'435'!$P$20:$P$21</definedName>
    <definedName name="OSRRefP22_0x_0" localSheetId="93">'444'!$P$25:$P$33</definedName>
    <definedName name="OSRRefP22_0x_0" localSheetId="94">'450'!$P$24:$P$32</definedName>
    <definedName name="OSRRefP22_0x_0" localSheetId="88">'455'!$P$20:$P$26</definedName>
    <definedName name="OSRRefP22_0x_0" localSheetId="75">'491'!$P$31:$P$39</definedName>
    <definedName name="OSRRefP22_0x_0" localSheetId="89">'492'!$P$25:$P$33</definedName>
    <definedName name="OSRRefP22_0x_0" localSheetId="96">'501'!$P$21:$P$29</definedName>
    <definedName name="OSRRefP22_0x_0" localSheetId="39">'Div 2'!$P$20:$P$29</definedName>
    <definedName name="OSRRefP22_0x_0" localSheetId="47">'Div 3'!$P$135:$P$144</definedName>
    <definedName name="OSRRefP22_0x_0" localSheetId="95">'Div 5'!$P$21:$P$29</definedName>
    <definedName name="OSRRefP22_0x_0" localSheetId="63">'Div 6'!$P$50:$P$58</definedName>
    <definedName name="OSRRefP22_0x_0" localSheetId="2">Summary!$P$166:$P$175</definedName>
    <definedName name="OSRRefP22_10x_0" localSheetId="41">'201'!$P$51</definedName>
    <definedName name="OSRRefP22_10x_0" localSheetId="42">'202'!$P$52</definedName>
    <definedName name="OSRRefP22_10x_0" localSheetId="43">'203'!$P$52:$P$55</definedName>
    <definedName name="OSRRefP22_10x_0" localSheetId="48">'300'!$P$167:$P$168</definedName>
    <definedName name="OSRRefP22_10x_0" localSheetId="49">'300 &amp; 317'!$P$191:$P$192</definedName>
    <definedName name="OSRRefP22_10x_0" localSheetId="50">'301'!$P$55</definedName>
    <definedName name="OSRRefP22_10x_0" localSheetId="55">'308'!$P$86</definedName>
    <definedName name="OSRRefP22_10x_0" localSheetId="67">'309'!$P$56</definedName>
    <definedName name="OSRRefP22_10x_0" localSheetId="66">'310'!$P$62</definedName>
    <definedName name="OSRRefP22_10x_0" localSheetId="74">'310 &amp; 491'!$P$73</definedName>
    <definedName name="OSRRefP22_10x_0" localSheetId="56">'311'!$P$85</definedName>
    <definedName name="OSRRefP22_10x_0" localSheetId="68">'313'!$P$56:$P$58</definedName>
    <definedName name="OSRRefP22_10x_0" localSheetId="59">'315'!$P$101</definedName>
    <definedName name="OSRRefP22_10x_0" localSheetId="69">'321'!$P$54</definedName>
    <definedName name="OSRRefP22_10x_0" localSheetId="70">'322'!$P$57</definedName>
    <definedName name="OSRRefP22_10x_0" localSheetId="72">'325'!$P$57</definedName>
    <definedName name="OSRRefP22_10x_0" localSheetId="60">'326'!$P$80:$P$82</definedName>
    <definedName name="OSRRefP22_10x_0" localSheetId="58">'331'!$P$102</definedName>
    <definedName name="OSRRefP22_10x_0" localSheetId="76">'405'!$P$54</definedName>
    <definedName name="OSRRefP22_10x_0" localSheetId="78">'411'!$P$60:$P$63</definedName>
    <definedName name="OSRRefP22_10x_0" localSheetId="79">'412'!$P$56:$P$59</definedName>
    <definedName name="OSRRefP22_10x_0" localSheetId="81">'413'!$P$55</definedName>
    <definedName name="OSRRefP22_10x_0" localSheetId="82">'414'!$P$52</definedName>
    <definedName name="OSRRefP22_10x_0" localSheetId="83">'415'!$P$55</definedName>
    <definedName name="OSRRefP22_10x_0" localSheetId="84">'418'!$P$57</definedName>
    <definedName name="OSRRefP22_10x_0" localSheetId="87">'425'!$P$57</definedName>
    <definedName name="OSRRefP22_10x_0" localSheetId="91">'433'!$P$65</definedName>
    <definedName name="OSRRefP22_10x_0" localSheetId="93">'444'!$P$60:$P$64</definedName>
    <definedName name="OSRRefP22_10x_0" localSheetId="94">'450'!$P$62</definedName>
    <definedName name="OSRRefP22_10x_0" localSheetId="75">'491'!$P$67</definedName>
    <definedName name="OSRRefP22_10x_0" localSheetId="89">'492'!$P$59</definedName>
    <definedName name="OSRRefP22_10x_0" localSheetId="39">'Div 2'!$P$55</definedName>
    <definedName name="OSRRefP22_10x_0" localSheetId="47">'Div 3'!$P$172:$P$173</definedName>
    <definedName name="OSRRefP22_10x_0" localSheetId="2">Summary!$P$204:$P$205</definedName>
    <definedName name="OSRRefP22_11x_0" localSheetId="41">'201'!$P$53:$P$55</definedName>
    <definedName name="OSRRefP22_11x_0" localSheetId="42">'202'!$P$54</definedName>
    <definedName name="OSRRefP22_11x_0" localSheetId="43">'203'!$P$57</definedName>
    <definedName name="OSRRefP22_11x_0" localSheetId="48">'300'!$P$170</definedName>
    <definedName name="OSRRefP22_11x_0" localSheetId="49">'300 &amp; 317'!$P$194</definedName>
    <definedName name="OSRRefP22_11x_0" localSheetId="50">'301'!$P$57</definedName>
    <definedName name="OSRRefP22_11x_0" localSheetId="55">'308'!$P$88:$P$89</definedName>
    <definedName name="OSRRefP22_11x_0" localSheetId="66">'310'!$P$64</definedName>
    <definedName name="OSRRefP22_11x_0" localSheetId="74">'310 &amp; 491'!$P$75</definedName>
    <definedName name="OSRRefP22_11x_0" localSheetId="56">'311'!$P$87:$P$88</definedName>
    <definedName name="OSRRefP22_11x_0" localSheetId="68">'313'!$P$60</definedName>
    <definedName name="OSRRefP22_11x_0" localSheetId="70">'322'!$P$59</definedName>
    <definedName name="OSRRefP22_11x_0" localSheetId="72">'325'!$P$59</definedName>
    <definedName name="OSRRefP22_11x_0" localSheetId="60">'326'!$P$84</definedName>
    <definedName name="OSRRefP22_11x_0" localSheetId="58">'331'!$P$104</definedName>
    <definedName name="OSRRefP22_11x_0" localSheetId="76">'405'!$P$56:$P$58</definedName>
    <definedName name="OSRRefP22_11x_0" localSheetId="78">'411'!$P$65</definedName>
    <definedName name="OSRRefP22_11x_0" localSheetId="79">'412'!$P$61</definedName>
    <definedName name="OSRRefP22_11x_0" localSheetId="82">'414'!$P$54:$P$57</definedName>
    <definedName name="OSRRefP22_11x_0" localSheetId="83">'415'!$P$57:$P$58</definedName>
    <definedName name="OSRRefP22_11x_0" localSheetId="84">'418'!$P$59:$P$60</definedName>
    <definedName name="OSRRefP22_11x_0" localSheetId="91">'433'!$P$67</definedName>
    <definedName name="OSRRefP22_11x_0" localSheetId="93">'444'!$P$66</definedName>
    <definedName name="OSRRefP22_11x_0" localSheetId="94">'450'!$P$64</definedName>
    <definedName name="OSRRefP22_11x_0" localSheetId="75">'491'!$P$69</definedName>
    <definedName name="OSRRefP22_11x_0" localSheetId="89">'492'!$P$61:$P$63</definedName>
    <definedName name="OSRRefP22_11x_0" localSheetId="39">'Div 2'!$P$57</definedName>
    <definedName name="OSRRefP22_11x_0" localSheetId="47">'Div 3'!$P$175</definedName>
    <definedName name="OSRRefP22_11x_0" localSheetId="2">Summary!$P$207</definedName>
    <definedName name="OSRRefP22_12x_0" localSheetId="41">'201'!$P$57</definedName>
    <definedName name="OSRRefP22_12x_0" localSheetId="43">'203'!$P$59</definedName>
    <definedName name="OSRRefP22_12x_0" localSheetId="48">'300'!$P$172</definedName>
    <definedName name="OSRRefP22_12x_0" localSheetId="49">'300 &amp; 317'!$P$196</definedName>
    <definedName name="OSRRefP22_12x_0" localSheetId="50">'301'!$P$59</definedName>
    <definedName name="OSRRefP22_12x_0" localSheetId="55">'308'!$P$91:$P$92</definedName>
    <definedName name="OSRRefP22_12x_0" localSheetId="66">'310'!$P$66</definedName>
    <definedName name="OSRRefP22_12x_0" localSheetId="74">'310 &amp; 491'!$P$77</definedName>
    <definedName name="OSRRefP22_12x_0" localSheetId="56">'311'!$P$90:$P$91</definedName>
    <definedName name="OSRRefP22_12x_0" localSheetId="72">'325'!$P$61</definedName>
    <definedName name="OSRRefP22_12x_0" localSheetId="60">'326'!$P$86:$P$87</definedName>
    <definedName name="OSRRefP22_12x_0" localSheetId="58">'331'!$P$106:$P$107</definedName>
    <definedName name="OSRRefP22_12x_0" localSheetId="76">'405'!$P$60:$P$64</definedName>
    <definedName name="OSRRefP22_12x_0" localSheetId="78">'411'!$P$67</definedName>
    <definedName name="OSRRefP22_12x_0" localSheetId="82">'414'!$P$59</definedName>
    <definedName name="OSRRefP22_12x_0" localSheetId="83">'415'!$P$60:$P$64</definedName>
    <definedName name="OSRRefP22_12x_0" localSheetId="84">'418'!$P$62</definedName>
    <definedName name="OSRRefP22_12x_0" localSheetId="91">'433'!$P$69</definedName>
    <definedName name="OSRRefP22_12x_0" localSheetId="93">'444'!$P$68</definedName>
    <definedName name="OSRRefP22_12x_0" localSheetId="94">'450'!$P$66</definedName>
    <definedName name="OSRRefP22_12x_0" localSheetId="75">'491'!$P$71:$P$72</definedName>
    <definedName name="OSRRefP22_12x_0" localSheetId="89">'492'!$P$65:$P$71</definedName>
    <definedName name="OSRRefP22_12x_0" localSheetId="39">'Div 2'!$P$59:$P$61</definedName>
    <definedName name="OSRRefP22_12x_0" localSheetId="47">'Div 3'!$P$177</definedName>
    <definedName name="OSRRefP22_12x_0" localSheetId="2">Summary!$P$209</definedName>
    <definedName name="OSRRefP22_13x_0" localSheetId="41">'201'!$P$59</definedName>
    <definedName name="OSRRefP22_13x_0" localSheetId="43">'203'!$P$61</definedName>
    <definedName name="OSRRefP22_13x_0" localSheetId="48">'300'!$P$174</definedName>
    <definedName name="OSRRefP22_13x_0" localSheetId="49">'300 &amp; 317'!$P$198</definedName>
    <definedName name="OSRRefP22_13x_0" localSheetId="50">'301'!$P$61</definedName>
    <definedName name="OSRRefP22_13x_0" localSheetId="55">'308'!$P$94</definedName>
    <definedName name="OSRRefP22_13x_0" localSheetId="66">'310'!$P$68</definedName>
    <definedName name="OSRRefP22_13x_0" localSheetId="74">'310 &amp; 491'!$P$79</definedName>
    <definedName name="OSRRefP22_13x_0" localSheetId="56">'311'!$P$93</definedName>
    <definedName name="OSRRefP22_13x_0" localSheetId="72">'325'!$P$63</definedName>
    <definedName name="OSRRefP22_13x_0" localSheetId="60">'326'!$P$89</definedName>
    <definedName name="OSRRefP22_13x_0" localSheetId="58">'331'!$P$109:$P$111</definedName>
    <definedName name="OSRRefP22_13x_0" localSheetId="76">'405'!$P$66</definedName>
    <definedName name="OSRRefP22_13x_0" localSheetId="78">'411'!$P$69:$P$71</definedName>
    <definedName name="OSRRefP22_13x_0" localSheetId="83">'415'!$P$66</definedName>
    <definedName name="OSRRefP22_13x_0" localSheetId="84">'418'!$P$64</definedName>
    <definedName name="OSRRefP22_13x_0" localSheetId="93">'444'!$P$70</definedName>
    <definedName name="OSRRefP22_13x_0" localSheetId="75">'491'!$P$74:$P$75</definedName>
    <definedName name="OSRRefP22_13x_0" localSheetId="89">'492'!$P$73</definedName>
    <definedName name="OSRRefP22_13x_0" localSheetId="39">'Div 2'!$P$63:$P$65</definedName>
    <definedName name="OSRRefP22_13x_0" localSheetId="47">'Div 3'!$P$179</definedName>
    <definedName name="OSRRefP22_13x_0" localSheetId="2">Summary!$P$211</definedName>
    <definedName name="OSRRefP22_14x_0" localSheetId="48">'300'!$P$176</definedName>
    <definedName name="OSRRefP22_14x_0" localSheetId="49">'300 &amp; 317'!$P$200</definedName>
    <definedName name="OSRRefP22_14x_0" localSheetId="50">'301'!$P$63:$P$65</definedName>
    <definedName name="OSRRefP22_14x_0" localSheetId="55">'308'!$P$96</definedName>
    <definedName name="OSRRefP22_14x_0" localSheetId="66">'310'!$P$70:$P$73</definedName>
    <definedName name="OSRRefP22_14x_0" localSheetId="74">'310 &amp; 491'!$P$81:$P$82</definedName>
    <definedName name="OSRRefP22_14x_0" localSheetId="56">'311'!$P$95</definedName>
    <definedName name="OSRRefP22_14x_0" localSheetId="60">'326'!$P$91</definedName>
    <definedName name="OSRRefP22_14x_0" localSheetId="58">'331'!$P$113</definedName>
    <definedName name="OSRRefP22_14x_0" localSheetId="76">'405'!$P$68</definedName>
    <definedName name="OSRRefP22_14x_0" localSheetId="78">'411'!$P$73</definedName>
    <definedName name="OSRRefP22_14x_0" localSheetId="83">'415'!$P$68:$P$72</definedName>
    <definedName name="OSRRefP22_14x_0" localSheetId="75">'491'!$P$77:$P$81</definedName>
    <definedName name="OSRRefP22_14x_0" localSheetId="89">'492'!$P$75</definedName>
    <definedName name="OSRRefP22_14x_0" localSheetId="39">'Div 2'!$P$67:$P$68</definedName>
    <definedName name="OSRRefP22_14x_0" localSheetId="47">'Div 3'!$P$181</definedName>
    <definedName name="OSRRefP22_14x_0" localSheetId="2">Summary!$P$213</definedName>
    <definedName name="OSRRefP22_15x_0" localSheetId="48">'300'!$P$178</definedName>
    <definedName name="OSRRefP22_15x_0" localSheetId="49">'300 &amp; 317'!$P$202</definedName>
    <definedName name="OSRRefP22_15x_0" localSheetId="50">'301'!$P$67:$P$69</definedName>
    <definedName name="OSRRefP22_15x_0" localSheetId="66">'310'!$P$75</definedName>
    <definedName name="OSRRefP22_15x_0" localSheetId="74">'310 &amp; 491'!$P$84:$P$85</definedName>
    <definedName name="OSRRefP22_15x_0" localSheetId="60">'326'!$P$93</definedName>
    <definedName name="OSRRefP22_15x_0" localSheetId="58">'331'!$P$115:$P$118</definedName>
    <definedName name="OSRRefP22_15x_0" localSheetId="76">'405'!$P$70</definedName>
    <definedName name="OSRRefP22_15x_0" localSheetId="83">'415'!$P$74</definedName>
    <definedName name="OSRRefP22_15x_0" localSheetId="75">'491'!$P$83</definedName>
    <definedName name="OSRRefP22_15x_0" localSheetId="89">'492'!$P$77</definedName>
    <definedName name="OSRRefP22_15x_0" localSheetId="39">'Div 2'!$P$70</definedName>
    <definedName name="OSRRefP22_15x_0" localSheetId="47">'Div 3'!$P$183</definedName>
    <definedName name="OSRRefP22_15x_0" localSheetId="2">Summary!$P$215</definedName>
    <definedName name="OSRRefP22_16x_0" localSheetId="48">'300'!$P$180:$P$182</definedName>
    <definedName name="OSRRefP22_16x_0" localSheetId="49">'300 &amp; 317'!$P$204:$P$206</definedName>
    <definedName name="OSRRefP22_16x_0" localSheetId="50">'301'!$P$71</definedName>
    <definedName name="OSRRefP22_16x_0" localSheetId="66">'310'!$P$77:$P$80</definedName>
    <definedName name="OSRRefP22_16x_0" localSheetId="74">'310 &amp; 491'!$P$87:$P$91</definedName>
    <definedName name="OSRRefP22_16x_0" localSheetId="58">'331'!$P$120</definedName>
    <definedName name="OSRRefP22_16x_0" localSheetId="83">'415'!$P$76</definedName>
    <definedName name="OSRRefP22_16x_0" localSheetId="75">'491'!$P$85:$P$92</definedName>
    <definedName name="OSRRefP22_16x_0" localSheetId="39">'Div 2'!$P$72:$P$76</definedName>
    <definedName name="OSRRefP22_16x_0" localSheetId="47">'Div 3'!$P$185</definedName>
    <definedName name="OSRRefP22_16x_0" localSheetId="2">Summary!$P$217</definedName>
    <definedName name="OSRRefP22_17x_0" localSheetId="48">'300'!$P$184:$P$186</definedName>
    <definedName name="OSRRefP22_17x_0" localSheetId="49">'300 &amp; 317'!$P$208:$P$210</definedName>
    <definedName name="OSRRefP22_17x_0" localSheetId="50">'301'!$P$73:$P$77</definedName>
    <definedName name="OSRRefP22_17x_0" localSheetId="66">'310'!$P$82</definedName>
    <definedName name="OSRRefP22_17x_0" localSheetId="74">'310 &amp; 491'!$P$93</definedName>
    <definedName name="OSRRefP22_17x_0" localSheetId="58">'331'!$P$122</definedName>
    <definedName name="OSRRefP22_17x_0" localSheetId="75">'491'!$P$94</definedName>
    <definedName name="OSRRefP22_17x_0" localSheetId="39">'Div 2'!$P$78:$P$79</definedName>
    <definedName name="OSRRefP22_17x_0" localSheetId="47">'Div 3'!$P$187:$P$189</definedName>
    <definedName name="OSRRefP22_17x_0" localSheetId="2">Summary!$P$219</definedName>
    <definedName name="OSRRefP22_18x_0" localSheetId="48">'300'!$P$188:$P$191</definedName>
    <definedName name="OSRRefP22_18x_0" localSheetId="49">'300 &amp; 317'!$P$212:$P$215</definedName>
    <definedName name="OSRRefP22_18x_0" localSheetId="50">'301'!$P$79</definedName>
    <definedName name="OSRRefP22_18x_0" localSheetId="66">'310'!$P$84</definedName>
    <definedName name="OSRRefP22_18x_0" localSheetId="74">'310 &amp; 491'!$P$95:$P$102</definedName>
    <definedName name="OSRRefP22_18x_0" localSheetId="58">'331'!$P$124</definedName>
    <definedName name="OSRRefP22_18x_0" localSheetId="75">'491'!$P$96</definedName>
    <definedName name="OSRRefP22_18x_0" localSheetId="39">'Div 2'!$P$81</definedName>
    <definedName name="OSRRefP22_18x_0" localSheetId="47">'Div 3'!$P$191:$P$193</definedName>
    <definedName name="OSRRefP22_18x_0" localSheetId="2">Summary!$P$221:$P$223</definedName>
    <definedName name="OSRRefP22_19x_0" localSheetId="48">'300'!$P$193:$P$194</definedName>
    <definedName name="OSRRefP22_19x_0" localSheetId="49">'300 &amp; 317'!$P$217:$P$218</definedName>
    <definedName name="OSRRefP22_19x_0" localSheetId="50">'301'!$P$81</definedName>
    <definedName name="OSRRefP22_19x_0" localSheetId="74">'310 &amp; 491'!$P$104</definedName>
    <definedName name="OSRRefP22_19x_0" localSheetId="58">'331'!$P$126</definedName>
    <definedName name="OSRRefP22_19x_0" localSheetId="75">'491'!$P$98:$P$100</definedName>
    <definedName name="OSRRefP22_19x_0" localSheetId="39">'Div 2'!$P$83:$P$84</definedName>
    <definedName name="OSRRefP22_19x_0" localSheetId="47">'Div 3'!$P$195:$P$199</definedName>
    <definedName name="OSRRefP22_19x_0" localSheetId="2">Summary!$P$225:$P$227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'203'!$P$30:$P$33</definedName>
    <definedName name="OSRRefP22_1x_0" localSheetId="44">'204'!$P$30:$P$34</definedName>
    <definedName name="OSRRefP22_1x_0" localSheetId="45">'205'!$P$29</definedName>
    <definedName name="OSRRefP22_1x_0" localSheetId="46">'206'!$P$28:$P$31</definedName>
    <definedName name="OSRRefP22_1x_0" localSheetId="48">'300'!$P$141:$P$147</definedName>
    <definedName name="OSRRefP22_1x_0" localSheetId="49">'300 &amp; 317'!$P$165:$P$171</definedName>
    <definedName name="OSRRefP22_1x_0" localSheetId="50">'301'!$P$30:$P$35</definedName>
    <definedName name="OSRRefP22_1x_0" localSheetId="51">'306'!$P$30:$P$35</definedName>
    <definedName name="OSRRefP22_1x_0" localSheetId="53">'307'!$P$57:$P$59</definedName>
    <definedName name="OSRRefP22_1x_0" localSheetId="55">'308'!$P$63:$P$68</definedName>
    <definedName name="OSRRefP22_1x_0" localSheetId="67">'309'!$P$33:$P$36</definedName>
    <definedName name="OSRRefP22_1x_0" localSheetId="66">'310'!$P$39:$P$43</definedName>
    <definedName name="OSRRefP22_1x_0" localSheetId="74">'310 &amp; 491'!$P$47:$P$53</definedName>
    <definedName name="OSRRefP22_1x_0" localSheetId="56">'311'!$P$62:$P$67</definedName>
    <definedName name="OSRRefP22_1x_0" localSheetId="68">'313'!$P$36:$P$38</definedName>
    <definedName name="OSRRefP22_1x_0" localSheetId="54">'314'!$P$54:$P$55</definedName>
    <definedName name="OSRRefP22_1x_0" localSheetId="59">'315'!$P$77:$P$80</definedName>
    <definedName name="OSRRefP22_1x_0" localSheetId="62">'316'!$P$39:$P$41</definedName>
    <definedName name="OSRRefP22_1x_0" localSheetId="64">'317'!$P$60:$P$64</definedName>
    <definedName name="OSRRefP22_1x_0" localSheetId="65">'320'!$P$35:$P$36</definedName>
    <definedName name="OSRRefP22_1x_0" localSheetId="69">'321'!$P$30:$P$33</definedName>
    <definedName name="OSRRefP22_1x_0" localSheetId="70">'322'!$P$33:$P$35</definedName>
    <definedName name="OSRRefP22_1x_0" localSheetId="72">'325'!$P$33:$P$36</definedName>
    <definedName name="OSRRefP22_1x_0" localSheetId="60">'326'!$P$59:$P$62</definedName>
    <definedName name="OSRRefP22_1x_0" localSheetId="52">'330'!$P$69:$P$71</definedName>
    <definedName name="OSRRefP22_1x_0" localSheetId="58">'331'!$P$81:$P$84</definedName>
    <definedName name="OSRRefP22_1x_0" localSheetId="61">'332'!$P$46:$P$48</definedName>
    <definedName name="OSRRefP22_1x_0" localSheetId="76">'405'!$P$33:$P$34</definedName>
    <definedName name="OSRRefP22_1x_0" localSheetId="77">'406'!$P$31:$P$33</definedName>
    <definedName name="OSRRefP22_1x_0" localSheetId="78">'411'!$P$30:$P$35</definedName>
    <definedName name="OSRRefP22_1x_0" localSheetId="79">'412'!$P$32:$P$37</definedName>
    <definedName name="OSRRefP22_1x_0" localSheetId="81">'413'!$P$33:$P$35</definedName>
    <definedName name="OSRRefP22_1x_0" localSheetId="82">'414'!$P$32:$P$34</definedName>
    <definedName name="OSRRefP22_1x_0" localSheetId="83">'415'!$P$33:$P$36</definedName>
    <definedName name="OSRRefP22_1x_0" localSheetId="84">'418'!$P$33:$P$37</definedName>
    <definedName name="OSRRefP22_1x_0" localSheetId="85">'423'!$P$29</definedName>
    <definedName name="OSRRefP22_1x_0" localSheetId="86">'424'!$P$25</definedName>
    <definedName name="OSRRefP22_1x_0" localSheetId="87">'425'!$P$33:$P$37</definedName>
    <definedName name="OSRRefP22_1x_0" localSheetId="90">'430'!$P$29</definedName>
    <definedName name="OSRRefP22_1x_0" localSheetId="91">'433'!$P$35:$P$40</definedName>
    <definedName name="OSRRefP22_1x_0" localSheetId="92">'435'!$P$23</definedName>
    <definedName name="OSRRefP22_1x_0" localSheetId="93">'444'!$P$35:$P$40</definedName>
    <definedName name="OSRRefP22_1x_0" localSheetId="94">'450'!$P$34:$P$39</definedName>
    <definedName name="OSRRefP22_1x_0" localSheetId="88">'455'!$P$28:$P$29</definedName>
    <definedName name="OSRRefP22_1x_0" localSheetId="75">'491'!$P$41:$P$47</definedName>
    <definedName name="OSRRefP22_1x_0" localSheetId="89">'492'!$P$35:$P$41</definedName>
    <definedName name="OSRRefP22_1x_0" localSheetId="96">'501'!$P$31:$P$35</definedName>
    <definedName name="OSRRefP22_1x_0" localSheetId="39">'Div 2'!$P$31:$P$37</definedName>
    <definedName name="OSRRefP22_1x_0" localSheetId="47">'Div 3'!$P$146:$P$152</definedName>
    <definedName name="OSRRefP22_1x_0" localSheetId="95">'Div 5'!$P$31:$P$35</definedName>
    <definedName name="OSRRefP22_1x_0" localSheetId="63">'Div 6'!$P$60:$P$64</definedName>
    <definedName name="OSRRefP22_1x_0" localSheetId="2">Summary!$P$177:$P$183</definedName>
    <definedName name="OSRRefP22_20x_0" localSheetId="48">'300'!$P$196:$P$202</definedName>
    <definedName name="OSRRefP22_20x_0" localSheetId="49">'300 &amp; 317'!$P$220:$P$226</definedName>
    <definedName name="OSRRefP22_20x_0" localSheetId="50">'301'!$P$83:$P$84</definedName>
    <definedName name="OSRRefP22_20x_0" localSheetId="74">'310 &amp; 491'!$P$106</definedName>
    <definedName name="OSRRefP22_20x_0" localSheetId="75">'491'!$P$102</definedName>
    <definedName name="OSRRefP22_20x_0" localSheetId="47">'Div 3'!$P$201:$P$202</definedName>
    <definedName name="OSRRefP22_20x_0" localSheetId="2">Summary!$P$229:$P$233</definedName>
    <definedName name="OSRRefP22_21x_0" localSheetId="48">'300'!$P$204:$P$205</definedName>
    <definedName name="OSRRefP22_21x_0" localSheetId="49">'300 &amp; 317'!$P$228:$P$229</definedName>
    <definedName name="OSRRefP22_21x_0" localSheetId="50">'301'!$P$86</definedName>
    <definedName name="OSRRefP22_21x_0" localSheetId="74">'310 &amp; 491'!$P$108:$P$110</definedName>
    <definedName name="OSRRefP22_21x_0" localSheetId="47">'Div 3'!$P$204:$P$210</definedName>
    <definedName name="OSRRefP22_21x_0" localSheetId="2">Summary!$P$235:$P$236</definedName>
    <definedName name="OSRRefP22_22x_0" localSheetId="48">'300'!$P$207</definedName>
    <definedName name="OSRRefP22_22x_0" localSheetId="49">'300 &amp; 317'!$P$231</definedName>
    <definedName name="OSRRefP22_22x_0" localSheetId="74">'310 &amp; 491'!$P$112</definedName>
    <definedName name="OSRRefP22_22x_0" localSheetId="47">'Div 3'!$P$212:$P$213</definedName>
    <definedName name="OSRRefP22_22x_0" localSheetId="2">Summary!$P$238:$P$246</definedName>
    <definedName name="OSRRefP22_23x_0" localSheetId="48">'300'!$P$209:$P$211</definedName>
    <definedName name="OSRRefP22_23x_0" localSheetId="49">'300 &amp; 317'!$P$233:$P$235</definedName>
    <definedName name="OSRRefP22_23x_0" localSheetId="47">'Div 3'!$P$215</definedName>
    <definedName name="OSRRefP22_23x_0" localSheetId="2">Summary!$P$248:$P$249</definedName>
    <definedName name="OSRRefP22_24x_0" localSheetId="48">'300'!$P$213</definedName>
    <definedName name="OSRRefP22_24x_0" localSheetId="49">'300 &amp; 317'!$P$237</definedName>
    <definedName name="OSRRefP22_24x_0" localSheetId="47">'Div 3'!$P$217:$P$219</definedName>
    <definedName name="OSRRefP22_24x_0" localSheetId="2">Summary!$P$251</definedName>
    <definedName name="OSRRefP22_25x_0" localSheetId="47">'Div 3'!$P$221</definedName>
    <definedName name="OSRRefP22_25x_0" localSheetId="2">Summary!$P$253:$P$255</definedName>
    <definedName name="OSRRefP22_26x_0" localSheetId="2">Summary!$P$257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'203'!$P$35</definedName>
    <definedName name="OSRRefP22_2x_0" localSheetId="44">'204'!$P$36</definedName>
    <definedName name="OSRRefP22_2x_0" localSheetId="45">'205'!$P$31</definedName>
    <definedName name="OSRRefP22_2x_0" localSheetId="46">'206'!$P$33</definedName>
    <definedName name="OSRRefP22_2x_0" localSheetId="48">'300'!$P$149</definedName>
    <definedName name="OSRRefP22_2x_0" localSheetId="49">'300 &amp; 317'!$P$173</definedName>
    <definedName name="OSRRefP22_2x_0" localSheetId="50">'301'!$P$37</definedName>
    <definedName name="OSRRefP22_2x_0" localSheetId="51">'306'!$P$37</definedName>
    <definedName name="OSRRefP22_2x_0" localSheetId="53">'307'!$P$61</definedName>
    <definedName name="OSRRefP22_2x_0" localSheetId="55">'308'!$P$70</definedName>
    <definedName name="OSRRefP22_2x_0" localSheetId="67">'309'!$P$38</definedName>
    <definedName name="OSRRefP22_2x_0" localSheetId="66">'310'!$P$45</definedName>
    <definedName name="OSRRefP22_2x_0" localSheetId="74">'310 &amp; 491'!$P$55</definedName>
    <definedName name="OSRRefP22_2x_0" localSheetId="56">'311'!$P$69</definedName>
    <definedName name="OSRRefP22_2x_0" localSheetId="68">'313'!$P$40</definedName>
    <definedName name="OSRRefP22_2x_0" localSheetId="54">'314'!$P$57</definedName>
    <definedName name="OSRRefP22_2x_0" localSheetId="59">'315'!$P$82</definedName>
    <definedName name="OSRRefP22_2x_0" localSheetId="62">'316'!$P$43</definedName>
    <definedName name="OSRRefP22_2x_0" localSheetId="64">'317'!$P$66</definedName>
    <definedName name="OSRRefP22_2x_0" localSheetId="65">'320'!$P$38</definedName>
    <definedName name="OSRRefP22_2x_0" localSheetId="69">'321'!$P$35</definedName>
    <definedName name="OSRRefP22_2x_0" localSheetId="70">'322'!$P$37</definedName>
    <definedName name="OSRRefP22_2x_0" localSheetId="72">'325'!$P$38</definedName>
    <definedName name="OSRRefP22_2x_0" localSheetId="60">'326'!$P$64</definedName>
    <definedName name="OSRRefP22_2x_0" localSheetId="52">'330'!$P$73</definedName>
    <definedName name="OSRRefP22_2x_0" localSheetId="58">'331'!$P$86</definedName>
    <definedName name="OSRRefP22_2x_0" localSheetId="61">'332'!$P$50</definedName>
    <definedName name="OSRRefP22_2x_0" localSheetId="76">'405'!$P$36</definedName>
    <definedName name="OSRRefP22_2x_0" localSheetId="77">'406'!$P$35</definedName>
    <definedName name="OSRRefP22_2x_0" localSheetId="78">'411'!$P$37</definedName>
    <definedName name="OSRRefP22_2x_0" localSheetId="79">'412'!$P$39</definedName>
    <definedName name="OSRRefP22_2x_0" localSheetId="81">'413'!$P$37</definedName>
    <definedName name="OSRRefP22_2x_0" localSheetId="82">'414'!$P$36</definedName>
    <definedName name="OSRRefP22_2x_0" localSheetId="83">'415'!$P$38</definedName>
    <definedName name="OSRRefP22_2x_0" localSheetId="84">'418'!$P$39</definedName>
    <definedName name="OSRRefP22_2x_0" localSheetId="85">'423'!$P$31</definedName>
    <definedName name="OSRRefP22_2x_0" localSheetId="86">'424'!$P$27</definedName>
    <definedName name="OSRRefP22_2x_0" localSheetId="87">'425'!$P$39</definedName>
    <definedName name="OSRRefP22_2x_0" localSheetId="90">'430'!$P$31</definedName>
    <definedName name="OSRRefP22_2x_0" localSheetId="91">'433'!$P$42</definedName>
    <definedName name="OSRRefP22_2x_0" localSheetId="92">'435'!$P$25</definedName>
    <definedName name="OSRRefP22_2x_0" localSheetId="93">'444'!$P$42</definedName>
    <definedName name="OSRRefP22_2x_0" localSheetId="94">'450'!$P$41</definedName>
    <definedName name="OSRRefP22_2x_0" localSheetId="75">'491'!$P$49</definedName>
    <definedName name="OSRRefP22_2x_0" localSheetId="89">'492'!$P$43</definedName>
    <definedName name="OSRRefP22_2x_0" localSheetId="96">'501'!$P$37</definedName>
    <definedName name="OSRRefP22_2x_0" localSheetId="39">'Div 2'!$P$39</definedName>
    <definedName name="OSRRefP22_2x_0" localSheetId="47">'Div 3'!$P$154</definedName>
    <definedName name="OSRRefP22_2x_0" localSheetId="95">'Div 5'!$P$37</definedName>
    <definedName name="OSRRefP22_2x_0" localSheetId="63">'Div 6'!$P$66</definedName>
    <definedName name="OSRRefP22_2x_0" localSheetId="2">Summary!$P$185</definedName>
    <definedName name="OSRRefP22_3x_0" localSheetId="41">'201'!$P$35</definedName>
    <definedName name="OSRRefP22_3x_0" localSheetId="42">'202'!$P$36</definedName>
    <definedName name="OSRRefP22_3x_0" localSheetId="43">'203'!$P$37</definedName>
    <definedName name="OSRRefP22_3x_0" localSheetId="44">'204'!$P$38</definedName>
    <definedName name="OSRRefP22_3x_0" localSheetId="45">'205'!$P$33:$P$34</definedName>
    <definedName name="OSRRefP22_3x_0" localSheetId="46">'206'!$P$35</definedName>
    <definedName name="OSRRefP22_3x_0" localSheetId="48">'300'!$P$151</definedName>
    <definedName name="OSRRefP22_3x_0" localSheetId="49">'300 &amp; 317'!$P$175</definedName>
    <definedName name="OSRRefP22_3x_0" localSheetId="50">'301'!$P$39</definedName>
    <definedName name="OSRRefP22_3x_0" localSheetId="51">'306'!$P$39</definedName>
    <definedName name="OSRRefP22_3x_0" localSheetId="53">'307'!$P$63</definedName>
    <definedName name="OSRRefP22_3x_0" localSheetId="55">'308'!$P$72</definedName>
    <definedName name="OSRRefP22_3x_0" localSheetId="67">'309'!$P$40</definedName>
    <definedName name="OSRRefP22_3x_0" localSheetId="66">'310'!$P$47</definedName>
    <definedName name="OSRRefP22_3x_0" localSheetId="74">'310 &amp; 491'!$P$57</definedName>
    <definedName name="OSRRefP22_3x_0" localSheetId="56">'311'!$P$71</definedName>
    <definedName name="OSRRefP22_3x_0" localSheetId="68">'313'!$P$42</definedName>
    <definedName name="OSRRefP22_3x_0" localSheetId="54">'314'!$P$59</definedName>
    <definedName name="OSRRefP22_3x_0" localSheetId="59">'315'!$P$84</definedName>
    <definedName name="OSRRefP22_3x_0" localSheetId="62">'316'!$P$45</definedName>
    <definedName name="OSRRefP22_3x_0" localSheetId="64">'317'!$P$68</definedName>
    <definedName name="OSRRefP22_3x_0" localSheetId="65">'320'!$P$40:$P$41</definedName>
    <definedName name="OSRRefP22_3x_0" localSheetId="69">'321'!$P$37</definedName>
    <definedName name="OSRRefP22_3x_0" localSheetId="70">'322'!$P$39</definedName>
    <definedName name="OSRRefP22_3x_0" localSheetId="72">'325'!$P$40</definedName>
    <definedName name="OSRRefP22_3x_0" localSheetId="60">'326'!$P$66</definedName>
    <definedName name="OSRRefP22_3x_0" localSheetId="52">'330'!$P$75</definedName>
    <definedName name="OSRRefP22_3x_0" localSheetId="58">'331'!$P$88</definedName>
    <definedName name="OSRRefP22_3x_0" localSheetId="61">'332'!$P$52</definedName>
    <definedName name="OSRRefP22_3x_0" localSheetId="76">'405'!$P$38</definedName>
    <definedName name="OSRRefP22_3x_0" localSheetId="77">'406'!$P$37</definedName>
    <definedName name="OSRRefP22_3x_0" localSheetId="78">'411'!$P$39</definedName>
    <definedName name="OSRRefP22_3x_0" localSheetId="79">'412'!$P$41</definedName>
    <definedName name="OSRRefP22_3x_0" localSheetId="81">'413'!$P$39</definedName>
    <definedName name="OSRRefP22_3x_0" localSheetId="82">'414'!$P$38</definedName>
    <definedName name="OSRRefP22_3x_0" localSheetId="83">'415'!$P$40</definedName>
    <definedName name="OSRRefP22_3x_0" localSheetId="84">'418'!$P$41</definedName>
    <definedName name="OSRRefP22_3x_0" localSheetId="85">'423'!$P$33</definedName>
    <definedName name="OSRRefP22_3x_0" localSheetId="86">'424'!$P$29</definedName>
    <definedName name="OSRRefP22_3x_0" localSheetId="87">'425'!$P$41</definedName>
    <definedName name="OSRRefP22_3x_0" localSheetId="90">'430'!$P$33:$P$34</definedName>
    <definedName name="OSRRefP22_3x_0" localSheetId="91">'433'!$P$44</definedName>
    <definedName name="OSRRefP22_3x_0" localSheetId="92">'435'!$P$27</definedName>
    <definedName name="OSRRefP22_3x_0" localSheetId="93">'444'!$P$44</definedName>
    <definedName name="OSRRefP22_3x_0" localSheetId="94">'450'!$P$43</definedName>
    <definedName name="OSRRefP22_3x_0" localSheetId="75">'491'!$P$51</definedName>
    <definedName name="OSRRefP22_3x_0" localSheetId="89">'492'!$P$45</definedName>
    <definedName name="OSRRefP22_3x_0" localSheetId="96">'501'!$P$39</definedName>
    <definedName name="OSRRefP22_3x_0" localSheetId="39">'Div 2'!$P$41</definedName>
    <definedName name="OSRRefP22_3x_0" localSheetId="47">'Div 3'!$P$156</definedName>
    <definedName name="OSRRefP22_3x_0" localSheetId="95">'Div 5'!$P$39</definedName>
    <definedName name="OSRRefP22_3x_0" localSheetId="63">'Div 6'!$P$68</definedName>
    <definedName name="OSRRefP22_3x_0" localSheetId="2">Summary!$P$187</definedName>
    <definedName name="OSRRefP22_4x_0" localSheetId="41">'201'!$P$37</definedName>
    <definedName name="OSRRefP22_4x_0" localSheetId="42">'202'!$P$38</definedName>
    <definedName name="OSRRefP22_4x_0" localSheetId="43">'203'!$P$39</definedName>
    <definedName name="OSRRefP22_4x_0" localSheetId="44">'204'!$P$40:$P$42</definedName>
    <definedName name="OSRRefP22_4x_0" localSheetId="45">'205'!$P$36</definedName>
    <definedName name="OSRRefP22_4x_0" localSheetId="46">'206'!$P$37:$P$38</definedName>
    <definedName name="OSRRefP22_4x_0" localSheetId="48">'300'!$P$153</definedName>
    <definedName name="OSRRefP22_4x_0" localSheetId="49">'300 &amp; 317'!$P$177</definedName>
    <definedName name="OSRRefP22_4x_0" localSheetId="50">'301'!$P$41</definedName>
    <definedName name="OSRRefP22_4x_0" localSheetId="51">'306'!$P$41</definedName>
    <definedName name="OSRRefP22_4x_0" localSheetId="53">'307'!$P$65</definedName>
    <definedName name="OSRRefP22_4x_0" localSheetId="55">'308'!$P$74</definedName>
    <definedName name="OSRRefP22_4x_0" localSheetId="67">'309'!$P$42</definedName>
    <definedName name="OSRRefP22_4x_0" localSheetId="66">'310'!$P$49</definedName>
    <definedName name="OSRRefP22_4x_0" localSheetId="74">'310 &amp; 491'!$P$59</definedName>
    <definedName name="OSRRefP22_4x_0" localSheetId="56">'311'!$P$73</definedName>
    <definedName name="OSRRefP22_4x_0" localSheetId="68">'313'!$P$44</definedName>
    <definedName name="OSRRefP22_4x_0" localSheetId="59">'315'!$P$86</definedName>
    <definedName name="OSRRefP22_4x_0" localSheetId="62">'316'!$P$47</definedName>
    <definedName name="OSRRefP22_4x_0" localSheetId="64">'317'!$P$70</definedName>
    <definedName name="OSRRefP22_4x_0" localSheetId="65">'320'!$P$43</definedName>
    <definedName name="OSRRefP22_4x_0" localSheetId="69">'321'!$P$39</definedName>
    <definedName name="OSRRefP22_4x_0" localSheetId="70">'322'!$P$41</definedName>
    <definedName name="OSRRefP22_4x_0" localSheetId="72">'325'!$P$42:$P$43</definedName>
    <definedName name="OSRRefP22_4x_0" localSheetId="60">'326'!$P$68</definedName>
    <definedName name="OSRRefP22_4x_0" localSheetId="52">'330'!$P$77</definedName>
    <definedName name="OSRRefP22_4x_0" localSheetId="58">'331'!$P$90</definedName>
    <definedName name="OSRRefP22_4x_0" localSheetId="61">'332'!$P$54</definedName>
    <definedName name="OSRRefP22_4x_0" localSheetId="76">'405'!$P$40</definedName>
    <definedName name="OSRRefP22_4x_0" localSheetId="77">'406'!$P$39</definedName>
    <definedName name="OSRRefP22_4x_0" localSheetId="78">'411'!$P$41:$P$43</definedName>
    <definedName name="OSRRefP22_4x_0" localSheetId="79">'412'!$P$43</definedName>
    <definedName name="OSRRefP22_4x_0" localSheetId="81">'413'!$P$41</definedName>
    <definedName name="OSRRefP22_4x_0" localSheetId="82">'414'!$P$40</definedName>
    <definedName name="OSRRefP22_4x_0" localSheetId="83">'415'!$P$42</definedName>
    <definedName name="OSRRefP22_4x_0" localSheetId="84">'418'!$P$43</definedName>
    <definedName name="OSRRefP22_4x_0" localSheetId="85">'423'!$P$35</definedName>
    <definedName name="OSRRefP22_4x_0" localSheetId="86">'424'!$P$31</definedName>
    <definedName name="OSRRefP22_4x_0" localSheetId="87">'425'!$P$43</definedName>
    <definedName name="OSRRefP22_4x_0" localSheetId="90">'430'!$P$36</definedName>
    <definedName name="OSRRefP22_4x_0" localSheetId="91">'433'!$P$46</definedName>
    <definedName name="OSRRefP22_4x_0" localSheetId="93">'444'!$P$46</definedName>
    <definedName name="OSRRefP22_4x_0" localSheetId="94">'450'!$P$45</definedName>
    <definedName name="OSRRefP22_4x_0" localSheetId="75">'491'!$P$53</definedName>
    <definedName name="OSRRefP22_4x_0" localSheetId="89">'492'!$P$47</definedName>
    <definedName name="OSRRefP22_4x_0" localSheetId="96">'501'!$P$41</definedName>
    <definedName name="OSRRefP22_4x_0" localSheetId="39">'Div 2'!$P$43</definedName>
    <definedName name="OSRRefP22_4x_0" localSheetId="47">'Div 3'!$P$158</definedName>
    <definedName name="OSRRefP22_4x_0" localSheetId="95">'Div 5'!$P$41</definedName>
    <definedName name="OSRRefP22_4x_0" localSheetId="63">'Div 6'!$P$70</definedName>
    <definedName name="OSRRefP22_4x_0" localSheetId="2">Summary!$P$189</definedName>
    <definedName name="OSRRefP22_5x_0" localSheetId="41">'201'!$P$39</definedName>
    <definedName name="OSRRefP22_5x_0" localSheetId="42">'202'!$P$40</definedName>
    <definedName name="OSRRefP22_5x_0" localSheetId="43">'203'!$P$41</definedName>
    <definedName name="OSRRefP22_5x_0" localSheetId="44">'204'!$P$44</definedName>
    <definedName name="OSRRefP22_5x_0" localSheetId="45">'205'!$P$38</definedName>
    <definedName name="OSRRefP22_5x_0" localSheetId="46">'206'!$P$40</definedName>
    <definedName name="OSRRefP22_5x_0" localSheetId="48">'300'!$P$155:$P$156</definedName>
    <definedName name="OSRRefP22_5x_0" localSheetId="49">'300 &amp; 317'!$P$179:$P$180</definedName>
    <definedName name="OSRRefP22_5x_0" localSheetId="50">'301'!$P$43:$P$44</definedName>
    <definedName name="OSRRefP22_5x_0" localSheetId="53">'307'!$P$67</definedName>
    <definedName name="OSRRefP22_5x_0" localSheetId="55">'308'!$P$76</definedName>
    <definedName name="OSRRefP22_5x_0" localSheetId="67">'309'!$P$44</definedName>
    <definedName name="OSRRefP22_5x_0" localSheetId="66">'310'!$P$51:$P$52</definedName>
    <definedName name="OSRRefP22_5x_0" localSheetId="74">'310 &amp; 491'!$P$61:$P$63</definedName>
    <definedName name="OSRRefP22_5x_0" localSheetId="56">'311'!$P$75</definedName>
    <definedName name="OSRRefP22_5x_0" localSheetId="68">'313'!$P$46</definedName>
    <definedName name="OSRRefP22_5x_0" localSheetId="59">'315'!$P$88</definedName>
    <definedName name="OSRRefP22_5x_0" localSheetId="62">'316'!$P$49:$P$50</definedName>
    <definedName name="OSRRefP22_5x_0" localSheetId="64">'317'!$P$72:$P$73</definedName>
    <definedName name="OSRRefP22_5x_0" localSheetId="65">'320'!$P$45</definedName>
    <definedName name="OSRRefP22_5x_0" localSheetId="69">'321'!$P$41</definedName>
    <definedName name="OSRRefP22_5x_0" localSheetId="70">'322'!$P$43</definedName>
    <definedName name="OSRRefP22_5x_0" localSheetId="72">'325'!$P$45</definedName>
    <definedName name="OSRRefP22_5x_0" localSheetId="60">'326'!$P$70</definedName>
    <definedName name="OSRRefP22_5x_0" localSheetId="52">'330'!$P$79</definedName>
    <definedName name="OSRRefP22_5x_0" localSheetId="58">'331'!$P$92</definedName>
    <definedName name="OSRRefP22_5x_0" localSheetId="61">'332'!$P$56:$P$57</definedName>
    <definedName name="OSRRefP22_5x_0" localSheetId="76">'405'!$P$42:$P$43</definedName>
    <definedName name="OSRRefP22_5x_0" localSheetId="77">'406'!$P$41</definedName>
    <definedName name="OSRRefP22_5x_0" localSheetId="78">'411'!$P$45</definedName>
    <definedName name="OSRRefP22_5x_0" localSheetId="79">'412'!$P$45</definedName>
    <definedName name="OSRRefP22_5x_0" localSheetId="81">'413'!$P$43</definedName>
    <definedName name="OSRRefP22_5x_0" localSheetId="82">'414'!$P$42</definedName>
    <definedName name="OSRRefP22_5x_0" localSheetId="83">'415'!$P$44:$P$45</definedName>
    <definedName name="OSRRefP22_5x_0" localSheetId="84">'418'!$P$45:$P$46</definedName>
    <definedName name="OSRRefP22_5x_0" localSheetId="85">'423'!$P$37</definedName>
    <definedName name="OSRRefP22_5x_0" localSheetId="86">'424'!$P$33</definedName>
    <definedName name="OSRRefP22_5x_0" localSheetId="87">'425'!$P$45</definedName>
    <definedName name="OSRRefP22_5x_0" localSheetId="90">'430'!$P$38</definedName>
    <definedName name="OSRRefP22_5x_0" localSheetId="91">'433'!$P$48</definedName>
    <definedName name="OSRRefP22_5x_0" localSheetId="93">'444'!$P$48</definedName>
    <definedName name="OSRRefP22_5x_0" localSheetId="94">'450'!$P$47</definedName>
    <definedName name="OSRRefP22_5x_0" localSheetId="75">'491'!$P$55:$P$57</definedName>
    <definedName name="OSRRefP22_5x_0" localSheetId="89">'492'!$P$49</definedName>
    <definedName name="OSRRefP22_5x_0" localSheetId="96">'501'!$P$43</definedName>
    <definedName name="OSRRefP22_5x_0" localSheetId="39">'Div 2'!$P$45</definedName>
    <definedName name="OSRRefP22_5x_0" localSheetId="47">'Div 3'!$P$160:$P$161</definedName>
    <definedName name="OSRRefP22_5x_0" localSheetId="95">'Div 5'!$P$43</definedName>
    <definedName name="OSRRefP22_5x_0" localSheetId="63">'Div 6'!$P$72:$P$73</definedName>
    <definedName name="OSRRefP22_5x_0" localSheetId="2">Summary!$P$191:$P$193</definedName>
    <definedName name="OSRRefP22_6x_0" localSheetId="41">'201'!$P$41</definedName>
    <definedName name="OSRRefP22_6x_0" localSheetId="42">'202'!$P$42</definedName>
    <definedName name="OSRRefP22_6x_0" localSheetId="43">'203'!$P$43</definedName>
    <definedName name="OSRRefP22_6x_0" localSheetId="44">'204'!$P$46:$P$47</definedName>
    <definedName name="OSRRefP22_6x_0" localSheetId="45">'205'!$P$40</definedName>
    <definedName name="OSRRefP22_6x_0" localSheetId="48">'300'!$P$158:$P$159</definedName>
    <definedName name="OSRRefP22_6x_0" localSheetId="49">'300 &amp; 317'!$P$182:$P$183</definedName>
    <definedName name="OSRRefP22_6x_0" localSheetId="50">'301'!$P$46:$P$47</definedName>
    <definedName name="OSRRefP22_6x_0" localSheetId="53">'307'!$P$69:$P$70</definedName>
    <definedName name="OSRRefP22_6x_0" localSheetId="55">'308'!$P$78</definedName>
    <definedName name="OSRRefP22_6x_0" localSheetId="67">'309'!$P$46</definedName>
    <definedName name="OSRRefP22_6x_0" localSheetId="66">'310'!$P$54</definedName>
    <definedName name="OSRRefP22_6x_0" localSheetId="74">'310 &amp; 491'!$P$65</definedName>
    <definedName name="OSRRefP22_6x_0" localSheetId="56">'311'!$P$77</definedName>
    <definedName name="OSRRefP22_6x_0" localSheetId="68">'313'!$P$48</definedName>
    <definedName name="OSRRefP22_6x_0" localSheetId="59">'315'!$P$90</definedName>
    <definedName name="OSRRefP22_6x_0" localSheetId="62">'316'!$P$52</definedName>
    <definedName name="OSRRefP22_6x_0" localSheetId="64">'317'!$P$75</definedName>
    <definedName name="OSRRefP22_6x_0" localSheetId="69">'321'!$P$43</definedName>
    <definedName name="OSRRefP22_6x_0" localSheetId="70">'322'!$P$45</definedName>
    <definedName name="OSRRefP22_6x_0" localSheetId="72">'325'!$P$47</definedName>
    <definedName name="OSRRefP22_6x_0" localSheetId="60">'326'!$P$72</definedName>
    <definedName name="OSRRefP22_6x_0" localSheetId="52">'330'!$P$81:$P$82</definedName>
    <definedName name="OSRRefP22_6x_0" localSheetId="58">'331'!$P$94</definedName>
    <definedName name="OSRRefP22_6x_0" localSheetId="61">'332'!$P$59</definedName>
    <definedName name="OSRRefP22_6x_0" localSheetId="76">'405'!$P$45</definedName>
    <definedName name="OSRRefP22_6x_0" localSheetId="77">'406'!$P$43</definedName>
    <definedName name="OSRRefP22_6x_0" localSheetId="78">'411'!$P$47</definedName>
    <definedName name="OSRRefP22_6x_0" localSheetId="79">'412'!$P$47</definedName>
    <definedName name="OSRRefP22_6x_0" localSheetId="81">'413'!$P$45</definedName>
    <definedName name="OSRRefP22_6x_0" localSheetId="82">'414'!$P$44</definedName>
    <definedName name="OSRRefP22_6x_0" localSheetId="83">'415'!$P$47</definedName>
    <definedName name="OSRRefP22_6x_0" localSheetId="84">'418'!$P$48</definedName>
    <definedName name="OSRRefP22_6x_0" localSheetId="86">'424'!$P$35</definedName>
    <definedName name="OSRRefP22_6x_0" localSheetId="87">'425'!$P$47</definedName>
    <definedName name="OSRRefP22_6x_0" localSheetId="91">'433'!$P$50</definedName>
    <definedName name="OSRRefP22_6x_0" localSheetId="93">'444'!$P$50</definedName>
    <definedName name="OSRRefP22_6x_0" localSheetId="94">'450'!$P$49</definedName>
    <definedName name="OSRRefP22_6x_0" localSheetId="75">'491'!$P$59</definedName>
    <definedName name="OSRRefP22_6x_0" localSheetId="89">'492'!$P$51</definedName>
    <definedName name="OSRRefP22_6x_0" localSheetId="96">'501'!$P$45</definedName>
    <definedName name="OSRRefP22_6x_0" localSheetId="39">'Div 2'!$P$47</definedName>
    <definedName name="OSRRefP22_6x_0" localSheetId="47">'Div 3'!$P$163:$P$164</definedName>
    <definedName name="OSRRefP22_6x_0" localSheetId="95">'Div 5'!$P$45</definedName>
    <definedName name="OSRRefP22_6x_0" localSheetId="63">'Div 6'!$P$75</definedName>
    <definedName name="OSRRefP22_6x_0" localSheetId="2">Summary!$P$195:$P$196</definedName>
    <definedName name="OSRRefP22_7x_0" localSheetId="41">'201'!$P$43</definedName>
    <definedName name="OSRRefP22_7x_0" localSheetId="42">'202'!$P$44:$P$45</definedName>
    <definedName name="OSRRefP22_7x_0" localSheetId="43">'203'!$P$45</definedName>
    <definedName name="OSRRefP22_7x_0" localSheetId="44">'204'!$P$49</definedName>
    <definedName name="OSRRefP22_7x_0" localSheetId="48">'300'!$P$161</definedName>
    <definedName name="OSRRefP22_7x_0" localSheetId="49">'300 &amp; 317'!$P$185</definedName>
    <definedName name="OSRRefP22_7x_0" localSheetId="50">'301'!$P$49</definedName>
    <definedName name="OSRRefP22_7x_0" localSheetId="53">'307'!$P$72:$P$73</definedName>
    <definedName name="OSRRefP22_7x_0" localSheetId="55">'308'!$P$80</definedName>
    <definedName name="OSRRefP22_7x_0" localSheetId="67">'309'!$P$48</definedName>
    <definedName name="OSRRefP22_7x_0" localSheetId="66">'310'!$P$56</definedName>
    <definedName name="OSRRefP22_7x_0" localSheetId="74">'310 &amp; 491'!$P$67</definedName>
    <definedName name="OSRRefP22_7x_0" localSheetId="56">'311'!$P$79</definedName>
    <definedName name="OSRRefP22_7x_0" localSheetId="68">'313'!$P$50</definedName>
    <definedName name="OSRRefP22_7x_0" localSheetId="59">'315'!$P$92:$P$93</definedName>
    <definedName name="OSRRefP22_7x_0" localSheetId="62">'316'!$P$54</definedName>
    <definedName name="OSRRefP22_7x_0" localSheetId="64">'317'!$P$77</definedName>
    <definedName name="OSRRefP22_7x_0" localSheetId="69">'321'!$P$45:$P$46</definedName>
    <definedName name="OSRRefP22_7x_0" localSheetId="70">'322'!$P$47</definedName>
    <definedName name="OSRRefP22_7x_0" localSheetId="72">'325'!$P$49</definedName>
    <definedName name="OSRRefP22_7x_0" localSheetId="60">'326'!$P$74</definedName>
    <definedName name="OSRRefP22_7x_0" localSheetId="52">'330'!$P$84:$P$85</definedName>
    <definedName name="OSRRefP22_7x_0" localSheetId="58">'331'!$P$96</definedName>
    <definedName name="OSRRefP22_7x_0" localSheetId="61">'332'!$P$61</definedName>
    <definedName name="OSRRefP22_7x_0" localSheetId="76">'405'!$P$47</definedName>
    <definedName name="OSRRefP22_7x_0" localSheetId="77">'406'!$P$45:$P$46</definedName>
    <definedName name="OSRRefP22_7x_0" localSheetId="78">'411'!$P$49</definedName>
    <definedName name="OSRRefP22_7x_0" localSheetId="79">'412'!$P$49</definedName>
    <definedName name="OSRRefP22_7x_0" localSheetId="81">'413'!$P$47</definedName>
    <definedName name="OSRRefP22_7x_0" localSheetId="82">'414'!$P$46</definedName>
    <definedName name="OSRRefP22_7x_0" localSheetId="83">'415'!$P$49</definedName>
    <definedName name="OSRRefP22_7x_0" localSheetId="84">'418'!$P$50</definedName>
    <definedName name="OSRRefP22_7x_0" localSheetId="86">'424'!$P$37</definedName>
    <definedName name="OSRRefP22_7x_0" localSheetId="87">'425'!$P$49:$P$50</definedName>
    <definedName name="OSRRefP22_7x_0" localSheetId="91">'433'!$P$52</definedName>
    <definedName name="OSRRefP22_7x_0" localSheetId="93">'444'!$P$52</definedName>
    <definedName name="OSRRefP22_7x_0" localSheetId="94">'450'!$P$51</definedName>
    <definedName name="OSRRefP22_7x_0" localSheetId="75">'491'!$P$61</definedName>
    <definedName name="OSRRefP22_7x_0" localSheetId="89">'492'!$P$53</definedName>
    <definedName name="OSRRefP22_7x_0" localSheetId="39">'Div 2'!$P$49</definedName>
    <definedName name="OSRRefP22_7x_0" localSheetId="47">'Div 3'!$P$166</definedName>
    <definedName name="OSRRefP22_7x_0" localSheetId="63">'Div 6'!$P$77</definedName>
    <definedName name="OSRRefP22_7x_0" localSheetId="2">Summary!$P$198</definedName>
    <definedName name="OSRRefP22_8x_0" localSheetId="41">'201'!$P$45:$P$46</definedName>
    <definedName name="OSRRefP22_8x_0" localSheetId="42">'202'!$P$47</definedName>
    <definedName name="OSRRefP22_8x_0" localSheetId="43">'203'!$P$47</definedName>
    <definedName name="OSRRefP22_8x_0" localSheetId="48">'300'!$P$163</definedName>
    <definedName name="OSRRefP22_8x_0" localSheetId="49">'300 &amp; 317'!$P$187</definedName>
    <definedName name="OSRRefP22_8x_0" localSheetId="50">'301'!$P$51</definedName>
    <definedName name="OSRRefP22_8x_0" localSheetId="53">'307'!$P$75</definedName>
    <definedName name="OSRRefP22_8x_0" localSheetId="55">'308'!$P$82</definedName>
    <definedName name="OSRRefP22_8x_0" localSheetId="67">'309'!$P$50:$P$51</definedName>
    <definedName name="OSRRefP22_8x_0" localSheetId="66">'310'!$P$58</definedName>
    <definedName name="OSRRefP22_8x_0" localSheetId="74">'310 &amp; 491'!$P$69</definedName>
    <definedName name="OSRRefP22_8x_0" localSheetId="56">'311'!$P$81</definedName>
    <definedName name="OSRRefP22_8x_0" localSheetId="68">'313'!$P$52</definedName>
    <definedName name="OSRRefP22_8x_0" localSheetId="59">'315'!$P$95:$P$97</definedName>
    <definedName name="OSRRefP22_8x_0" localSheetId="62">'316'!$P$56:$P$60</definedName>
    <definedName name="OSRRefP22_8x_0" localSheetId="64">'317'!$P$79:$P$81</definedName>
    <definedName name="OSRRefP22_8x_0" localSheetId="69">'321'!$P$48:$P$50</definedName>
    <definedName name="OSRRefP22_8x_0" localSheetId="70">'322'!$P$49:$P$51</definedName>
    <definedName name="OSRRefP22_8x_0" localSheetId="72">'325'!$P$51</definedName>
    <definedName name="OSRRefP22_8x_0" localSheetId="60">'326'!$P$76</definedName>
    <definedName name="OSRRefP22_8x_0" localSheetId="52">'330'!$P$87</definedName>
    <definedName name="OSRRefP22_8x_0" localSheetId="58">'331'!$P$98</definedName>
    <definedName name="OSRRefP22_8x_0" localSheetId="61">'332'!$P$63:$P$67</definedName>
    <definedName name="OSRRefP22_8x_0" localSheetId="76">'405'!$P$49</definedName>
    <definedName name="OSRRefP22_8x_0" localSheetId="77">'406'!$P$48</definedName>
    <definedName name="OSRRefP22_8x_0" localSheetId="78">'411'!$P$51:$P$52</definedName>
    <definedName name="OSRRefP22_8x_0" localSheetId="79">'412'!$P$51</definedName>
    <definedName name="OSRRefP22_8x_0" localSheetId="81">'413'!$P$49:$P$50</definedName>
    <definedName name="OSRRefP22_8x_0" localSheetId="82">'414'!$P$48</definedName>
    <definedName name="OSRRefP22_8x_0" localSheetId="83">'415'!$P$51</definedName>
    <definedName name="OSRRefP22_8x_0" localSheetId="84">'418'!$P$52</definedName>
    <definedName name="OSRRefP22_8x_0" localSheetId="87">'425'!$P$52:$P$53</definedName>
    <definedName name="OSRRefP22_8x_0" localSheetId="91">'433'!$P$54:$P$56</definedName>
    <definedName name="OSRRefP22_8x_0" localSheetId="93">'444'!$P$54</definedName>
    <definedName name="OSRRefP22_8x_0" localSheetId="94">'450'!$P$53:$P$55</definedName>
    <definedName name="OSRRefP22_8x_0" localSheetId="75">'491'!$P$63</definedName>
    <definedName name="OSRRefP22_8x_0" localSheetId="89">'492'!$P$55</definedName>
    <definedName name="OSRRefP22_8x_0" localSheetId="39">'Div 2'!$P$51</definedName>
    <definedName name="OSRRefP22_8x_0" localSheetId="47">'Div 3'!$P$168</definedName>
    <definedName name="OSRRefP22_8x_0" localSheetId="63">'Div 6'!$P$79:$P$81</definedName>
    <definedName name="OSRRefP22_8x_0" localSheetId="2">Summary!$P$200</definedName>
    <definedName name="OSRRefP22_9x_0" localSheetId="41">'201'!$P$48:$P$49</definedName>
    <definedName name="OSRRefP22_9x_0" localSheetId="42">'202'!$P$49:$P$50</definedName>
    <definedName name="OSRRefP22_9x_0" localSheetId="43">'203'!$P$49:$P$50</definedName>
    <definedName name="OSRRefP22_9x_0" localSheetId="48">'300'!$P$165</definedName>
    <definedName name="OSRRefP22_9x_0" localSheetId="49">'300 &amp; 317'!$P$189</definedName>
    <definedName name="OSRRefP22_9x_0" localSheetId="50">'301'!$P$53</definedName>
    <definedName name="OSRRefP22_9x_0" localSheetId="55">'308'!$P$84</definedName>
    <definedName name="OSRRefP22_9x_0" localSheetId="67">'309'!$P$53:$P$54</definedName>
    <definedName name="OSRRefP22_9x_0" localSheetId="66">'310'!$P$60</definedName>
    <definedName name="OSRRefP22_9x_0" localSheetId="74">'310 &amp; 491'!$P$71</definedName>
    <definedName name="OSRRefP22_9x_0" localSheetId="56">'311'!$P$83</definedName>
    <definedName name="OSRRefP22_9x_0" localSheetId="68">'313'!$P$54</definedName>
    <definedName name="OSRRefP22_9x_0" localSheetId="59">'315'!$P$99</definedName>
    <definedName name="OSRRefP22_9x_0" localSheetId="62">'316'!$P$62</definedName>
    <definedName name="OSRRefP22_9x_0" localSheetId="64">'317'!$P$83</definedName>
    <definedName name="OSRRefP22_9x_0" localSheetId="69">'321'!$P$52</definedName>
    <definedName name="OSRRefP22_9x_0" localSheetId="70">'322'!$P$53:$P$55</definedName>
    <definedName name="OSRRefP22_9x_0" localSheetId="72">'325'!$P$53:$P$55</definedName>
    <definedName name="OSRRefP22_9x_0" localSheetId="60">'326'!$P$78</definedName>
    <definedName name="OSRRefP22_9x_0" localSheetId="58">'331'!$P$100</definedName>
    <definedName name="OSRRefP22_9x_0" localSheetId="61">'332'!$P$69</definedName>
    <definedName name="OSRRefP22_9x_0" localSheetId="76">'405'!$P$51:$P$52</definedName>
    <definedName name="OSRRefP22_9x_0" localSheetId="77">'406'!$P$50</definedName>
    <definedName name="OSRRefP22_9x_0" localSheetId="78">'411'!$P$54:$P$58</definedName>
    <definedName name="OSRRefP22_9x_0" localSheetId="79">'412'!$P$53:$P$54</definedName>
    <definedName name="OSRRefP22_9x_0" localSheetId="81">'413'!$P$52:$P$53</definedName>
    <definedName name="OSRRefP22_9x_0" localSheetId="82">'414'!$P$50</definedName>
    <definedName name="OSRRefP22_9x_0" localSheetId="83">'415'!$P$53</definedName>
    <definedName name="OSRRefP22_9x_0" localSheetId="84">'418'!$P$54:$P$55</definedName>
    <definedName name="OSRRefP22_9x_0" localSheetId="87">'425'!$P$55</definedName>
    <definedName name="OSRRefP22_9x_0" localSheetId="91">'433'!$P$58:$P$63</definedName>
    <definedName name="OSRRefP22_9x_0" localSheetId="93">'444'!$P$56:$P$58</definedName>
    <definedName name="OSRRefP22_9x_0" localSheetId="94">'450'!$P$57:$P$60</definedName>
    <definedName name="OSRRefP22_9x_0" localSheetId="75">'491'!$P$65</definedName>
    <definedName name="OSRRefP22_9x_0" localSheetId="89">'492'!$P$57</definedName>
    <definedName name="OSRRefP22_9x_0" localSheetId="39">'Div 2'!$P$53</definedName>
    <definedName name="OSRRefP22_9x_0" localSheetId="47">'Div 3'!$P$170</definedName>
    <definedName name="OSRRefP22_9x_0" localSheetId="63">'Div 6'!$P$83</definedName>
    <definedName name="OSRRefP22_9x_0" localSheetId="2">Summary!$P$202</definedName>
    <definedName name="OSRRefP22x_0" localSheetId="40">'200'!$P$20,'200'!$P$22,'200'!$P$24</definedName>
    <definedName name="OSRRefP22x_0" localSheetId="41">'201'!$P$20:$P$27,'201'!$P$29:$P$31,'201'!$P$33,'201'!$P$35,'201'!$P$37,'201'!$P$39,'201'!$P$41,'201'!$P$43,'201'!$P$45:$P$46,'201'!$P$48:$P$49,'201'!$P$51,'201'!$P$53:$P$55,'201'!$P$57,'201'!$P$59</definedName>
    <definedName name="OSRRefP22x_0" localSheetId="42">'202'!$P$20:$P$27,'202'!$P$29:$P$32,'202'!$P$34,'202'!$P$36,'202'!$P$38,'202'!$P$40,'202'!$P$42,'202'!$P$44:$P$45,'202'!$P$47,'202'!$P$49:$P$50,'202'!$P$52,'202'!$P$54</definedName>
    <definedName name="OSRRefP22x_0" localSheetId="43">'203'!$P$20:$P$28,'203'!$P$30:$P$33,'203'!$P$35,'203'!$P$37,'203'!$P$39,'203'!$P$41,'203'!$P$43,'203'!$P$45,'203'!$P$47,'203'!$P$49:$P$50,'203'!$P$52:$P$55,'203'!$P$57,'203'!$P$59,'203'!$P$61</definedName>
    <definedName name="OSRRefP22x_0" localSheetId="44">'204'!$P$20:$P$28,'204'!$P$30:$P$34,'204'!$P$36,'204'!$P$38,'204'!$P$40:$P$42,'204'!$P$44,'204'!$P$46:$P$47,'204'!$P$49</definedName>
    <definedName name="OSRRefP22x_0" localSheetId="45">'205'!$P$20:$P$27,'205'!$P$29,'205'!$P$31,'205'!$P$33:$P$34,'205'!$P$36,'205'!$P$38,'205'!$P$40</definedName>
    <definedName name="OSRRefP22x_0" localSheetId="46">'206'!$P$20:$P$26,'206'!$P$28:$P$31,'206'!$P$33,'206'!$P$35,'206'!$P$37:$P$38,'206'!$P$40</definedName>
    <definedName name="OSRRefP22x_0" localSheetId="48">'300'!$P$130:$P$139,'300'!$P$141:$P$147,'300'!$P$149,'300'!$P$151,'300'!$P$153,'300'!$P$155:$P$156,'300'!$P$158:$P$159,'300'!$P$161,'300'!$P$163,'300'!$P$165,'300'!$P$167:$P$168,'300'!$P$170,'300'!$P$172,'300'!$P$174,'300'!$P$176,'300'!$P$178,'300'!$P$180:$P$182,'300'!$P$184:$P$186,'300'!$P$188:$P$191,'300'!$P$193:$P$194,'300'!$P$196:$P$202,'300'!$P$204:$P$205,'300'!$P$207,'300'!$P$209:$P$211,'300'!$P$213</definedName>
    <definedName name="OSRRefP22x_0" localSheetId="49">'300 &amp; 317'!$P$154:$P$163,'300 &amp; 317'!$P$165:$P$171,'300 &amp; 317'!$P$173,'300 &amp; 317'!$P$175,'300 &amp; 317'!$P$177,'300 &amp; 317'!$P$179:$P$180,'300 &amp; 317'!$P$182:$P$183,'300 &amp; 317'!$P$185,'300 &amp; 317'!$P$187,'300 &amp; 317'!$P$189,'300 &amp; 317'!$P$191:$P$192,'300 &amp; 317'!$P$194,'300 &amp; 317'!$P$196,'300 &amp; 317'!$P$198,'300 &amp; 317'!$P$200,'300 &amp; 317'!$P$202,'300 &amp; 317'!$P$204:$P$206,'300 &amp; 317'!$P$208:$P$210,'300 &amp; 317'!$P$212:$P$215,'300 &amp; 317'!$P$217:$P$218,'300 &amp; 317'!$P$220:$P$226,'300 &amp; 317'!$P$228:$P$229,'300 &amp; 317'!$P$231,'300 &amp; 317'!$P$233:$P$235,'300 &amp; 317'!$P$237</definedName>
    <definedName name="OSRRefP22x_0" localSheetId="50">'301'!$P$20:$P$28,'301'!$P$30:$P$35,'301'!$P$37,'301'!$P$39,'301'!$P$41,'301'!$P$43:$P$44,'301'!$P$46:$P$47,'301'!$P$49,'301'!$P$51,'301'!$P$53,'301'!$P$55,'301'!$P$57,'301'!$P$59,'301'!$P$61,'301'!$P$63:$P$65,'301'!$P$67:$P$69,'301'!$P$71,'301'!$P$73:$P$77,'301'!$P$79,'301'!$P$81,'301'!$P$83:$P$84,'301'!$P$86</definedName>
    <definedName name="OSRRefP22x_0" localSheetId="51">'306'!$P$20:$P$28,'306'!$P$30:$P$35,'306'!$P$37,'306'!$P$39,'306'!$P$41</definedName>
    <definedName name="OSRRefP22x_0" localSheetId="53">'307'!$P$48:$P$55,'307'!$P$57:$P$59,'307'!$P$61,'307'!$P$63,'307'!$P$65,'307'!$P$67,'307'!$P$69:$P$70,'307'!$P$72:$P$73,'307'!$P$75</definedName>
    <definedName name="OSRRefP22x_0" localSheetId="55">'308'!$P$53:$P$61,'308'!$P$63:$P$68,'308'!$P$70,'308'!$P$72,'308'!$P$74,'308'!$P$76,'308'!$P$78,'308'!$P$80,'308'!$P$82,'308'!$P$84,'308'!$P$86,'308'!$P$88:$P$89,'308'!$P$91:$P$92,'308'!$P$94,'308'!$P$96</definedName>
    <definedName name="OSRRefP22x_0" localSheetId="67">'309'!$P$24:$P$31,'309'!$P$33:$P$36,'309'!$P$38,'309'!$P$40,'309'!$P$42,'309'!$P$44,'309'!$P$46,'309'!$P$48,'309'!$P$50:$P$51,'309'!$P$53:$P$54,'309'!$P$56</definedName>
    <definedName name="OSRRefP22x_0" localSheetId="66">'310'!$P$30:$P$37,'310'!$P$39:$P$43,'310'!$P$45,'310'!$P$47,'310'!$P$49,'310'!$P$51:$P$52,'310'!$P$54,'310'!$P$56,'310'!$P$58,'310'!$P$60,'310'!$P$62,'310'!$P$64,'310'!$P$66,'310'!$P$68,'310'!$P$70:$P$73,'310'!$P$75,'310'!$P$77:$P$80,'310'!$P$82,'310'!$P$84</definedName>
    <definedName name="OSRRefP22x_0" localSheetId="74">'310 &amp; 491'!$P$37:$P$45,'310 &amp; 491'!$P$47:$P$53,'310 &amp; 491'!$P$55,'310 &amp; 491'!$P$57,'310 &amp; 491'!$P$59,'310 &amp; 491'!$P$61:$P$63,'310 &amp; 491'!$P$65,'310 &amp; 491'!$P$67,'310 &amp; 491'!$P$69,'310 &amp; 491'!$P$71,'310 &amp; 491'!$P$73,'310 &amp; 491'!$P$75,'310 &amp; 491'!$P$77,'310 &amp; 491'!$P$79,'310 &amp; 491'!$P$81:$P$82,'310 &amp; 491'!$P$84:$P$85,'310 &amp; 491'!$P$87:$P$91,'310 &amp; 491'!$P$93,'310 &amp; 491'!$P$95:$P$102,'310 &amp; 491'!$P$104,'310 &amp; 491'!$P$106,'310 &amp; 491'!$P$108:$P$110,'310 &amp; 491'!$P$112</definedName>
    <definedName name="OSRRefP22x_0" localSheetId="56">'311'!$P$52:$P$60,'311'!$P$62:$P$67,'311'!$P$69,'311'!$P$71,'311'!$P$73,'311'!$P$75,'311'!$P$77,'311'!$P$79,'311'!$P$81,'311'!$P$83,'311'!$P$85,'311'!$P$87:$P$88,'311'!$P$90:$P$91,'311'!$P$93,'311'!$P$95</definedName>
    <definedName name="OSRRefP22x_0" localSheetId="68">'313'!$P$27:$P$34,'313'!$P$36:$P$38,'313'!$P$40,'313'!$P$42,'313'!$P$44,'313'!$P$46,'313'!$P$48,'313'!$P$50,'313'!$P$52,'313'!$P$54,'313'!$P$56:$P$58,'313'!$P$60</definedName>
    <definedName name="OSRRefP22x_0" localSheetId="54">'314'!$P$46:$P$52,'314'!$P$54:$P$55,'314'!$P$57,'314'!$P$59</definedName>
    <definedName name="OSRRefP22x_0" localSheetId="59">'315'!$P$68:$P$75,'315'!$P$77:$P$80,'315'!$P$82,'315'!$P$84,'315'!$P$86,'315'!$P$88,'315'!$P$90,'315'!$P$92:$P$93,'315'!$P$95:$P$97,'315'!$P$99,'315'!$P$101</definedName>
    <definedName name="OSRRefP22x_0" localSheetId="62">'316'!$P$30:$P$37,'316'!$P$39:$P$41,'316'!$P$43,'316'!$P$45,'316'!$P$47,'316'!$P$49:$P$50,'316'!$P$52,'316'!$P$54,'316'!$P$56:$P$60,'316'!$P$62</definedName>
    <definedName name="OSRRefP22x_0" localSheetId="64">'317'!$P$50:$P$58,'317'!$P$60:$P$64,'317'!$P$66,'317'!$P$68,'317'!$P$70,'317'!$P$72:$P$73,'317'!$P$75,'317'!$P$77,'317'!$P$79:$P$81,'317'!$P$83</definedName>
    <definedName name="OSRRefP22x_0" localSheetId="65">'320'!$P$27:$P$33,'320'!$P$35:$P$36,'320'!$P$38,'320'!$P$40:$P$41,'320'!$P$43,'320'!$P$45</definedName>
    <definedName name="OSRRefP22x_0" localSheetId="69">'321'!$P$24:$P$28,'321'!$P$30:$P$33,'321'!$P$35,'321'!$P$37,'321'!$P$39,'321'!$P$41,'321'!$P$43,'321'!$P$45:$P$46,'321'!$P$48:$P$50,'321'!$P$52,'321'!$P$54</definedName>
    <definedName name="OSRRefP22x_0" localSheetId="70">'322'!$P$24:$P$31,'322'!$P$33:$P$35,'322'!$P$37,'322'!$P$39,'322'!$P$41,'322'!$P$43,'322'!$P$45,'322'!$P$47,'322'!$P$49:$P$51,'322'!$P$53:$P$55,'322'!$P$57,'322'!$P$59</definedName>
    <definedName name="OSRRefP22x_0" localSheetId="72">'325'!$P$24:$P$31,'325'!$P$33:$P$36,'325'!$P$38,'325'!$P$40,'325'!$P$42:$P$43,'325'!$P$45,'325'!$P$47,'325'!$P$49,'325'!$P$51,'325'!$P$53:$P$55,'325'!$P$57,'325'!$P$59,'325'!$P$61,'325'!$P$63</definedName>
    <definedName name="OSRRefP22x_0" localSheetId="60">'326'!$P$50:$P$57,'326'!$P$59:$P$62,'326'!$P$64,'326'!$P$66,'326'!$P$68,'326'!$P$70,'326'!$P$72,'326'!$P$74,'326'!$P$76,'326'!$P$78,'326'!$P$80:$P$82,'326'!$P$84,'326'!$P$86:$P$87,'326'!$P$89,'326'!$P$91,'326'!$P$93</definedName>
    <definedName name="OSRRefP22x_0" localSheetId="73">'327'!$P$22</definedName>
    <definedName name="OSRRefP22x_0" localSheetId="52">'330'!$P$60:$P$67,'330'!$P$69:$P$71,'330'!$P$73,'330'!$P$75,'330'!$P$77,'330'!$P$79,'330'!$P$81:$P$82,'330'!$P$84:$P$85,'330'!$P$87</definedName>
    <definedName name="OSRRefP22x_0" localSheetId="58">'331'!$P$72:$P$79,'331'!$P$81:$P$84,'331'!$P$86,'331'!$P$88,'331'!$P$90,'331'!$P$92,'331'!$P$94,'331'!$P$96,'331'!$P$98,'331'!$P$100,'331'!$P$102,'331'!$P$104,'331'!$P$106:$P$107,'331'!$P$109:$P$111,'331'!$P$113,'331'!$P$115:$P$118,'331'!$P$120,'331'!$P$122,'331'!$P$124,'331'!$P$126</definedName>
    <definedName name="OSRRefP22x_0" localSheetId="61">'332'!$P$37:$P$44,'332'!$P$46:$P$48,'332'!$P$50,'332'!$P$52,'332'!$P$54,'332'!$P$56:$P$57,'332'!$P$59,'332'!$P$61,'332'!$P$63:$P$67,'332'!$P$69</definedName>
    <definedName name="OSRRefP22x_0" localSheetId="76">'405'!$P$24:$P$31,'405'!$P$33:$P$34,'405'!$P$36,'405'!$P$38,'405'!$P$40,'405'!$P$42:$P$43,'405'!$P$45,'405'!$P$47,'405'!$P$49,'405'!$P$51:$P$52,'405'!$P$54,'405'!$P$56:$P$58,'405'!$P$60:$P$64,'405'!$P$66,'405'!$P$68,'405'!$P$70</definedName>
    <definedName name="OSRRefP22x_0" localSheetId="77">'406'!$P$22:$P$29,'406'!$P$31:$P$33,'406'!$P$35,'406'!$P$37,'406'!$P$39,'406'!$P$41,'406'!$P$43,'406'!$P$45:$P$46,'406'!$P$48,'406'!$P$50</definedName>
    <definedName name="OSRRefP22x_0" localSheetId="78">'411'!$P$20:$P$28,'411'!$P$30:$P$35,'411'!$P$37,'411'!$P$39,'411'!$P$41:$P$43,'411'!$P$45,'411'!$P$47,'411'!$P$49,'411'!$P$51:$P$52,'411'!$P$54:$P$58,'411'!$P$60:$P$63,'411'!$P$65,'411'!$P$67,'411'!$P$69:$P$71,'411'!$P$73</definedName>
    <definedName name="OSRRefP22x_0" localSheetId="79">'412'!$P$23:$P$30,'412'!$P$32:$P$37,'412'!$P$39,'412'!$P$41,'412'!$P$43,'412'!$P$45,'412'!$P$47,'412'!$P$49,'412'!$P$51,'412'!$P$53:$P$54,'412'!$P$56:$P$59,'412'!$P$61</definedName>
    <definedName name="OSRRefP22x_0" localSheetId="81">'413'!$P$24:$P$31,'413'!$P$33:$P$35,'413'!$P$37,'413'!$P$39,'413'!$P$41,'413'!$P$43,'413'!$P$45,'413'!$P$47,'413'!$P$49:$P$50,'413'!$P$52:$P$53,'413'!$P$55</definedName>
    <definedName name="OSRRefP22x_0" localSheetId="82">'414'!$P$24:$P$30,'414'!$P$32:$P$34,'414'!$P$36,'414'!$P$38,'414'!$P$40,'414'!$P$42,'414'!$P$44,'414'!$P$46,'414'!$P$48,'414'!$P$50,'414'!$P$52,'414'!$P$54:$P$57,'414'!$P$59</definedName>
    <definedName name="OSRRefP22x_0" localSheetId="83">'415'!$P$24:$P$31,'415'!$P$33:$P$36,'415'!$P$38,'415'!$P$40,'415'!$P$42,'415'!$P$44:$P$45,'415'!$P$47,'415'!$P$49,'415'!$P$51,'415'!$P$53,'415'!$P$55,'415'!$P$57:$P$58,'415'!$P$60:$P$64,'415'!$P$66,'415'!$P$68:$P$72,'415'!$P$74,'415'!$P$76</definedName>
    <definedName name="OSRRefP22x_0" localSheetId="84">'418'!$P$24:$P$31,'418'!$P$33:$P$37,'418'!$P$39,'418'!$P$41,'418'!$P$43,'418'!$P$45:$P$46,'418'!$P$48,'418'!$P$50,'418'!$P$52,'418'!$P$54:$P$55,'418'!$P$57,'418'!$P$59:$P$60,'418'!$P$62,'418'!$P$64</definedName>
    <definedName name="OSRRefP22x_0" localSheetId="85">'423'!$P$20:$P$27,'423'!$P$29,'423'!$P$31,'423'!$P$33,'423'!$P$35,'423'!$P$37</definedName>
    <definedName name="OSRRefP22x_0" localSheetId="86">'424'!$P$23,'424'!$P$25,'424'!$P$27,'424'!$P$29,'424'!$P$31,'424'!$P$33,'424'!$P$35,'424'!$P$37</definedName>
    <definedName name="OSRRefP22x_0" localSheetId="87">'425'!$P$24:$P$31,'425'!$P$33:$P$37,'425'!$P$39,'425'!$P$41,'425'!$P$43,'425'!$P$45,'425'!$P$47,'425'!$P$49:$P$50,'425'!$P$52:$P$53,'425'!$P$55,'425'!$P$57</definedName>
    <definedName name="OSRRefP22x_0" localSheetId="90">'430'!$P$20:$P$27,'430'!$P$29,'430'!$P$31,'430'!$P$33:$P$34,'430'!$P$36,'430'!$P$38</definedName>
    <definedName name="OSRRefP22x_0" localSheetId="91">'433'!$P$25:$P$33,'433'!$P$35:$P$40,'433'!$P$42,'433'!$P$44,'433'!$P$46,'433'!$P$48,'433'!$P$50,'433'!$P$52,'433'!$P$54:$P$56,'433'!$P$58:$P$63,'433'!$P$65,'433'!$P$67,'433'!$P$69</definedName>
    <definedName name="OSRRefP22x_0" localSheetId="92">'435'!$P$20:$P$21,'435'!$P$23,'435'!$P$25,'435'!$P$27</definedName>
    <definedName name="OSRRefP22x_0" localSheetId="93">'444'!$P$25:$P$33,'444'!$P$35:$P$40,'444'!$P$42,'444'!$P$44,'444'!$P$46,'444'!$P$48,'444'!$P$50,'444'!$P$52,'444'!$P$54,'444'!$P$56:$P$58,'444'!$P$60:$P$64,'444'!$P$66,'444'!$P$68,'444'!$P$70</definedName>
    <definedName name="OSRRefP22x_0" localSheetId="94">'450'!$P$24:$P$32,'450'!$P$34:$P$39,'450'!$P$41,'450'!$P$43,'450'!$P$45,'450'!$P$47,'450'!$P$49,'450'!$P$51,'450'!$P$53:$P$55,'450'!$P$57:$P$60,'450'!$P$62,'450'!$P$64,'450'!$P$66</definedName>
    <definedName name="OSRRefP22x_0" localSheetId="88">'455'!$P$20:$P$26,'455'!$P$28:$P$29</definedName>
    <definedName name="OSRRefP22x_0" localSheetId="75">'491'!$P$31:$P$39,'491'!$P$41:$P$47,'491'!$P$49,'491'!$P$51,'491'!$P$53,'491'!$P$55:$P$57,'491'!$P$59,'491'!$P$61,'491'!$P$63,'491'!$P$65,'491'!$P$67,'491'!$P$69,'491'!$P$71:$P$72,'491'!$P$74:$P$75,'491'!$P$77:$P$81,'491'!$P$83,'491'!$P$85:$P$92,'491'!$P$94,'491'!$P$96,'491'!$P$98:$P$100,'491'!$P$102</definedName>
    <definedName name="OSRRefP22x_0" localSheetId="89">'492'!$P$25:$P$33,'492'!$P$35:$P$41,'492'!$P$43,'492'!$P$45,'492'!$P$47,'492'!$P$49,'492'!$P$51,'492'!$P$53,'492'!$P$55,'492'!$P$57,'492'!$P$59,'492'!$P$61:$P$63,'492'!$P$65:$P$71,'492'!$P$73,'492'!$P$75,'492'!$P$77</definedName>
    <definedName name="OSRRefP22x_0" localSheetId="96">'501'!$P$21:$P$29,'501'!$P$31:$P$35,'501'!$P$37,'501'!$P$39,'501'!$P$41,'501'!$P$43,'501'!$P$45</definedName>
    <definedName name="OSRRefP22x_0" localSheetId="39">'Div 2'!$P$20:$P$29,'Div 2'!$P$31:$P$37,'Div 2'!$P$39,'Div 2'!$P$41,'Div 2'!$P$43,'Div 2'!$P$45,'Div 2'!$P$47,'Div 2'!$P$49,'Div 2'!$P$51,'Div 2'!$P$53,'Div 2'!$P$55,'Div 2'!$P$57,'Div 2'!$P$59:$P$61,'Div 2'!$P$63:$P$65,'Div 2'!$P$67:$P$68,'Div 2'!$P$70,'Div 2'!$P$72:$P$76,'Div 2'!$P$78:$P$79,'Div 2'!$P$81,'Div 2'!$P$83:$P$84</definedName>
    <definedName name="OSRRefP22x_0" localSheetId="47">'Div 3'!$P$135:$P$144,'Div 3'!$P$146:$P$152,'Div 3'!$P$154,'Div 3'!$P$156,'Div 3'!$P$158,'Div 3'!$P$160:$P$161,'Div 3'!$P$163:$P$164,'Div 3'!$P$166,'Div 3'!$P$168,'Div 3'!$P$170,'Div 3'!$P$172:$P$173,'Div 3'!$P$175,'Div 3'!$P$177,'Div 3'!$P$179,'Div 3'!$P$181,'Div 3'!$P$183,'Div 3'!$P$185,'Div 3'!$P$187:$P$189,'Div 3'!$P$191:$P$193,'Div 3'!$P$195:$P$199,'Div 3'!$P$201:$P$202,'Div 3'!$P$204:$P$210,'Div 3'!$P$212:$P$213,'Div 3'!$P$215,'Div 3'!$P$217:$P$219,'Div 3'!$P$221</definedName>
    <definedName name="OSRRefP22x_0" localSheetId="95">'Div 5'!$P$21:$P$29,'Div 5'!$P$31:$P$35,'Div 5'!$P$37,'Div 5'!$P$39,'Div 5'!$P$41,'Div 5'!$P$43,'Div 5'!$P$45</definedName>
    <definedName name="OSRRefP22x_0" localSheetId="63">'Div 6'!$P$50:$P$58,'Div 6'!$P$60:$P$64,'Div 6'!$P$66,'Div 6'!$P$68,'Div 6'!$P$70,'Div 6'!$P$72:$P$73,'Div 6'!$P$75,'Div 6'!$P$77,'Div 6'!$P$79:$P$81,'Div 6'!$P$83</definedName>
    <definedName name="OSRRefP22x_0" localSheetId="2">Summary!$P$166:$P$175,Summary!$P$177:$P$183,Summary!$P$185,Summary!$P$187,Summary!$P$189,Summary!$P$191:$P$193,Summary!$P$195:$P$196,Summary!$P$198,Summary!$P$200,Summary!$P$202,Summary!$P$204:$P$205,Summary!$P$207,Summary!$P$209,Summary!$P$211,Summary!$P$213,Summary!$P$215,Summary!$P$217,Summary!$P$219,Summary!$P$221:$P$223,Summary!$P$225:$P$227,Summary!$P$229:$P$233,Summary!$P$235:$P$236,Summary!$P$238:$P$246,Summary!$P$248:$P$249,Summary!$P$251,Summary!$P$253:$P$255,Summary!$P$257</definedName>
    <definedName name="OSRRefP25x_0" localSheetId="48">'300'!$P$216:$P$221</definedName>
    <definedName name="OSRRefP25x_0" localSheetId="49">'300 &amp; 317'!$P$240:$P$247</definedName>
    <definedName name="OSRRefP25x_0" localSheetId="50">'301'!$P$89:$P$90</definedName>
    <definedName name="OSRRefP25x_0" localSheetId="55">'308'!$P$99:$P$100</definedName>
    <definedName name="OSRRefP25x_0" localSheetId="74">'310 &amp; 491'!$P$115:$P$117</definedName>
    <definedName name="OSRRefP25x_0" localSheetId="56">'311'!$P$98:$P$99</definedName>
    <definedName name="OSRRefP25x_0" localSheetId="59">'315'!$P$104:$P$105</definedName>
    <definedName name="OSRRefP25x_0" localSheetId="62">'316'!$P$65</definedName>
    <definedName name="OSRRefP25x_0" localSheetId="64">'317'!$P$86:$P$88</definedName>
    <definedName name="OSRRefP25x_0" localSheetId="65">'320'!$P$48:$P$49</definedName>
    <definedName name="OSRRefP25x_0" localSheetId="58">'331'!$P$129:$P$130</definedName>
    <definedName name="OSRRefP25x_0" localSheetId="61">'332'!$P$72:$P$74</definedName>
    <definedName name="OSRRefP25x_0" localSheetId="78">'411'!$P$76:$P$77</definedName>
    <definedName name="OSRRefP25x_0" localSheetId="85">'423'!$P$40</definedName>
    <definedName name="OSRRefP25x_0" localSheetId="86">'424'!$P$40</definedName>
    <definedName name="OSRRefP25x_0" localSheetId="87">'425'!$P$60</definedName>
    <definedName name="OSRRefP25x_0" localSheetId="88">'455'!$P$32:$P$33</definedName>
    <definedName name="OSRRefP25x_0" localSheetId="75">'491'!$P$105:$P$107</definedName>
    <definedName name="OSRRefP25x_0" localSheetId="96">'501'!$P$48</definedName>
    <definedName name="OSRRefP25x_0" localSheetId="47">'Div 3'!$P$224:$P$229</definedName>
    <definedName name="OSRRefP25x_0" localSheetId="95">'Div 5'!$P$48</definedName>
    <definedName name="OSRRefP25x_0" localSheetId="63">'Div 6'!$P$86:$P$88</definedName>
    <definedName name="OSRRefP25x_0" localSheetId="2">Summary!$P$260:$P$269</definedName>
    <definedName name="OSRRefT13x_0" localSheetId="48">'300'!$T$13:$T$86</definedName>
    <definedName name="OSRRefT13x_0" localSheetId="49">'300 &amp; 317'!$T$13:$T$102</definedName>
    <definedName name="OSRRefT13x_0" localSheetId="53">'307'!$T$13:$T$31</definedName>
    <definedName name="OSRRefT13x_0" localSheetId="55">'308'!$T$13:$T$33</definedName>
    <definedName name="OSRRefT13x_0" localSheetId="67">'309'!$T$13:$T$14</definedName>
    <definedName name="OSRRefT13x_0" localSheetId="66">'310'!$T$13:$T$20</definedName>
    <definedName name="OSRRefT13x_0" localSheetId="74">'310 &amp; 491'!$T$13:$T$27</definedName>
    <definedName name="OSRRefT13x_0" localSheetId="56">'311'!$T$13:$T$32</definedName>
    <definedName name="OSRRefT13x_0" localSheetId="68">'313'!$T$13:$T$17</definedName>
    <definedName name="OSRRefT13x_0" localSheetId="54">'314'!$T$13:$T$28</definedName>
    <definedName name="OSRRefT13x_0" localSheetId="59">'315'!$T$13:$T$46</definedName>
    <definedName name="OSRRefT13x_0" localSheetId="62">'316'!$T$13:$T$22</definedName>
    <definedName name="OSRRefT13x_0" localSheetId="64">'317'!$T$13:$T$32</definedName>
    <definedName name="OSRRefT13x_0" localSheetId="65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2">'325'!$T$13:$T$14</definedName>
    <definedName name="OSRRefT13x_0" localSheetId="60">'326'!$T$13:$T$31</definedName>
    <definedName name="OSRRefT13x_0" localSheetId="73">'327'!$T$13</definedName>
    <definedName name="OSRRefT13x_0" localSheetId="52">'330'!$T$13:$T$39</definedName>
    <definedName name="OSRRefT13x_0" localSheetId="58">'331'!$T$13:$T$47</definedName>
    <definedName name="OSRRefT13x_0" localSheetId="61">'332'!$T$13:$T$25</definedName>
    <definedName name="OSRRefT13x_0" localSheetId="76">'405'!$T$13:$T$14</definedName>
    <definedName name="OSRRefT13x_0" localSheetId="79">'412'!$T$13:$T$14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6">'424'!$T$13</definedName>
    <definedName name="OSRRefT13x_0" localSheetId="87">'425'!$T$13:$T$14</definedName>
    <definedName name="OSRRefT13x_0" localSheetId="91">'433'!$T$13:$T$15</definedName>
    <definedName name="OSRRefT13x_0" localSheetId="93">'444'!$T$13:$T$15</definedName>
    <definedName name="OSRRefT13x_0" localSheetId="94">'450'!$T$13:$T$14</definedName>
    <definedName name="OSRRefT13x_0" localSheetId="75">'491'!$T$13:$T$21</definedName>
    <definedName name="OSRRefT13x_0" localSheetId="89">'492'!$T$13:$T$15</definedName>
    <definedName name="OSRRefT13x_0" localSheetId="96">'501'!$T$13</definedName>
    <definedName name="OSRRefT13x_0" localSheetId="47">'Div 3'!$T$13:$T$89</definedName>
    <definedName name="OSRRefT13x_0" localSheetId="95">'Div 5'!$T$13</definedName>
    <definedName name="OSRRefT13x_0" localSheetId="63">'Div 6'!$T$13:$T$32</definedName>
    <definedName name="OSRRefT13x_0" localSheetId="2">Summary!$T$13:$T$112</definedName>
    <definedName name="OSRRefT16x_0" localSheetId="48">'300'!$T$89:$T$124</definedName>
    <definedName name="OSRRefT16x_0" localSheetId="49">'300 &amp; 317'!$T$105:$T$148</definedName>
    <definedName name="OSRRefT16x_0" localSheetId="53">'307'!$T$34:$T$42</definedName>
    <definedName name="OSRRefT16x_0" localSheetId="55">'308'!$T$36:$T$47</definedName>
    <definedName name="OSRRefT16x_0" localSheetId="67">'309'!$T$17:$T$18</definedName>
    <definedName name="OSRRefT16x_0" localSheetId="66">'310'!$T$23:$T$24</definedName>
    <definedName name="OSRRefT16x_0" localSheetId="74">'310 &amp; 491'!$T$30:$T$31</definedName>
    <definedName name="OSRRefT16x_0" localSheetId="56">'311'!$T$35:$T$46</definedName>
    <definedName name="OSRRefT16x_0" localSheetId="68">'313'!$T$20:$T$21</definedName>
    <definedName name="OSRRefT16x_0" localSheetId="54">'314'!$T$31:$T$40</definedName>
    <definedName name="OSRRefT16x_0" localSheetId="59">'315'!$T$49:$T$62</definedName>
    <definedName name="OSRRefT16x_0" localSheetId="64">'317'!$T$35:$T$44</definedName>
    <definedName name="OSRRefT16x_0" localSheetId="65">'320'!$T$18:$T$21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2">'325'!$T$17:$T$18</definedName>
    <definedName name="OSRRefT16x_0" localSheetId="60">'326'!$T$34:$T$44</definedName>
    <definedName name="OSRRefT16x_0" localSheetId="73">'327'!$T$16</definedName>
    <definedName name="OSRRefT16x_0" localSheetId="52">'330'!$T$42:$T$54</definedName>
    <definedName name="OSRRefT16x_0" localSheetId="58">'331'!$T$50:$T$66</definedName>
    <definedName name="OSRRefT16x_0" localSheetId="61">'332'!$T$28:$T$31</definedName>
    <definedName name="OSRRefT16x_0" localSheetId="76">'405'!$T$17:$T$18</definedName>
    <definedName name="OSRRefT16x_0" localSheetId="77">'406'!$T$15:$T$16</definedName>
    <definedName name="OSRRefT16x_0" localSheetId="79">'412'!$T$17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6">'424'!$T$16:$T$17</definedName>
    <definedName name="OSRRefT16x_0" localSheetId="87">'425'!$T$17:$T$18</definedName>
    <definedName name="OSRRefT16x_0" localSheetId="91">'433'!$T$18:$T$19</definedName>
    <definedName name="OSRRefT16x_0" localSheetId="93">'444'!$T$18:$T$19</definedName>
    <definedName name="OSRRefT16x_0" localSheetId="94">'450'!$T$17:$T$18</definedName>
    <definedName name="OSRRefT16x_0" localSheetId="75">'491'!$T$24:$T$25</definedName>
    <definedName name="OSRRefT16x_0" localSheetId="89">'492'!$T$18:$T$19</definedName>
    <definedName name="OSRRefT16x_0" localSheetId="47">'Div 3'!$T$92:$T$129</definedName>
    <definedName name="OSRRefT16x_0" localSheetId="63">'Div 6'!$T$35:$T$44</definedName>
    <definedName name="OSRRefT16x_0" localSheetId="2">Summary!$T$115:$T$160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'300'!$T$130:$T$139</definedName>
    <definedName name="OSRRefT22_0x_0" localSheetId="49">'300 &amp; 317'!$T$154:$T$163</definedName>
    <definedName name="OSRRefT22_0x_0" localSheetId="50">'301'!$T$20:$T$28</definedName>
    <definedName name="OSRRefT22_0x_0" localSheetId="51">'306'!$T$20:$T$28</definedName>
    <definedName name="OSRRefT22_0x_0" localSheetId="53">'307'!$T$48:$T$55</definedName>
    <definedName name="OSRRefT22_0x_0" localSheetId="55">'308'!$T$53:$T$61</definedName>
    <definedName name="OSRRefT22_0x_0" localSheetId="67">'309'!$T$24:$T$31</definedName>
    <definedName name="OSRRefT22_0x_0" localSheetId="66">'310'!$T$30:$T$37</definedName>
    <definedName name="OSRRefT22_0x_0" localSheetId="74">'310 &amp; 491'!$T$37:$T$45</definedName>
    <definedName name="OSRRefT22_0x_0" localSheetId="56">'311'!$T$52:$T$60</definedName>
    <definedName name="OSRRefT22_0x_0" localSheetId="68">'313'!$T$27:$T$34</definedName>
    <definedName name="OSRRefT22_0x_0" localSheetId="54">'314'!$T$46:$T$52</definedName>
    <definedName name="OSRRefT22_0x_0" localSheetId="59">'315'!$T$68:$T$75</definedName>
    <definedName name="OSRRefT22_0x_0" localSheetId="62">'316'!$T$30:$T$37</definedName>
    <definedName name="OSRRefT22_0x_0" localSheetId="64">'317'!$T$50:$T$58</definedName>
    <definedName name="OSRRefT22_0x_0" localSheetId="65">'320'!$T$27:$T$33</definedName>
    <definedName name="OSRRefT22_0x_0" localSheetId="69">'321'!$T$24:$T$28</definedName>
    <definedName name="OSRRefT22_0x_0" localSheetId="70">'322'!$T$24:$T$31</definedName>
    <definedName name="OSRRefT22_0x_0" localSheetId="72">'325'!$T$24:$T$31</definedName>
    <definedName name="OSRRefT22_0x_0" localSheetId="60">'326'!$T$50:$T$57</definedName>
    <definedName name="OSRRefT22_0x_0" localSheetId="73">'327'!$T$22</definedName>
    <definedName name="OSRRefT22_0x_0" localSheetId="52">'330'!$T$60:$T$67</definedName>
    <definedName name="OSRRefT22_0x_0" localSheetId="58">'331'!$T$72:$T$79</definedName>
    <definedName name="OSRRefT22_0x_0" localSheetId="61">'332'!$T$37:$T$44</definedName>
    <definedName name="OSRRefT22_0x_0" localSheetId="76">'405'!$T$24:$T$31</definedName>
    <definedName name="OSRRefT22_0x_0" localSheetId="77">'406'!$T$22:$T$29</definedName>
    <definedName name="OSRRefT22_0x_0" localSheetId="78">'411'!$T$20:$T$28</definedName>
    <definedName name="OSRRefT22_0x_0" localSheetId="79">'412'!$T$23:$T$30</definedName>
    <definedName name="OSRRefT22_0x_0" localSheetId="81">'413'!$T$24:$T$31</definedName>
    <definedName name="OSRRefT22_0x_0" localSheetId="82">'414'!$T$24:$T$30</definedName>
    <definedName name="OSRRefT22_0x_0" localSheetId="83">'415'!$T$24:$T$31</definedName>
    <definedName name="OSRRefT22_0x_0" localSheetId="84">'418'!$T$24:$T$31</definedName>
    <definedName name="OSRRefT22_0x_0" localSheetId="85">'423'!$T$20:$T$27</definedName>
    <definedName name="OSRRefT22_0x_0" localSheetId="86">'424'!$T$23</definedName>
    <definedName name="OSRRefT22_0x_0" localSheetId="87">'425'!$T$24:$T$31</definedName>
    <definedName name="OSRRefT22_0x_0" localSheetId="90">'430'!$T$20:$T$27</definedName>
    <definedName name="OSRRefT22_0x_0" localSheetId="91">'433'!$T$25:$T$33</definedName>
    <definedName name="OSRRefT22_0x_0" localSheetId="92">'435'!$T$20:$T$21</definedName>
    <definedName name="OSRRefT22_0x_0" localSheetId="93">'444'!$T$25:$T$33</definedName>
    <definedName name="OSRRefT22_0x_0" localSheetId="94">'450'!$T$24:$T$32</definedName>
    <definedName name="OSRRefT22_0x_0" localSheetId="88">'455'!$T$20:$T$26</definedName>
    <definedName name="OSRRefT22_0x_0" localSheetId="75">'491'!$T$31:$T$39</definedName>
    <definedName name="OSRRefT22_0x_0" localSheetId="89">'492'!$T$25:$T$33</definedName>
    <definedName name="OSRRefT22_0x_0" localSheetId="96">'501'!$T$21:$T$29</definedName>
    <definedName name="OSRRefT22_0x_0" localSheetId="39">'Div 2'!$T$20:$T$29</definedName>
    <definedName name="OSRRefT22_0x_0" localSheetId="47">'Div 3'!$T$135:$T$144</definedName>
    <definedName name="OSRRefT22_0x_0" localSheetId="95">'Div 5'!$T$21:$T$29</definedName>
    <definedName name="OSRRefT22_0x_0" localSheetId="63">'Div 6'!$T$50:$T$58</definedName>
    <definedName name="OSRRefT22_0x_0" localSheetId="2">Summary!$T$166:$T$175</definedName>
    <definedName name="OSRRefT22_10x_0" localSheetId="41">'201'!$T$51</definedName>
    <definedName name="OSRRefT22_10x_0" localSheetId="42">'202'!$T$52</definedName>
    <definedName name="OSRRefT22_10x_0" localSheetId="43">'203'!$T$52:$T$55</definedName>
    <definedName name="OSRRefT22_10x_0" localSheetId="48">'300'!$T$167:$T$168</definedName>
    <definedName name="OSRRefT22_10x_0" localSheetId="49">'300 &amp; 317'!$T$191:$T$192</definedName>
    <definedName name="OSRRefT22_10x_0" localSheetId="50">'301'!$T$55</definedName>
    <definedName name="OSRRefT22_10x_0" localSheetId="55">'308'!$T$86</definedName>
    <definedName name="OSRRefT22_10x_0" localSheetId="67">'309'!$T$56</definedName>
    <definedName name="OSRRefT22_10x_0" localSheetId="66">'310'!$T$62</definedName>
    <definedName name="OSRRefT22_10x_0" localSheetId="74">'310 &amp; 491'!$T$73</definedName>
    <definedName name="OSRRefT22_10x_0" localSheetId="56">'311'!$T$85</definedName>
    <definedName name="OSRRefT22_10x_0" localSheetId="68">'313'!$T$56:$T$58</definedName>
    <definedName name="OSRRefT22_10x_0" localSheetId="59">'315'!$T$101</definedName>
    <definedName name="OSRRefT22_10x_0" localSheetId="69">'321'!$T$54</definedName>
    <definedName name="OSRRefT22_10x_0" localSheetId="70">'322'!$T$57</definedName>
    <definedName name="OSRRefT22_10x_0" localSheetId="72">'325'!$T$57</definedName>
    <definedName name="OSRRefT22_10x_0" localSheetId="60">'326'!$T$80:$T$82</definedName>
    <definedName name="OSRRefT22_10x_0" localSheetId="58">'331'!$T$102</definedName>
    <definedName name="OSRRefT22_10x_0" localSheetId="76">'405'!$T$54</definedName>
    <definedName name="OSRRefT22_10x_0" localSheetId="78">'411'!$T$60:$T$63</definedName>
    <definedName name="OSRRefT22_10x_0" localSheetId="79">'412'!$T$56:$T$59</definedName>
    <definedName name="OSRRefT22_10x_0" localSheetId="81">'413'!$T$55</definedName>
    <definedName name="OSRRefT22_10x_0" localSheetId="82">'414'!$T$52</definedName>
    <definedName name="OSRRefT22_10x_0" localSheetId="83">'415'!$T$55</definedName>
    <definedName name="OSRRefT22_10x_0" localSheetId="84">'418'!$T$57</definedName>
    <definedName name="OSRRefT22_10x_0" localSheetId="87">'425'!$T$57</definedName>
    <definedName name="OSRRefT22_10x_0" localSheetId="91">'433'!$T$65</definedName>
    <definedName name="OSRRefT22_10x_0" localSheetId="93">'444'!$T$60:$T$64</definedName>
    <definedName name="OSRRefT22_10x_0" localSheetId="94">'450'!$T$62</definedName>
    <definedName name="OSRRefT22_10x_0" localSheetId="75">'491'!$T$67</definedName>
    <definedName name="OSRRefT22_10x_0" localSheetId="89">'492'!$T$59</definedName>
    <definedName name="OSRRefT22_10x_0" localSheetId="39">'Div 2'!$T$55</definedName>
    <definedName name="OSRRefT22_10x_0" localSheetId="47">'Div 3'!$T$172:$T$173</definedName>
    <definedName name="OSRRefT22_10x_0" localSheetId="2">Summary!$T$204:$T$205</definedName>
    <definedName name="OSRRefT22_11x_0" localSheetId="41">'201'!$T$53:$T$55</definedName>
    <definedName name="OSRRefT22_11x_0" localSheetId="42">'202'!$T$54</definedName>
    <definedName name="OSRRefT22_11x_0" localSheetId="43">'203'!$T$57</definedName>
    <definedName name="OSRRefT22_11x_0" localSheetId="48">'300'!$T$170</definedName>
    <definedName name="OSRRefT22_11x_0" localSheetId="49">'300 &amp; 317'!$T$194</definedName>
    <definedName name="OSRRefT22_11x_0" localSheetId="50">'301'!$T$57</definedName>
    <definedName name="OSRRefT22_11x_0" localSheetId="55">'308'!$T$88:$T$89</definedName>
    <definedName name="OSRRefT22_11x_0" localSheetId="66">'310'!$T$64</definedName>
    <definedName name="OSRRefT22_11x_0" localSheetId="74">'310 &amp; 491'!$T$75</definedName>
    <definedName name="OSRRefT22_11x_0" localSheetId="56">'311'!$T$87:$T$88</definedName>
    <definedName name="OSRRefT22_11x_0" localSheetId="68">'313'!$T$60</definedName>
    <definedName name="OSRRefT22_11x_0" localSheetId="70">'322'!$T$59</definedName>
    <definedName name="OSRRefT22_11x_0" localSheetId="72">'325'!$T$59</definedName>
    <definedName name="OSRRefT22_11x_0" localSheetId="60">'326'!$T$84</definedName>
    <definedName name="OSRRefT22_11x_0" localSheetId="58">'331'!$T$104</definedName>
    <definedName name="OSRRefT22_11x_0" localSheetId="76">'405'!$T$56:$T$58</definedName>
    <definedName name="OSRRefT22_11x_0" localSheetId="78">'411'!$T$65</definedName>
    <definedName name="OSRRefT22_11x_0" localSheetId="79">'412'!$T$61</definedName>
    <definedName name="OSRRefT22_11x_0" localSheetId="82">'414'!$T$54:$T$57</definedName>
    <definedName name="OSRRefT22_11x_0" localSheetId="83">'415'!$T$57:$T$58</definedName>
    <definedName name="OSRRefT22_11x_0" localSheetId="84">'418'!$T$59:$T$60</definedName>
    <definedName name="OSRRefT22_11x_0" localSheetId="91">'433'!$T$67</definedName>
    <definedName name="OSRRefT22_11x_0" localSheetId="93">'444'!$T$66</definedName>
    <definedName name="OSRRefT22_11x_0" localSheetId="94">'450'!$T$64</definedName>
    <definedName name="OSRRefT22_11x_0" localSheetId="75">'491'!$T$69</definedName>
    <definedName name="OSRRefT22_11x_0" localSheetId="89">'492'!$T$61:$T$63</definedName>
    <definedName name="OSRRefT22_11x_0" localSheetId="39">'Div 2'!$T$57</definedName>
    <definedName name="OSRRefT22_11x_0" localSheetId="47">'Div 3'!$T$175</definedName>
    <definedName name="OSRRefT22_11x_0" localSheetId="2">Summary!$T$207</definedName>
    <definedName name="OSRRefT22_12x_0" localSheetId="41">'201'!$T$57</definedName>
    <definedName name="OSRRefT22_12x_0" localSheetId="43">'203'!$T$59</definedName>
    <definedName name="OSRRefT22_12x_0" localSheetId="48">'300'!$T$172</definedName>
    <definedName name="OSRRefT22_12x_0" localSheetId="49">'300 &amp; 317'!$T$196</definedName>
    <definedName name="OSRRefT22_12x_0" localSheetId="50">'301'!$T$59</definedName>
    <definedName name="OSRRefT22_12x_0" localSheetId="55">'308'!$T$91:$T$92</definedName>
    <definedName name="OSRRefT22_12x_0" localSheetId="66">'310'!$T$66</definedName>
    <definedName name="OSRRefT22_12x_0" localSheetId="74">'310 &amp; 491'!$T$77</definedName>
    <definedName name="OSRRefT22_12x_0" localSheetId="56">'311'!$T$90:$T$91</definedName>
    <definedName name="OSRRefT22_12x_0" localSheetId="72">'325'!$T$61</definedName>
    <definedName name="OSRRefT22_12x_0" localSheetId="60">'326'!$T$86:$T$87</definedName>
    <definedName name="OSRRefT22_12x_0" localSheetId="58">'331'!$T$106:$T$107</definedName>
    <definedName name="OSRRefT22_12x_0" localSheetId="76">'405'!$T$60:$T$64</definedName>
    <definedName name="OSRRefT22_12x_0" localSheetId="78">'411'!$T$67</definedName>
    <definedName name="OSRRefT22_12x_0" localSheetId="82">'414'!$T$59</definedName>
    <definedName name="OSRRefT22_12x_0" localSheetId="83">'415'!$T$60:$T$64</definedName>
    <definedName name="OSRRefT22_12x_0" localSheetId="84">'418'!$T$62</definedName>
    <definedName name="OSRRefT22_12x_0" localSheetId="91">'433'!$T$69</definedName>
    <definedName name="OSRRefT22_12x_0" localSheetId="93">'444'!$T$68</definedName>
    <definedName name="OSRRefT22_12x_0" localSheetId="94">'450'!$T$66</definedName>
    <definedName name="OSRRefT22_12x_0" localSheetId="75">'491'!$T$71:$T$72</definedName>
    <definedName name="OSRRefT22_12x_0" localSheetId="89">'492'!$T$65:$T$71</definedName>
    <definedName name="OSRRefT22_12x_0" localSheetId="39">'Div 2'!$T$59:$T$61</definedName>
    <definedName name="OSRRefT22_12x_0" localSheetId="47">'Div 3'!$T$177</definedName>
    <definedName name="OSRRefT22_12x_0" localSheetId="2">Summary!$T$209</definedName>
    <definedName name="OSRRefT22_13x_0" localSheetId="41">'201'!$T$59</definedName>
    <definedName name="OSRRefT22_13x_0" localSheetId="43">'203'!$T$61</definedName>
    <definedName name="OSRRefT22_13x_0" localSheetId="48">'300'!$T$174</definedName>
    <definedName name="OSRRefT22_13x_0" localSheetId="49">'300 &amp; 317'!$T$198</definedName>
    <definedName name="OSRRefT22_13x_0" localSheetId="50">'301'!$T$61</definedName>
    <definedName name="OSRRefT22_13x_0" localSheetId="55">'308'!$T$94</definedName>
    <definedName name="OSRRefT22_13x_0" localSheetId="66">'310'!$T$68</definedName>
    <definedName name="OSRRefT22_13x_0" localSheetId="74">'310 &amp; 491'!$T$79</definedName>
    <definedName name="OSRRefT22_13x_0" localSheetId="56">'311'!$T$93</definedName>
    <definedName name="OSRRefT22_13x_0" localSheetId="72">'325'!$T$63</definedName>
    <definedName name="OSRRefT22_13x_0" localSheetId="60">'326'!$T$89</definedName>
    <definedName name="OSRRefT22_13x_0" localSheetId="58">'331'!$T$109:$T$111</definedName>
    <definedName name="OSRRefT22_13x_0" localSheetId="76">'405'!$T$66</definedName>
    <definedName name="OSRRefT22_13x_0" localSheetId="78">'411'!$T$69:$T$71</definedName>
    <definedName name="OSRRefT22_13x_0" localSheetId="83">'415'!$T$66</definedName>
    <definedName name="OSRRefT22_13x_0" localSheetId="84">'418'!$T$64</definedName>
    <definedName name="OSRRefT22_13x_0" localSheetId="93">'444'!$T$70</definedName>
    <definedName name="OSRRefT22_13x_0" localSheetId="75">'491'!$T$74:$T$75</definedName>
    <definedName name="OSRRefT22_13x_0" localSheetId="89">'492'!$T$73</definedName>
    <definedName name="OSRRefT22_13x_0" localSheetId="39">'Div 2'!$T$63:$T$65</definedName>
    <definedName name="OSRRefT22_13x_0" localSheetId="47">'Div 3'!$T$179</definedName>
    <definedName name="OSRRefT22_13x_0" localSheetId="2">Summary!$T$211</definedName>
    <definedName name="OSRRefT22_14x_0" localSheetId="48">'300'!$T$176</definedName>
    <definedName name="OSRRefT22_14x_0" localSheetId="49">'300 &amp; 317'!$T$200</definedName>
    <definedName name="OSRRefT22_14x_0" localSheetId="50">'301'!$T$63:$T$65</definedName>
    <definedName name="OSRRefT22_14x_0" localSheetId="55">'308'!$T$96</definedName>
    <definedName name="OSRRefT22_14x_0" localSheetId="66">'310'!$T$70:$T$73</definedName>
    <definedName name="OSRRefT22_14x_0" localSheetId="74">'310 &amp; 491'!$T$81:$T$82</definedName>
    <definedName name="OSRRefT22_14x_0" localSheetId="56">'311'!$T$95</definedName>
    <definedName name="OSRRefT22_14x_0" localSheetId="60">'326'!$T$91</definedName>
    <definedName name="OSRRefT22_14x_0" localSheetId="58">'331'!$T$113</definedName>
    <definedName name="OSRRefT22_14x_0" localSheetId="76">'405'!$T$68</definedName>
    <definedName name="OSRRefT22_14x_0" localSheetId="78">'411'!$T$73</definedName>
    <definedName name="OSRRefT22_14x_0" localSheetId="83">'415'!$T$68:$T$72</definedName>
    <definedName name="OSRRefT22_14x_0" localSheetId="75">'491'!$T$77:$T$81</definedName>
    <definedName name="OSRRefT22_14x_0" localSheetId="89">'492'!$T$75</definedName>
    <definedName name="OSRRefT22_14x_0" localSheetId="39">'Div 2'!$T$67:$T$68</definedName>
    <definedName name="OSRRefT22_14x_0" localSheetId="47">'Div 3'!$T$181</definedName>
    <definedName name="OSRRefT22_14x_0" localSheetId="2">Summary!$T$213</definedName>
    <definedName name="OSRRefT22_15x_0" localSheetId="48">'300'!$T$178</definedName>
    <definedName name="OSRRefT22_15x_0" localSheetId="49">'300 &amp; 317'!$T$202</definedName>
    <definedName name="OSRRefT22_15x_0" localSheetId="50">'301'!$T$67:$T$69</definedName>
    <definedName name="OSRRefT22_15x_0" localSheetId="66">'310'!$T$75</definedName>
    <definedName name="OSRRefT22_15x_0" localSheetId="74">'310 &amp; 491'!$T$84:$T$85</definedName>
    <definedName name="OSRRefT22_15x_0" localSheetId="60">'326'!$T$93</definedName>
    <definedName name="OSRRefT22_15x_0" localSheetId="58">'331'!$T$115:$T$118</definedName>
    <definedName name="OSRRefT22_15x_0" localSheetId="76">'405'!$T$70</definedName>
    <definedName name="OSRRefT22_15x_0" localSheetId="83">'415'!$T$74</definedName>
    <definedName name="OSRRefT22_15x_0" localSheetId="75">'491'!$T$83</definedName>
    <definedName name="OSRRefT22_15x_0" localSheetId="89">'492'!$T$77</definedName>
    <definedName name="OSRRefT22_15x_0" localSheetId="39">'Div 2'!$T$70</definedName>
    <definedName name="OSRRefT22_15x_0" localSheetId="47">'Div 3'!$T$183</definedName>
    <definedName name="OSRRefT22_15x_0" localSheetId="2">Summary!$T$215</definedName>
    <definedName name="OSRRefT22_16x_0" localSheetId="48">'300'!$T$180:$T$182</definedName>
    <definedName name="OSRRefT22_16x_0" localSheetId="49">'300 &amp; 317'!$T$204:$T$206</definedName>
    <definedName name="OSRRefT22_16x_0" localSheetId="50">'301'!$T$71</definedName>
    <definedName name="OSRRefT22_16x_0" localSheetId="66">'310'!$T$77:$T$80</definedName>
    <definedName name="OSRRefT22_16x_0" localSheetId="74">'310 &amp; 491'!$T$87:$T$91</definedName>
    <definedName name="OSRRefT22_16x_0" localSheetId="58">'331'!$T$120</definedName>
    <definedName name="OSRRefT22_16x_0" localSheetId="83">'415'!$T$76</definedName>
    <definedName name="OSRRefT22_16x_0" localSheetId="75">'491'!$T$85:$T$92</definedName>
    <definedName name="OSRRefT22_16x_0" localSheetId="39">'Div 2'!$T$72:$T$76</definedName>
    <definedName name="OSRRefT22_16x_0" localSheetId="47">'Div 3'!$T$185</definedName>
    <definedName name="OSRRefT22_16x_0" localSheetId="2">Summary!$T$217</definedName>
    <definedName name="OSRRefT22_17x_0" localSheetId="48">'300'!$T$184:$T$186</definedName>
    <definedName name="OSRRefT22_17x_0" localSheetId="49">'300 &amp; 317'!$T$208:$T$210</definedName>
    <definedName name="OSRRefT22_17x_0" localSheetId="50">'301'!$T$73:$T$77</definedName>
    <definedName name="OSRRefT22_17x_0" localSheetId="66">'310'!$T$82</definedName>
    <definedName name="OSRRefT22_17x_0" localSheetId="74">'310 &amp; 491'!$T$93</definedName>
    <definedName name="OSRRefT22_17x_0" localSheetId="58">'331'!$T$122</definedName>
    <definedName name="OSRRefT22_17x_0" localSheetId="75">'491'!$T$94</definedName>
    <definedName name="OSRRefT22_17x_0" localSheetId="39">'Div 2'!$T$78:$T$79</definedName>
    <definedName name="OSRRefT22_17x_0" localSheetId="47">'Div 3'!$T$187:$T$189</definedName>
    <definedName name="OSRRefT22_17x_0" localSheetId="2">Summary!$T$219</definedName>
    <definedName name="OSRRefT22_18x_0" localSheetId="48">'300'!$T$188:$T$191</definedName>
    <definedName name="OSRRefT22_18x_0" localSheetId="49">'300 &amp; 317'!$T$212:$T$215</definedName>
    <definedName name="OSRRefT22_18x_0" localSheetId="50">'301'!$T$79</definedName>
    <definedName name="OSRRefT22_18x_0" localSheetId="66">'310'!$T$84</definedName>
    <definedName name="OSRRefT22_18x_0" localSheetId="74">'310 &amp; 491'!$T$95:$T$102</definedName>
    <definedName name="OSRRefT22_18x_0" localSheetId="58">'331'!$T$124</definedName>
    <definedName name="OSRRefT22_18x_0" localSheetId="75">'491'!$T$96</definedName>
    <definedName name="OSRRefT22_18x_0" localSheetId="39">'Div 2'!$T$81</definedName>
    <definedName name="OSRRefT22_18x_0" localSheetId="47">'Div 3'!$T$191:$T$193</definedName>
    <definedName name="OSRRefT22_18x_0" localSheetId="2">Summary!$T$221:$T$223</definedName>
    <definedName name="OSRRefT22_19x_0" localSheetId="48">'300'!$T$193:$T$194</definedName>
    <definedName name="OSRRefT22_19x_0" localSheetId="49">'300 &amp; 317'!$T$217:$T$218</definedName>
    <definedName name="OSRRefT22_19x_0" localSheetId="50">'301'!$T$81</definedName>
    <definedName name="OSRRefT22_19x_0" localSheetId="74">'310 &amp; 491'!$T$104</definedName>
    <definedName name="OSRRefT22_19x_0" localSheetId="58">'331'!$T$126</definedName>
    <definedName name="OSRRefT22_19x_0" localSheetId="75">'491'!$T$98:$T$100</definedName>
    <definedName name="OSRRefT22_19x_0" localSheetId="39">'Div 2'!$T$83:$T$84</definedName>
    <definedName name="OSRRefT22_19x_0" localSheetId="47">'Div 3'!$T$195:$T$199</definedName>
    <definedName name="OSRRefT22_19x_0" localSheetId="2">Summary!$T$225:$T$227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'203'!$T$30:$T$33</definedName>
    <definedName name="OSRRefT22_1x_0" localSheetId="44">'204'!$T$30:$T$34</definedName>
    <definedName name="OSRRefT22_1x_0" localSheetId="45">'205'!$T$29</definedName>
    <definedName name="OSRRefT22_1x_0" localSheetId="46">'206'!$T$28:$T$31</definedName>
    <definedName name="OSRRefT22_1x_0" localSheetId="48">'300'!$T$141:$T$147</definedName>
    <definedName name="OSRRefT22_1x_0" localSheetId="49">'300 &amp; 317'!$T$165:$T$171</definedName>
    <definedName name="OSRRefT22_1x_0" localSheetId="50">'301'!$T$30:$T$35</definedName>
    <definedName name="OSRRefT22_1x_0" localSheetId="51">'306'!$T$30:$T$35</definedName>
    <definedName name="OSRRefT22_1x_0" localSheetId="53">'307'!$T$57:$T$59</definedName>
    <definedName name="OSRRefT22_1x_0" localSheetId="55">'308'!$T$63:$T$68</definedName>
    <definedName name="OSRRefT22_1x_0" localSheetId="67">'309'!$T$33:$T$36</definedName>
    <definedName name="OSRRefT22_1x_0" localSheetId="66">'310'!$T$39:$T$43</definedName>
    <definedName name="OSRRefT22_1x_0" localSheetId="74">'310 &amp; 491'!$T$47:$T$53</definedName>
    <definedName name="OSRRefT22_1x_0" localSheetId="56">'311'!$T$62:$T$67</definedName>
    <definedName name="OSRRefT22_1x_0" localSheetId="68">'313'!$T$36:$T$38</definedName>
    <definedName name="OSRRefT22_1x_0" localSheetId="54">'314'!$T$54:$T$55</definedName>
    <definedName name="OSRRefT22_1x_0" localSheetId="59">'315'!$T$77:$T$80</definedName>
    <definedName name="OSRRefT22_1x_0" localSheetId="62">'316'!$T$39:$T$41</definedName>
    <definedName name="OSRRefT22_1x_0" localSheetId="64">'317'!$T$60:$T$64</definedName>
    <definedName name="OSRRefT22_1x_0" localSheetId="65">'320'!$T$35:$T$36</definedName>
    <definedName name="OSRRefT22_1x_0" localSheetId="69">'321'!$T$30:$T$33</definedName>
    <definedName name="OSRRefT22_1x_0" localSheetId="70">'322'!$T$33:$T$35</definedName>
    <definedName name="OSRRefT22_1x_0" localSheetId="72">'325'!$T$33:$T$36</definedName>
    <definedName name="OSRRefT22_1x_0" localSheetId="60">'326'!$T$59:$T$62</definedName>
    <definedName name="OSRRefT22_1x_0" localSheetId="52">'330'!$T$69:$T$71</definedName>
    <definedName name="OSRRefT22_1x_0" localSheetId="58">'331'!$T$81:$T$84</definedName>
    <definedName name="OSRRefT22_1x_0" localSheetId="61">'332'!$T$46:$T$48</definedName>
    <definedName name="OSRRefT22_1x_0" localSheetId="76">'405'!$T$33:$T$34</definedName>
    <definedName name="OSRRefT22_1x_0" localSheetId="77">'406'!$T$31:$T$33</definedName>
    <definedName name="OSRRefT22_1x_0" localSheetId="78">'411'!$T$30:$T$35</definedName>
    <definedName name="OSRRefT22_1x_0" localSheetId="79">'412'!$T$32:$T$37</definedName>
    <definedName name="OSRRefT22_1x_0" localSheetId="81">'413'!$T$33:$T$35</definedName>
    <definedName name="OSRRefT22_1x_0" localSheetId="82">'414'!$T$32:$T$34</definedName>
    <definedName name="OSRRefT22_1x_0" localSheetId="83">'415'!$T$33:$T$36</definedName>
    <definedName name="OSRRefT22_1x_0" localSheetId="84">'418'!$T$33:$T$37</definedName>
    <definedName name="OSRRefT22_1x_0" localSheetId="85">'423'!$T$29</definedName>
    <definedName name="OSRRefT22_1x_0" localSheetId="86">'424'!$T$25</definedName>
    <definedName name="OSRRefT22_1x_0" localSheetId="87">'425'!$T$33:$T$37</definedName>
    <definedName name="OSRRefT22_1x_0" localSheetId="90">'430'!$T$29</definedName>
    <definedName name="OSRRefT22_1x_0" localSheetId="91">'433'!$T$35:$T$40</definedName>
    <definedName name="OSRRefT22_1x_0" localSheetId="92">'435'!$T$23</definedName>
    <definedName name="OSRRefT22_1x_0" localSheetId="93">'444'!$T$35:$T$40</definedName>
    <definedName name="OSRRefT22_1x_0" localSheetId="94">'450'!$T$34:$T$39</definedName>
    <definedName name="OSRRefT22_1x_0" localSheetId="88">'455'!$T$28:$T$29</definedName>
    <definedName name="OSRRefT22_1x_0" localSheetId="75">'491'!$T$41:$T$47</definedName>
    <definedName name="OSRRefT22_1x_0" localSheetId="89">'492'!$T$35:$T$41</definedName>
    <definedName name="OSRRefT22_1x_0" localSheetId="96">'501'!$T$31:$T$35</definedName>
    <definedName name="OSRRefT22_1x_0" localSheetId="39">'Div 2'!$T$31:$T$37</definedName>
    <definedName name="OSRRefT22_1x_0" localSheetId="47">'Div 3'!$T$146:$T$152</definedName>
    <definedName name="OSRRefT22_1x_0" localSheetId="95">'Div 5'!$T$31:$T$35</definedName>
    <definedName name="OSRRefT22_1x_0" localSheetId="63">'Div 6'!$T$60:$T$64</definedName>
    <definedName name="OSRRefT22_1x_0" localSheetId="2">Summary!$T$177:$T$183</definedName>
    <definedName name="OSRRefT22_20x_0" localSheetId="48">'300'!$T$196:$T$202</definedName>
    <definedName name="OSRRefT22_20x_0" localSheetId="49">'300 &amp; 317'!$T$220:$T$226</definedName>
    <definedName name="OSRRefT22_20x_0" localSheetId="50">'301'!$T$83:$T$84</definedName>
    <definedName name="OSRRefT22_20x_0" localSheetId="74">'310 &amp; 491'!$T$106</definedName>
    <definedName name="OSRRefT22_20x_0" localSheetId="75">'491'!$T$102</definedName>
    <definedName name="OSRRefT22_20x_0" localSheetId="47">'Div 3'!$T$201:$T$202</definedName>
    <definedName name="OSRRefT22_20x_0" localSheetId="2">Summary!$T$229:$T$233</definedName>
    <definedName name="OSRRefT22_21x_0" localSheetId="48">'300'!$T$204:$T$205</definedName>
    <definedName name="OSRRefT22_21x_0" localSheetId="49">'300 &amp; 317'!$T$228:$T$229</definedName>
    <definedName name="OSRRefT22_21x_0" localSheetId="50">'301'!$T$86</definedName>
    <definedName name="OSRRefT22_21x_0" localSheetId="74">'310 &amp; 491'!$T$108:$T$110</definedName>
    <definedName name="OSRRefT22_21x_0" localSheetId="47">'Div 3'!$T$204:$T$210</definedName>
    <definedName name="OSRRefT22_21x_0" localSheetId="2">Summary!$T$235:$T$236</definedName>
    <definedName name="OSRRefT22_22x_0" localSheetId="48">'300'!$T$207</definedName>
    <definedName name="OSRRefT22_22x_0" localSheetId="49">'300 &amp; 317'!$T$231</definedName>
    <definedName name="OSRRefT22_22x_0" localSheetId="74">'310 &amp; 491'!$T$112</definedName>
    <definedName name="OSRRefT22_22x_0" localSheetId="47">'Div 3'!$T$212:$T$213</definedName>
    <definedName name="OSRRefT22_22x_0" localSheetId="2">Summary!$T$238:$T$246</definedName>
    <definedName name="OSRRefT22_23x_0" localSheetId="48">'300'!$T$209:$T$211</definedName>
    <definedName name="OSRRefT22_23x_0" localSheetId="49">'300 &amp; 317'!$T$233:$T$235</definedName>
    <definedName name="OSRRefT22_23x_0" localSheetId="47">'Div 3'!$T$215</definedName>
    <definedName name="OSRRefT22_23x_0" localSheetId="2">Summary!$T$248:$T$249</definedName>
    <definedName name="OSRRefT22_24x_0" localSheetId="48">'300'!$T$213</definedName>
    <definedName name="OSRRefT22_24x_0" localSheetId="49">'300 &amp; 317'!$T$237</definedName>
    <definedName name="OSRRefT22_24x_0" localSheetId="47">'Div 3'!$T$217:$T$219</definedName>
    <definedName name="OSRRefT22_24x_0" localSheetId="2">Summary!$T$251</definedName>
    <definedName name="OSRRefT22_25x_0" localSheetId="47">'Div 3'!$T$221</definedName>
    <definedName name="OSRRefT22_25x_0" localSheetId="2">Summary!$T$253:$T$255</definedName>
    <definedName name="OSRRefT22_26x_0" localSheetId="2">Summary!$T$257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'203'!$T$35</definedName>
    <definedName name="OSRRefT22_2x_0" localSheetId="44">'204'!$T$36</definedName>
    <definedName name="OSRRefT22_2x_0" localSheetId="45">'205'!$T$31</definedName>
    <definedName name="OSRRefT22_2x_0" localSheetId="46">'206'!$T$33</definedName>
    <definedName name="OSRRefT22_2x_0" localSheetId="48">'300'!$T$149</definedName>
    <definedName name="OSRRefT22_2x_0" localSheetId="49">'300 &amp; 317'!$T$173</definedName>
    <definedName name="OSRRefT22_2x_0" localSheetId="50">'301'!$T$37</definedName>
    <definedName name="OSRRefT22_2x_0" localSheetId="51">'306'!$T$37</definedName>
    <definedName name="OSRRefT22_2x_0" localSheetId="53">'307'!$T$61</definedName>
    <definedName name="OSRRefT22_2x_0" localSheetId="55">'308'!$T$70</definedName>
    <definedName name="OSRRefT22_2x_0" localSheetId="67">'309'!$T$38</definedName>
    <definedName name="OSRRefT22_2x_0" localSheetId="66">'310'!$T$45</definedName>
    <definedName name="OSRRefT22_2x_0" localSheetId="74">'310 &amp; 491'!$T$55</definedName>
    <definedName name="OSRRefT22_2x_0" localSheetId="56">'311'!$T$69</definedName>
    <definedName name="OSRRefT22_2x_0" localSheetId="68">'313'!$T$40</definedName>
    <definedName name="OSRRefT22_2x_0" localSheetId="54">'314'!$T$57</definedName>
    <definedName name="OSRRefT22_2x_0" localSheetId="59">'315'!$T$82</definedName>
    <definedName name="OSRRefT22_2x_0" localSheetId="62">'316'!$T$43</definedName>
    <definedName name="OSRRefT22_2x_0" localSheetId="64">'317'!$T$66</definedName>
    <definedName name="OSRRefT22_2x_0" localSheetId="65">'320'!$T$38</definedName>
    <definedName name="OSRRefT22_2x_0" localSheetId="69">'321'!$T$35</definedName>
    <definedName name="OSRRefT22_2x_0" localSheetId="70">'322'!$T$37</definedName>
    <definedName name="OSRRefT22_2x_0" localSheetId="72">'325'!$T$38</definedName>
    <definedName name="OSRRefT22_2x_0" localSheetId="60">'326'!$T$64</definedName>
    <definedName name="OSRRefT22_2x_0" localSheetId="52">'330'!$T$73</definedName>
    <definedName name="OSRRefT22_2x_0" localSheetId="58">'331'!$T$86</definedName>
    <definedName name="OSRRefT22_2x_0" localSheetId="61">'332'!$T$50</definedName>
    <definedName name="OSRRefT22_2x_0" localSheetId="76">'405'!$T$36</definedName>
    <definedName name="OSRRefT22_2x_0" localSheetId="77">'406'!$T$35</definedName>
    <definedName name="OSRRefT22_2x_0" localSheetId="78">'411'!$T$37</definedName>
    <definedName name="OSRRefT22_2x_0" localSheetId="79">'412'!$T$39</definedName>
    <definedName name="OSRRefT22_2x_0" localSheetId="81">'413'!$T$37</definedName>
    <definedName name="OSRRefT22_2x_0" localSheetId="82">'414'!$T$36</definedName>
    <definedName name="OSRRefT22_2x_0" localSheetId="83">'415'!$T$38</definedName>
    <definedName name="OSRRefT22_2x_0" localSheetId="84">'418'!$T$39</definedName>
    <definedName name="OSRRefT22_2x_0" localSheetId="85">'423'!$T$31</definedName>
    <definedName name="OSRRefT22_2x_0" localSheetId="86">'424'!$T$27</definedName>
    <definedName name="OSRRefT22_2x_0" localSheetId="87">'425'!$T$39</definedName>
    <definedName name="OSRRefT22_2x_0" localSheetId="90">'430'!$T$31</definedName>
    <definedName name="OSRRefT22_2x_0" localSheetId="91">'433'!$T$42</definedName>
    <definedName name="OSRRefT22_2x_0" localSheetId="92">'435'!$T$25</definedName>
    <definedName name="OSRRefT22_2x_0" localSheetId="93">'444'!$T$42</definedName>
    <definedName name="OSRRefT22_2x_0" localSheetId="94">'450'!$T$41</definedName>
    <definedName name="OSRRefT22_2x_0" localSheetId="75">'491'!$T$49</definedName>
    <definedName name="OSRRefT22_2x_0" localSheetId="89">'492'!$T$43</definedName>
    <definedName name="OSRRefT22_2x_0" localSheetId="96">'501'!$T$37</definedName>
    <definedName name="OSRRefT22_2x_0" localSheetId="39">'Div 2'!$T$39</definedName>
    <definedName name="OSRRefT22_2x_0" localSheetId="47">'Div 3'!$T$154</definedName>
    <definedName name="OSRRefT22_2x_0" localSheetId="95">'Div 5'!$T$37</definedName>
    <definedName name="OSRRefT22_2x_0" localSheetId="63">'Div 6'!$T$66</definedName>
    <definedName name="OSRRefT22_2x_0" localSheetId="2">Summary!$T$185</definedName>
    <definedName name="OSRRefT22_3x_0" localSheetId="41">'201'!$T$35</definedName>
    <definedName name="OSRRefT22_3x_0" localSheetId="42">'202'!$T$36</definedName>
    <definedName name="OSRRefT22_3x_0" localSheetId="43">'203'!$T$37</definedName>
    <definedName name="OSRRefT22_3x_0" localSheetId="44">'204'!$T$38</definedName>
    <definedName name="OSRRefT22_3x_0" localSheetId="45">'205'!$T$33:$T$34</definedName>
    <definedName name="OSRRefT22_3x_0" localSheetId="46">'206'!$T$35</definedName>
    <definedName name="OSRRefT22_3x_0" localSheetId="48">'300'!$T$151</definedName>
    <definedName name="OSRRefT22_3x_0" localSheetId="49">'300 &amp; 317'!$T$175</definedName>
    <definedName name="OSRRefT22_3x_0" localSheetId="50">'301'!$T$39</definedName>
    <definedName name="OSRRefT22_3x_0" localSheetId="51">'306'!$T$39</definedName>
    <definedName name="OSRRefT22_3x_0" localSheetId="53">'307'!$T$63</definedName>
    <definedName name="OSRRefT22_3x_0" localSheetId="55">'308'!$T$72</definedName>
    <definedName name="OSRRefT22_3x_0" localSheetId="67">'309'!$T$40</definedName>
    <definedName name="OSRRefT22_3x_0" localSheetId="66">'310'!$T$47</definedName>
    <definedName name="OSRRefT22_3x_0" localSheetId="74">'310 &amp; 491'!$T$57</definedName>
    <definedName name="OSRRefT22_3x_0" localSheetId="56">'311'!$T$71</definedName>
    <definedName name="OSRRefT22_3x_0" localSheetId="68">'313'!$T$42</definedName>
    <definedName name="OSRRefT22_3x_0" localSheetId="54">'314'!$T$59</definedName>
    <definedName name="OSRRefT22_3x_0" localSheetId="59">'315'!$T$84</definedName>
    <definedName name="OSRRefT22_3x_0" localSheetId="62">'316'!$T$45</definedName>
    <definedName name="OSRRefT22_3x_0" localSheetId="64">'317'!$T$68</definedName>
    <definedName name="OSRRefT22_3x_0" localSheetId="65">'320'!$T$40:$T$41</definedName>
    <definedName name="OSRRefT22_3x_0" localSheetId="69">'321'!$T$37</definedName>
    <definedName name="OSRRefT22_3x_0" localSheetId="70">'322'!$T$39</definedName>
    <definedName name="OSRRefT22_3x_0" localSheetId="72">'325'!$T$40</definedName>
    <definedName name="OSRRefT22_3x_0" localSheetId="60">'326'!$T$66</definedName>
    <definedName name="OSRRefT22_3x_0" localSheetId="52">'330'!$T$75</definedName>
    <definedName name="OSRRefT22_3x_0" localSheetId="58">'331'!$T$88</definedName>
    <definedName name="OSRRefT22_3x_0" localSheetId="61">'332'!$T$52</definedName>
    <definedName name="OSRRefT22_3x_0" localSheetId="76">'405'!$T$38</definedName>
    <definedName name="OSRRefT22_3x_0" localSheetId="77">'406'!$T$37</definedName>
    <definedName name="OSRRefT22_3x_0" localSheetId="78">'411'!$T$39</definedName>
    <definedName name="OSRRefT22_3x_0" localSheetId="79">'412'!$T$41</definedName>
    <definedName name="OSRRefT22_3x_0" localSheetId="81">'413'!$T$39</definedName>
    <definedName name="OSRRefT22_3x_0" localSheetId="82">'414'!$T$38</definedName>
    <definedName name="OSRRefT22_3x_0" localSheetId="83">'415'!$T$40</definedName>
    <definedName name="OSRRefT22_3x_0" localSheetId="84">'418'!$T$41</definedName>
    <definedName name="OSRRefT22_3x_0" localSheetId="85">'423'!$T$33</definedName>
    <definedName name="OSRRefT22_3x_0" localSheetId="86">'424'!$T$29</definedName>
    <definedName name="OSRRefT22_3x_0" localSheetId="87">'425'!$T$41</definedName>
    <definedName name="OSRRefT22_3x_0" localSheetId="90">'430'!$T$33:$T$34</definedName>
    <definedName name="OSRRefT22_3x_0" localSheetId="91">'433'!$T$44</definedName>
    <definedName name="OSRRefT22_3x_0" localSheetId="92">'435'!$T$27</definedName>
    <definedName name="OSRRefT22_3x_0" localSheetId="93">'444'!$T$44</definedName>
    <definedName name="OSRRefT22_3x_0" localSheetId="94">'450'!$T$43</definedName>
    <definedName name="OSRRefT22_3x_0" localSheetId="75">'491'!$T$51</definedName>
    <definedName name="OSRRefT22_3x_0" localSheetId="89">'492'!$T$45</definedName>
    <definedName name="OSRRefT22_3x_0" localSheetId="96">'501'!$T$39</definedName>
    <definedName name="OSRRefT22_3x_0" localSheetId="39">'Div 2'!$T$41</definedName>
    <definedName name="OSRRefT22_3x_0" localSheetId="47">'Div 3'!$T$156</definedName>
    <definedName name="OSRRefT22_3x_0" localSheetId="95">'Div 5'!$T$39</definedName>
    <definedName name="OSRRefT22_3x_0" localSheetId="63">'Div 6'!$T$68</definedName>
    <definedName name="OSRRefT22_3x_0" localSheetId="2">Summary!$T$187</definedName>
    <definedName name="OSRRefT22_4x_0" localSheetId="41">'201'!$T$37</definedName>
    <definedName name="OSRRefT22_4x_0" localSheetId="42">'202'!$T$38</definedName>
    <definedName name="OSRRefT22_4x_0" localSheetId="43">'203'!$T$39</definedName>
    <definedName name="OSRRefT22_4x_0" localSheetId="44">'204'!$T$40:$T$42</definedName>
    <definedName name="OSRRefT22_4x_0" localSheetId="45">'205'!$T$36</definedName>
    <definedName name="OSRRefT22_4x_0" localSheetId="46">'206'!$T$37:$T$38</definedName>
    <definedName name="OSRRefT22_4x_0" localSheetId="48">'300'!$T$153</definedName>
    <definedName name="OSRRefT22_4x_0" localSheetId="49">'300 &amp; 317'!$T$177</definedName>
    <definedName name="OSRRefT22_4x_0" localSheetId="50">'301'!$T$41</definedName>
    <definedName name="OSRRefT22_4x_0" localSheetId="51">'306'!$T$41</definedName>
    <definedName name="OSRRefT22_4x_0" localSheetId="53">'307'!$T$65</definedName>
    <definedName name="OSRRefT22_4x_0" localSheetId="55">'308'!$T$74</definedName>
    <definedName name="OSRRefT22_4x_0" localSheetId="67">'309'!$T$42</definedName>
    <definedName name="OSRRefT22_4x_0" localSheetId="66">'310'!$T$49</definedName>
    <definedName name="OSRRefT22_4x_0" localSheetId="74">'310 &amp; 491'!$T$59</definedName>
    <definedName name="OSRRefT22_4x_0" localSheetId="56">'311'!$T$73</definedName>
    <definedName name="OSRRefT22_4x_0" localSheetId="68">'313'!$T$44</definedName>
    <definedName name="OSRRefT22_4x_0" localSheetId="59">'315'!$T$86</definedName>
    <definedName name="OSRRefT22_4x_0" localSheetId="62">'316'!$T$47</definedName>
    <definedName name="OSRRefT22_4x_0" localSheetId="64">'317'!$T$70</definedName>
    <definedName name="OSRRefT22_4x_0" localSheetId="65">'320'!$T$43</definedName>
    <definedName name="OSRRefT22_4x_0" localSheetId="69">'321'!$T$39</definedName>
    <definedName name="OSRRefT22_4x_0" localSheetId="70">'322'!$T$41</definedName>
    <definedName name="OSRRefT22_4x_0" localSheetId="72">'325'!$T$42:$T$43</definedName>
    <definedName name="OSRRefT22_4x_0" localSheetId="60">'326'!$T$68</definedName>
    <definedName name="OSRRefT22_4x_0" localSheetId="52">'330'!$T$77</definedName>
    <definedName name="OSRRefT22_4x_0" localSheetId="58">'331'!$T$90</definedName>
    <definedName name="OSRRefT22_4x_0" localSheetId="61">'332'!$T$54</definedName>
    <definedName name="OSRRefT22_4x_0" localSheetId="76">'405'!$T$40</definedName>
    <definedName name="OSRRefT22_4x_0" localSheetId="77">'406'!$T$39</definedName>
    <definedName name="OSRRefT22_4x_0" localSheetId="78">'411'!$T$41:$T$43</definedName>
    <definedName name="OSRRefT22_4x_0" localSheetId="79">'412'!$T$43</definedName>
    <definedName name="OSRRefT22_4x_0" localSheetId="81">'413'!$T$41</definedName>
    <definedName name="OSRRefT22_4x_0" localSheetId="82">'414'!$T$40</definedName>
    <definedName name="OSRRefT22_4x_0" localSheetId="83">'415'!$T$42</definedName>
    <definedName name="OSRRefT22_4x_0" localSheetId="84">'418'!$T$43</definedName>
    <definedName name="OSRRefT22_4x_0" localSheetId="85">'423'!$T$35</definedName>
    <definedName name="OSRRefT22_4x_0" localSheetId="86">'424'!$T$31</definedName>
    <definedName name="OSRRefT22_4x_0" localSheetId="87">'425'!$T$43</definedName>
    <definedName name="OSRRefT22_4x_0" localSheetId="90">'430'!$T$36</definedName>
    <definedName name="OSRRefT22_4x_0" localSheetId="91">'433'!$T$46</definedName>
    <definedName name="OSRRefT22_4x_0" localSheetId="93">'444'!$T$46</definedName>
    <definedName name="OSRRefT22_4x_0" localSheetId="94">'450'!$T$45</definedName>
    <definedName name="OSRRefT22_4x_0" localSheetId="75">'491'!$T$53</definedName>
    <definedName name="OSRRefT22_4x_0" localSheetId="89">'492'!$T$47</definedName>
    <definedName name="OSRRefT22_4x_0" localSheetId="96">'501'!$T$41</definedName>
    <definedName name="OSRRefT22_4x_0" localSheetId="39">'Div 2'!$T$43</definedName>
    <definedName name="OSRRefT22_4x_0" localSheetId="47">'Div 3'!$T$158</definedName>
    <definedName name="OSRRefT22_4x_0" localSheetId="95">'Div 5'!$T$41</definedName>
    <definedName name="OSRRefT22_4x_0" localSheetId="63">'Div 6'!$T$70</definedName>
    <definedName name="OSRRefT22_4x_0" localSheetId="2">Summary!$T$189</definedName>
    <definedName name="OSRRefT22_5x_0" localSheetId="41">'201'!$T$39</definedName>
    <definedName name="OSRRefT22_5x_0" localSheetId="42">'202'!$T$40</definedName>
    <definedName name="OSRRefT22_5x_0" localSheetId="43">'203'!$T$41</definedName>
    <definedName name="OSRRefT22_5x_0" localSheetId="44">'204'!$T$44</definedName>
    <definedName name="OSRRefT22_5x_0" localSheetId="45">'205'!$T$38</definedName>
    <definedName name="OSRRefT22_5x_0" localSheetId="46">'206'!$T$40</definedName>
    <definedName name="OSRRefT22_5x_0" localSheetId="48">'300'!$T$155:$T$156</definedName>
    <definedName name="OSRRefT22_5x_0" localSheetId="49">'300 &amp; 317'!$T$179:$T$180</definedName>
    <definedName name="OSRRefT22_5x_0" localSheetId="50">'301'!$T$43:$T$44</definedName>
    <definedName name="OSRRefT22_5x_0" localSheetId="53">'307'!$T$67</definedName>
    <definedName name="OSRRefT22_5x_0" localSheetId="55">'308'!$T$76</definedName>
    <definedName name="OSRRefT22_5x_0" localSheetId="67">'309'!$T$44</definedName>
    <definedName name="OSRRefT22_5x_0" localSheetId="66">'310'!$T$51:$T$52</definedName>
    <definedName name="OSRRefT22_5x_0" localSheetId="74">'310 &amp; 491'!$T$61:$T$63</definedName>
    <definedName name="OSRRefT22_5x_0" localSheetId="56">'311'!$T$75</definedName>
    <definedName name="OSRRefT22_5x_0" localSheetId="68">'313'!$T$46</definedName>
    <definedName name="OSRRefT22_5x_0" localSheetId="59">'315'!$T$88</definedName>
    <definedName name="OSRRefT22_5x_0" localSheetId="62">'316'!$T$49:$T$50</definedName>
    <definedName name="OSRRefT22_5x_0" localSheetId="64">'317'!$T$72:$T$73</definedName>
    <definedName name="OSRRefT22_5x_0" localSheetId="65">'320'!$T$45</definedName>
    <definedName name="OSRRefT22_5x_0" localSheetId="69">'321'!$T$41</definedName>
    <definedName name="OSRRefT22_5x_0" localSheetId="70">'322'!$T$43</definedName>
    <definedName name="OSRRefT22_5x_0" localSheetId="72">'325'!$T$45</definedName>
    <definedName name="OSRRefT22_5x_0" localSheetId="60">'326'!$T$70</definedName>
    <definedName name="OSRRefT22_5x_0" localSheetId="52">'330'!$T$79</definedName>
    <definedName name="OSRRefT22_5x_0" localSheetId="58">'331'!$T$92</definedName>
    <definedName name="OSRRefT22_5x_0" localSheetId="61">'332'!$T$56:$T$57</definedName>
    <definedName name="OSRRefT22_5x_0" localSheetId="76">'405'!$T$42:$T$43</definedName>
    <definedName name="OSRRefT22_5x_0" localSheetId="77">'406'!$T$41</definedName>
    <definedName name="OSRRefT22_5x_0" localSheetId="78">'411'!$T$45</definedName>
    <definedName name="OSRRefT22_5x_0" localSheetId="79">'412'!$T$45</definedName>
    <definedName name="OSRRefT22_5x_0" localSheetId="81">'413'!$T$43</definedName>
    <definedName name="OSRRefT22_5x_0" localSheetId="82">'414'!$T$42</definedName>
    <definedName name="OSRRefT22_5x_0" localSheetId="83">'415'!$T$44:$T$45</definedName>
    <definedName name="OSRRefT22_5x_0" localSheetId="84">'418'!$T$45:$T$46</definedName>
    <definedName name="OSRRefT22_5x_0" localSheetId="85">'423'!$T$37</definedName>
    <definedName name="OSRRefT22_5x_0" localSheetId="86">'424'!$T$33</definedName>
    <definedName name="OSRRefT22_5x_0" localSheetId="87">'425'!$T$45</definedName>
    <definedName name="OSRRefT22_5x_0" localSheetId="90">'430'!$T$38</definedName>
    <definedName name="OSRRefT22_5x_0" localSheetId="91">'433'!$T$48</definedName>
    <definedName name="OSRRefT22_5x_0" localSheetId="93">'444'!$T$48</definedName>
    <definedName name="OSRRefT22_5x_0" localSheetId="94">'450'!$T$47</definedName>
    <definedName name="OSRRefT22_5x_0" localSheetId="75">'491'!$T$55:$T$57</definedName>
    <definedName name="OSRRefT22_5x_0" localSheetId="89">'492'!$T$49</definedName>
    <definedName name="OSRRefT22_5x_0" localSheetId="96">'501'!$T$43</definedName>
    <definedName name="OSRRefT22_5x_0" localSheetId="39">'Div 2'!$T$45</definedName>
    <definedName name="OSRRefT22_5x_0" localSheetId="47">'Div 3'!$T$160:$T$161</definedName>
    <definedName name="OSRRefT22_5x_0" localSheetId="95">'Div 5'!$T$43</definedName>
    <definedName name="OSRRefT22_5x_0" localSheetId="63">'Div 6'!$T$72:$T$73</definedName>
    <definedName name="OSRRefT22_5x_0" localSheetId="2">Summary!$T$191:$T$193</definedName>
    <definedName name="OSRRefT22_6x_0" localSheetId="41">'201'!$T$41</definedName>
    <definedName name="OSRRefT22_6x_0" localSheetId="42">'202'!$T$42</definedName>
    <definedName name="OSRRefT22_6x_0" localSheetId="43">'203'!$T$43</definedName>
    <definedName name="OSRRefT22_6x_0" localSheetId="44">'204'!$T$46:$T$47</definedName>
    <definedName name="OSRRefT22_6x_0" localSheetId="45">'205'!$T$40</definedName>
    <definedName name="OSRRefT22_6x_0" localSheetId="48">'300'!$T$158:$T$159</definedName>
    <definedName name="OSRRefT22_6x_0" localSheetId="49">'300 &amp; 317'!$T$182:$T$183</definedName>
    <definedName name="OSRRefT22_6x_0" localSheetId="50">'301'!$T$46:$T$47</definedName>
    <definedName name="OSRRefT22_6x_0" localSheetId="53">'307'!$T$69:$T$70</definedName>
    <definedName name="OSRRefT22_6x_0" localSheetId="55">'308'!$T$78</definedName>
    <definedName name="OSRRefT22_6x_0" localSheetId="67">'309'!$T$46</definedName>
    <definedName name="OSRRefT22_6x_0" localSheetId="66">'310'!$T$54</definedName>
    <definedName name="OSRRefT22_6x_0" localSheetId="74">'310 &amp; 491'!$T$65</definedName>
    <definedName name="OSRRefT22_6x_0" localSheetId="56">'311'!$T$77</definedName>
    <definedName name="OSRRefT22_6x_0" localSheetId="68">'313'!$T$48</definedName>
    <definedName name="OSRRefT22_6x_0" localSheetId="59">'315'!$T$90</definedName>
    <definedName name="OSRRefT22_6x_0" localSheetId="62">'316'!$T$52</definedName>
    <definedName name="OSRRefT22_6x_0" localSheetId="64">'317'!$T$75</definedName>
    <definedName name="OSRRefT22_6x_0" localSheetId="69">'321'!$T$43</definedName>
    <definedName name="OSRRefT22_6x_0" localSheetId="70">'322'!$T$45</definedName>
    <definedName name="OSRRefT22_6x_0" localSheetId="72">'325'!$T$47</definedName>
    <definedName name="OSRRefT22_6x_0" localSheetId="60">'326'!$T$72</definedName>
    <definedName name="OSRRefT22_6x_0" localSheetId="52">'330'!$T$81:$T$82</definedName>
    <definedName name="OSRRefT22_6x_0" localSheetId="58">'331'!$T$94</definedName>
    <definedName name="OSRRefT22_6x_0" localSheetId="61">'332'!$T$59</definedName>
    <definedName name="OSRRefT22_6x_0" localSheetId="76">'405'!$T$45</definedName>
    <definedName name="OSRRefT22_6x_0" localSheetId="77">'406'!$T$43</definedName>
    <definedName name="OSRRefT22_6x_0" localSheetId="78">'411'!$T$47</definedName>
    <definedName name="OSRRefT22_6x_0" localSheetId="79">'412'!$T$47</definedName>
    <definedName name="OSRRefT22_6x_0" localSheetId="81">'413'!$T$45</definedName>
    <definedName name="OSRRefT22_6x_0" localSheetId="82">'414'!$T$44</definedName>
    <definedName name="OSRRefT22_6x_0" localSheetId="83">'415'!$T$47</definedName>
    <definedName name="OSRRefT22_6x_0" localSheetId="84">'418'!$T$48</definedName>
    <definedName name="OSRRefT22_6x_0" localSheetId="86">'424'!$T$35</definedName>
    <definedName name="OSRRefT22_6x_0" localSheetId="87">'425'!$T$47</definedName>
    <definedName name="OSRRefT22_6x_0" localSheetId="91">'433'!$T$50</definedName>
    <definedName name="OSRRefT22_6x_0" localSheetId="93">'444'!$T$50</definedName>
    <definedName name="OSRRefT22_6x_0" localSheetId="94">'450'!$T$49</definedName>
    <definedName name="OSRRefT22_6x_0" localSheetId="75">'491'!$T$59</definedName>
    <definedName name="OSRRefT22_6x_0" localSheetId="89">'492'!$T$51</definedName>
    <definedName name="OSRRefT22_6x_0" localSheetId="96">'501'!$T$45</definedName>
    <definedName name="OSRRefT22_6x_0" localSheetId="39">'Div 2'!$T$47</definedName>
    <definedName name="OSRRefT22_6x_0" localSheetId="47">'Div 3'!$T$163:$T$164</definedName>
    <definedName name="OSRRefT22_6x_0" localSheetId="95">'Div 5'!$T$45</definedName>
    <definedName name="OSRRefT22_6x_0" localSheetId="63">'Div 6'!$T$75</definedName>
    <definedName name="OSRRefT22_6x_0" localSheetId="2">Summary!$T$195:$T$196</definedName>
    <definedName name="OSRRefT22_7x_0" localSheetId="41">'201'!$T$43</definedName>
    <definedName name="OSRRefT22_7x_0" localSheetId="42">'202'!$T$44:$T$45</definedName>
    <definedName name="OSRRefT22_7x_0" localSheetId="43">'203'!$T$45</definedName>
    <definedName name="OSRRefT22_7x_0" localSheetId="44">'204'!$T$49</definedName>
    <definedName name="OSRRefT22_7x_0" localSheetId="48">'300'!$T$161</definedName>
    <definedName name="OSRRefT22_7x_0" localSheetId="49">'300 &amp; 317'!$T$185</definedName>
    <definedName name="OSRRefT22_7x_0" localSheetId="50">'301'!$T$49</definedName>
    <definedName name="OSRRefT22_7x_0" localSheetId="53">'307'!$T$72:$T$73</definedName>
    <definedName name="OSRRefT22_7x_0" localSheetId="55">'308'!$T$80</definedName>
    <definedName name="OSRRefT22_7x_0" localSheetId="67">'309'!$T$48</definedName>
    <definedName name="OSRRefT22_7x_0" localSheetId="66">'310'!$T$56</definedName>
    <definedName name="OSRRefT22_7x_0" localSheetId="74">'310 &amp; 491'!$T$67</definedName>
    <definedName name="OSRRefT22_7x_0" localSheetId="56">'311'!$T$79</definedName>
    <definedName name="OSRRefT22_7x_0" localSheetId="68">'313'!$T$50</definedName>
    <definedName name="OSRRefT22_7x_0" localSheetId="59">'315'!$T$92:$T$93</definedName>
    <definedName name="OSRRefT22_7x_0" localSheetId="62">'316'!$T$54</definedName>
    <definedName name="OSRRefT22_7x_0" localSheetId="64">'317'!$T$77</definedName>
    <definedName name="OSRRefT22_7x_0" localSheetId="69">'321'!$T$45:$T$46</definedName>
    <definedName name="OSRRefT22_7x_0" localSheetId="70">'322'!$T$47</definedName>
    <definedName name="OSRRefT22_7x_0" localSheetId="72">'325'!$T$49</definedName>
    <definedName name="OSRRefT22_7x_0" localSheetId="60">'326'!$T$74</definedName>
    <definedName name="OSRRefT22_7x_0" localSheetId="52">'330'!$T$84:$T$85</definedName>
    <definedName name="OSRRefT22_7x_0" localSheetId="58">'331'!$T$96</definedName>
    <definedName name="OSRRefT22_7x_0" localSheetId="61">'332'!$T$61</definedName>
    <definedName name="OSRRefT22_7x_0" localSheetId="76">'405'!$T$47</definedName>
    <definedName name="OSRRefT22_7x_0" localSheetId="77">'406'!$T$45:$T$46</definedName>
    <definedName name="OSRRefT22_7x_0" localSheetId="78">'411'!$T$49</definedName>
    <definedName name="OSRRefT22_7x_0" localSheetId="79">'412'!$T$49</definedName>
    <definedName name="OSRRefT22_7x_0" localSheetId="81">'413'!$T$47</definedName>
    <definedName name="OSRRefT22_7x_0" localSheetId="82">'414'!$T$46</definedName>
    <definedName name="OSRRefT22_7x_0" localSheetId="83">'415'!$T$49</definedName>
    <definedName name="OSRRefT22_7x_0" localSheetId="84">'418'!$T$50</definedName>
    <definedName name="OSRRefT22_7x_0" localSheetId="86">'424'!$T$37</definedName>
    <definedName name="OSRRefT22_7x_0" localSheetId="87">'425'!$T$49:$T$50</definedName>
    <definedName name="OSRRefT22_7x_0" localSheetId="91">'433'!$T$52</definedName>
    <definedName name="OSRRefT22_7x_0" localSheetId="93">'444'!$T$52</definedName>
    <definedName name="OSRRefT22_7x_0" localSheetId="94">'450'!$T$51</definedName>
    <definedName name="OSRRefT22_7x_0" localSheetId="75">'491'!$T$61</definedName>
    <definedName name="OSRRefT22_7x_0" localSheetId="89">'492'!$T$53</definedName>
    <definedName name="OSRRefT22_7x_0" localSheetId="39">'Div 2'!$T$49</definedName>
    <definedName name="OSRRefT22_7x_0" localSheetId="47">'Div 3'!$T$166</definedName>
    <definedName name="OSRRefT22_7x_0" localSheetId="63">'Div 6'!$T$77</definedName>
    <definedName name="OSRRefT22_7x_0" localSheetId="2">Summary!$T$198</definedName>
    <definedName name="OSRRefT22_8x_0" localSheetId="41">'201'!$T$45:$T$46</definedName>
    <definedName name="OSRRefT22_8x_0" localSheetId="42">'202'!$T$47</definedName>
    <definedName name="OSRRefT22_8x_0" localSheetId="43">'203'!$T$47</definedName>
    <definedName name="OSRRefT22_8x_0" localSheetId="48">'300'!$T$163</definedName>
    <definedName name="OSRRefT22_8x_0" localSheetId="49">'300 &amp; 317'!$T$187</definedName>
    <definedName name="OSRRefT22_8x_0" localSheetId="50">'301'!$T$51</definedName>
    <definedName name="OSRRefT22_8x_0" localSheetId="53">'307'!$T$75</definedName>
    <definedName name="OSRRefT22_8x_0" localSheetId="55">'308'!$T$82</definedName>
    <definedName name="OSRRefT22_8x_0" localSheetId="67">'309'!$T$50:$T$51</definedName>
    <definedName name="OSRRefT22_8x_0" localSheetId="66">'310'!$T$58</definedName>
    <definedName name="OSRRefT22_8x_0" localSheetId="74">'310 &amp; 491'!$T$69</definedName>
    <definedName name="OSRRefT22_8x_0" localSheetId="56">'311'!$T$81</definedName>
    <definedName name="OSRRefT22_8x_0" localSheetId="68">'313'!$T$52</definedName>
    <definedName name="OSRRefT22_8x_0" localSheetId="59">'315'!$T$95:$T$97</definedName>
    <definedName name="OSRRefT22_8x_0" localSheetId="62">'316'!$T$56:$T$60</definedName>
    <definedName name="OSRRefT22_8x_0" localSheetId="64">'317'!$T$79:$T$81</definedName>
    <definedName name="OSRRefT22_8x_0" localSheetId="69">'321'!$T$48:$T$50</definedName>
    <definedName name="OSRRefT22_8x_0" localSheetId="70">'322'!$T$49:$T$51</definedName>
    <definedName name="OSRRefT22_8x_0" localSheetId="72">'325'!$T$51</definedName>
    <definedName name="OSRRefT22_8x_0" localSheetId="60">'326'!$T$76</definedName>
    <definedName name="OSRRefT22_8x_0" localSheetId="52">'330'!$T$87</definedName>
    <definedName name="OSRRefT22_8x_0" localSheetId="58">'331'!$T$98</definedName>
    <definedName name="OSRRefT22_8x_0" localSheetId="61">'332'!$T$63:$T$67</definedName>
    <definedName name="OSRRefT22_8x_0" localSheetId="76">'405'!$T$49</definedName>
    <definedName name="OSRRefT22_8x_0" localSheetId="77">'406'!$T$48</definedName>
    <definedName name="OSRRefT22_8x_0" localSheetId="78">'411'!$T$51:$T$52</definedName>
    <definedName name="OSRRefT22_8x_0" localSheetId="79">'412'!$T$51</definedName>
    <definedName name="OSRRefT22_8x_0" localSheetId="81">'413'!$T$49:$T$50</definedName>
    <definedName name="OSRRefT22_8x_0" localSheetId="82">'414'!$T$48</definedName>
    <definedName name="OSRRefT22_8x_0" localSheetId="83">'415'!$T$51</definedName>
    <definedName name="OSRRefT22_8x_0" localSheetId="84">'418'!$T$52</definedName>
    <definedName name="OSRRefT22_8x_0" localSheetId="87">'425'!$T$52:$T$53</definedName>
    <definedName name="OSRRefT22_8x_0" localSheetId="91">'433'!$T$54:$T$56</definedName>
    <definedName name="OSRRefT22_8x_0" localSheetId="93">'444'!$T$54</definedName>
    <definedName name="OSRRefT22_8x_0" localSheetId="94">'450'!$T$53:$T$55</definedName>
    <definedName name="OSRRefT22_8x_0" localSheetId="75">'491'!$T$63</definedName>
    <definedName name="OSRRefT22_8x_0" localSheetId="89">'492'!$T$55</definedName>
    <definedName name="OSRRefT22_8x_0" localSheetId="39">'Div 2'!$T$51</definedName>
    <definedName name="OSRRefT22_8x_0" localSheetId="47">'Div 3'!$T$168</definedName>
    <definedName name="OSRRefT22_8x_0" localSheetId="63">'Div 6'!$T$79:$T$81</definedName>
    <definedName name="OSRRefT22_8x_0" localSheetId="2">Summary!$T$200</definedName>
    <definedName name="OSRRefT22_9x_0" localSheetId="41">'201'!$T$48:$T$49</definedName>
    <definedName name="OSRRefT22_9x_0" localSheetId="42">'202'!$T$49:$T$50</definedName>
    <definedName name="OSRRefT22_9x_0" localSheetId="43">'203'!$T$49:$T$50</definedName>
    <definedName name="OSRRefT22_9x_0" localSheetId="48">'300'!$T$165</definedName>
    <definedName name="OSRRefT22_9x_0" localSheetId="49">'300 &amp; 317'!$T$189</definedName>
    <definedName name="OSRRefT22_9x_0" localSheetId="50">'301'!$T$53</definedName>
    <definedName name="OSRRefT22_9x_0" localSheetId="55">'308'!$T$84</definedName>
    <definedName name="OSRRefT22_9x_0" localSheetId="67">'309'!$T$53:$T$54</definedName>
    <definedName name="OSRRefT22_9x_0" localSheetId="66">'310'!$T$60</definedName>
    <definedName name="OSRRefT22_9x_0" localSheetId="74">'310 &amp; 491'!$T$71</definedName>
    <definedName name="OSRRefT22_9x_0" localSheetId="56">'311'!$T$83</definedName>
    <definedName name="OSRRefT22_9x_0" localSheetId="68">'313'!$T$54</definedName>
    <definedName name="OSRRefT22_9x_0" localSheetId="59">'315'!$T$99</definedName>
    <definedName name="OSRRefT22_9x_0" localSheetId="62">'316'!$T$62</definedName>
    <definedName name="OSRRefT22_9x_0" localSheetId="64">'317'!$T$83</definedName>
    <definedName name="OSRRefT22_9x_0" localSheetId="69">'321'!$T$52</definedName>
    <definedName name="OSRRefT22_9x_0" localSheetId="70">'322'!$T$53:$T$55</definedName>
    <definedName name="OSRRefT22_9x_0" localSheetId="72">'325'!$T$53:$T$55</definedName>
    <definedName name="OSRRefT22_9x_0" localSheetId="60">'326'!$T$78</definedName>
    <definedName name="OSRRefT22_9x_0" localSheetId="58">'331'!$T$100</definedName>
    <definedName name="OSRRefT22_9x_0" localSheetId="61">'332'!$T$69</definedName>
    <definedName name="OSRRefT22_9x_0" localSheetId="76">'405'!$T$51:$T$52</definedName>
    <definedName name="OSRRefT22_9x_0" localSheetId="77">'406'!$T$50</definedName>
    <definedName name="OSRRefT22_9x_0" localSheetId="78">'411'!$T$54:$T$58</definedName>
    <definedName name="OSRRefT22_9x_0" localSheetId="79">'412'!$T$53:$T$54</definedName>
    <definedName name="OSRRefT22_9x_0" localSheetId="81">'413'!$T$52:$T$53</definedName>
    <definedName name="OSRRefT22_9x_0" localSheetId="82">'414'!$T$50</definedName>
    <definedName name="OSRRefT22_9x_0" localSheetId="83">'415'!$T$53</definedName>
    <definedName name="OSRRefT22_9x_0" localSheetId="84">'418'!$T$54:$T$55</definedName>
    <definedName name="OSRRefT22_9x_0" localSheetId="87">'425'!$T$55</definedName>
    <definedName name="OSRRefT22_9x_0" localSheetId="91">'433'!$T$58:$T$63</definedName>
    <definedName name="OSRRefT22_9x_0" localSheetId="93">'444'!$T$56:$T$58</definedName>
    <definedName name="OSRRefT22_9x_0" localSheetId="94">'450'!$T$57:$T$60</definedName>
    <definedName name="OSRRefT22_9x_0" localSheetId="75">'491'!$T$65</definedName>
    <definedName name="OSRRefT22_9x_0" localSheetId="89">'492'!$T$57</definedName>
    <definedName name="OSRRefT22_9x_0" localSheetId="39">'Div 2'!$T$53</definedName>
    <definedName name="OSRRefT22_9x_0" localSheetId="47">'Div 3'!$T$170</definedName>
    <definedName name="OSRRefT22_9x_0" localSheetId="63">'Div 6'!$T$83</definedName>
    <definedName name="OSRRefT22_9x_0" localSheetId="2">Summary!$T$202</definedName>
    <definedName name="OSRRefT22x_0" localSheetId="40">'200'!$T$20,'200'!$T$22,'200'!$T$24</definedName>
    <definedName name="OSRRefT22x_0" localSheetId="41">'201'!$T$20:$T$27,'201'!$T$29:$T$31,'201'!$T$33,'201'!$T$35,'201'!$T$37,'201'!$T$39,'201'!$T$41,'201'!$T$43,'201'!$T$45:$T$46,'201'!$T$48:$T$49,'201'!$T$51,'201'!$T$53:$T$55,'201'!$T$57,'201'!$T$59</definedName>
    <definedName name="OSRRefT22x_0" localSheetId="42">'202'!$T$20:$T$27,'202'!$T$29:$T$32,'202'!$T$34,'202'!$T$36,'202'!$T$38,'202'!$T$40,'202'!$T$42,'202'!$T$44:$T$45,'202'!$T$47,'202'!$T$49:$T$50,'202'!$T$52,'202'!$T$54</definedName>
    <definedName name="OSRRefT22x_0" localSheetId="43">'203'!$T$20:$T$28,'203'!$T$30:$T$33,'203'!$T$35,'203'!$T$37,'203'!$T$39,'203'!$T$41,'203'!$T$43,'203'!$T$45,'203'!$T$47,'203'!$T$49:$T$50,'203'!$T$52:$T$55,'203'!$T$57,'203'!$T$59,'203'!$T$61</definedName>
    <definedName name="OSRRefT22x_0" localSheetId="44">'204'!$T$20:$T$28,'204'!$T$30:$T$34,'204'!$T$36,'204'!$T$38,'204'!$T$40:$T$42,'204'!$T$44,'204'!$T$46:$T$47,'204'!$T$49</definedName>
    <definedName name="OSRRefT22x_0" localSheetId="45">'205'!$T$20:$T$27,'205'!$T$29,'205'!$T$31,'205'!$T$33:$T$34,'205'!$T$36,'205'!$T$38,'205'!$T$40</definedName>
    <definedName name="OSRRefT22x_0" localSheetId="46">'206'!$T$20:$T$26,'206'!$T$28:$T$31,'206'!$T$33,'206'!$T$35,'206'!$T$37:$T$38,'206'!$T$40</definedName>
    <definedName name="OSRRefT22x_0" localSheetId="48">'300'!$T$130:$T$139,'300'!$T$141:$T$147,'300'!$T$149,'300'!$T$151,'300'!$T$153,'300'!$T$155:$T$156,'300'!$T$158:$T$159,'300'!$T$161,'300'!$T$163,'300'!$T$165,'300'!$T$167:$T$168,'300'!$T$170,'300'!$T$172,'300'!$T$174,'300'!$T$176,'300'!$T$178,'300'!$T$180:$T$182,'300'!$T$184:$T$186,'300'!$T$188:$T$191,'300'!$T$193:$T$194,'300'!$T$196:$T$202,'300'!$T$204:$T$205,'300'!$T$207,'300'!$T$209:$T$211,'300'!$T$213</definedName>
    <definedName name="OSRRefT22x_0" localSheetId="49">'300 &amp; 317'!$T$154:$T$163,'300 &amp; 317'!$T$165:$T$171,'300 &amp; 317'!$T$173,'300 &amp; 317'!$T$175,'300 &amp; 317'!$T$177,'300 &amp; 317'!$T$179:$T$180,'300 &amp; 317'!$T$182:$T$183,'300 &amp; 317'!$T$185,'300 &amp; 317'!$T$187,'300 &amp; 317'!$T$189,'300 &amp; 317'!$T$191:$T$192,'300 &amp; 317'!$T$194,'300 &amp; 317'!$T$196,'300 &amp; 317'!$T$198,'300 &amp; 317'!$T$200,'300 &amp; 317'!$T$202,'300 &amp; 317'!$T$204:$T$206,'300 &amp; 317'!$T$208:$T$210,'300 &amp; 317'!$T$212:$T$215,'300 &amp; 317'!$T$217:$T$218,'300 &amp; 317'!$T$220:$T$226,'300 &amp; 317'!$T$228:$T$229,'300 &amp; 317'!$T$231,'300 &amp; 317'!$T$233:$T$235,'300 &amp; 317'!$T$237</definedName>
    <definedName name="OSRRefT22x_0" localSheetId="50">'301'!$T$20:$T$28,'301'!$T$30:$T$35,'301'!$T$37,'301'!$T$39,'301'!$T$41,'301'!$T$43:$T$44,'301'!$T$46:$T$47,'301'!$T$49,'301'!$T$51,'301'!$T$53,'301'!$T$55,'301'!$T$57,'301'!$T$59,'301'!$T$61,'301'!$T$63:$T$65,'301'!$T$67:$T$69,'301'!$T$71,'301'!$T$73:$T$77,'301'!$T$79,'301'!$T$81,'301'!$T$83:$T$84,'301'!$T$86</definedName>
    <definedName name="OSRRefT22x_0" localSheetId="51">'306'!$T$20:$T$28,'306'!$T$30:$T$35,'306'!$T$37,'306'!$T$39,'306'!$T$41</definedName>
    <definedName name="OSRRefT22x_0" localSheetId="53">'307'!$T$48:$T$55,'307'!$T$57:$T$59,'307'!$T$61,'307'!$T$63,'307'!$T$65,'307'!$T$67,'307'!$T$69:$T$70,'307'!$T$72:$T$73,'307'!$T$75</definedName>
    <definedName name="OSRRefT22x_0" localSheetId="55">'308'!$T$53:$T$61,'308'!$T$63:$T$68,'308'!$T$70,'308'!$T$72,'308'!$T$74,'308'!$T$76,'308'!$T$78,'308'!$T$80,'308'!$T$82,'308'!$T$84,'308'!$T$86,'308'!$T$88:$T$89,'308'!$T$91:$T$92,'308'!$T$94,'308'!$T$96</definedName>
    <definedName name="OSRRefT22x_0" localSheetId="67">'309'!$T$24:$T$31,'309'!$T$33:$T$36,'309'!$T$38,'309'!$T$40,'309'!$T$42,'309'!$T$44,'309'!$T$46,'309'!$T$48,'309'!$T$50:$T$51,'309'!$T$53:$T$54,'309'!$T$56</definedName>
    <definedName name="OSRRefT22x_0" localSheetId="66">'310'!$T$30:$T$37,'310'!$T$39:$T$43,'310'!$T$45,'310'!$T$47,'310'!$T$49,'310'!$T$51:$T$52,'310'!$T$54,'310'!$T$56,'310'!$T$58,'310'!$T$60,'310'!$T$62,'310'!$T$64,'310'!$T$66,'310'!$T$68,'310'!$T$70:$T$73,'310'!$T$75,'310'!$T$77:$T$80,'310'!$T$82,'310'!$T$84</definedName>
    <definedName name="OSRRefT22x_0" localSheetId="74">'310 &amp; 491'!$T$37:$T$45,'310 &amp; 491'!$T$47:$T$53,'310 &amp; 491'!$T$55,'310 &amp; 491'!$T$57,'310 &amp; 491'!$T$59,'310 &amp; 491'!$T$61:$T$63,'310 &amp; 491'!$T$65,'310 &amp; 491'!$T$67,'310 &amp; 491'!$T$69,'310 &amp; 491'!$T$71,'310 &amp; 491'!$T$73,'310 &amp; 491'!$T$75,'310 &amp; 491'!$T$77,'310 &amp; 491'!$T$79,'310 &amp; 491'!$T$81:$T$82,'310 &amp; 491'!$T$84:$T$85,'310 &amp; 491'!$T$87:$T$91,'310 &amp; 491'!$T$93,'310 &amp; 491'!$T$95:$T$102,'310 &amp; 491'!$T$104,'310 &amp; 491'!$T$106,'310 &amp; 491'!$T$108:$T$110,'310 &amp; 491'!$T$112</definedName>
    <definedName name="OSRRefT22x_0" localSheetId="56">'311'!$T$52:$T$60,'311'!$T$62:$T$67,'311'!$T$69,'311'!$T$71,'311'!$T$73,'311'!$T$75,'311'!$T$77,'311'!$T$79,'311'!$T$81,'311'!$T$83,'311'!$T$85,'311'!$T$87:$T$88,'311'!$T$90:$T$91,'311'!$T$93,'311'!$T$95</definedName>
    <definedName name="OSRRefT22x_0" localSheetId="68">'313'!$T$27:$T$34,'313'!$T$36:$T$38,'313'!$T$40,'313'!$T$42,'313'!$T$44,'313'!$T$46,'313'!$T$48,'313'!$T$50,'313'!$T$52,'313'!$T$54,'313'!$T$56:$T$58,'313'!$T$60</definedName>
    <definedName name="OSRRefT22x_0" localSheetId="54">'314'!$T$46:$T$52,'314'!$T$54:$T$55,'314'!$T$57,'314'!$T$59</definedName>
    <definedName name="OSRRefT22x_0" localSheetId="59">'315'!$T$68:$T$75,'315'!$T$77:$T$80,'315'!$T$82,'315'!$T$84,'315'!$T$86,'315'!$T$88,'315'!$T$90,'315'!$T$92:$T$93,'315'!$T$95:$T$97,'315'!$T$99,'315'!$T$101</definedName>
    <definedName name="OSRRefT22x_0" localSheetId="62">'316'!$T$30:$T$37,'316'!$T$39:$T$41,'316'!$T$43,'316'!$T$45,'316'!$T$47,'316'!$T$49:$T$50,'316'!$T$52,'316'!$T$54,'316'!$T$56:$T$60,'316'!$T$62</definedName>
    <definedName name="OSRRefT22x_0" localSheetId="64">'317'!$T$50:$T$58,'317'!$T$60:$T$64,'317'!$T$66,'317'!$T$68,'317'!$T$70,'317'!$T$72:$T$73,'317'!$T$75,'317'!$T$77,'317'!$T$79:$T$81,'317'!$T$83</definedName>
    <definedName name="OSRRefT22x_0" localSheetId="65">'320'!$T$27:$T$33,'320'!$T$35:$T$36,'320'!$T$38,'320'!$T$40:$T$41,'320'!$T$43,'320'!$T$45</definedName>
    <definedName name="OSRRefT22x_0" localSheetId="69">'321'!$T$24:$T$28,'321'!$T$30:$T$33,'321'!$T$35,'321'!$T$37,'321'!$T$39,'321'!$T$41,'321'!$T$43,'321'!$T$45:$T$46,'321'!$T$48:$T$50,'321'!$T$52,'321'!$T$54</definedName>
    <definedName name="OSRRefT22x_0" localSheetId="70">'322'!$T$24:$T$31,'322'!$T$33:$T$35,'322'!$T$37,'322'!$T$39,'322'!$T$41,'322'!$T$43,'322'!$T$45,'322'!$T$47,'322'!$T$49:$T$51,'322'!$T$53:$T$55,'322'!$T$57,'322'!$T$59</definedName>
    <definedName name="OSRRefT22x_0" localSheetId="72">'325'!$T$24:$T$31,'325'!$T$33:$T$36,'325'!$T$38,'325'!$T$40,'325'!$T$42:$T$43,'325'!$T$45,'325'!$T$47,'325'!$T$49,'325'!$T$51,'325'!$T$53:$T$55,'325'!$T$57,'325'!$T$59,'325'!$T$61,'325'!$T$63</definedName>
    <definedName name="OSRRefT22x_0" localSheetId="60">'326'!$T$50:$T$57,'326'!$T$59:$T$62,'326'!$T$64,'326'!$T$66,'326'!$T$68,'326'!$T$70,'326'!$T$72,'326'!$T$74,'326'!$T$76,'326'!$T$78,'326'!$T$80:$T$82,'326'!$T$84,'326'!$T$86:$T$87,'326'!$T$89,'326'!$T$91,'326'!$T$93</definedName>
    <definedName name="OSRRefT22x_0" localSheetId="73">'327'!$T$22</definedName>
    <definedName name="OSRRefT22x_0" localSheetId="52">'330'!$T$60:$T$67,'330'!$T$69:$T$71,'330'!$T$73,'330'!$T$75,'330'!$T$77,'330'!$T$79,'330'!$T$81:$T$82,'330'!$T$84:$T$85,'330'!$T$87</definedName>
    <definedName name="OSRRefT22x_0" localSheetId="58">'331'!$T$72:$T$79,'331'!$T$81:$T$84,'331'!$T$86,'331'!$T$88,'331'!$T$90,'331'!$T$92,'331'!$T$94,'331'!$T$96,'331'!$T$98,'331'!$T$100,'331'!$T$102,'331'!$T$104,'331'!$T$106:$T$107,'331'!$T$109:$T$111,'331'!$T$113,'331'!$T$115:$T$118,'331'!$T$120,'331'!$T$122,'331'!$T$124,'331'!$T$126</definedName>
    <definedName name="OSRRefT22x_0" localSheetId="61">'332'!$T$37:$T$44,'332'!$T$46:$T$48,'332'!$T$50,'332'!$T$52,'332'!$T$54,'332'!$T$56:$T$57,'332'!$T$59,'332'!$T$61,'332'!$T$63:$T$67,'332'!$T$69</definedName>
    <definedName name="OSRRefT22x_0" localSheetId="76">'405'!$T$24:$T$31,'405'!$T$33:$T$34,'405'!$T$36,'405'!$T$38,'405'!$T$40,'405'!$T$42:$T$43,'405'!$T$45,'405'!$T$47,'405'!$T$49,'405'!$T$51:$T$52,'405'!$T$54,'405'!$T$56:$T$58,'405'!$T$60:$T$64,'405'!$T$66,'405'!$T$68,'405'!$T$70</definedName>
    <definedName name="OSRRefT22x_0" localSheetId="77">'406'!$T$22:$T$29,'406'!$T$31:$T$33,'406'!$T$35,'406'!$T$37,'406'!$T$39,'406'!$T$41,'406'!$T$43,'406'!$T$45:$T$46,'406'!$T$48,'406'!$T$50</definedName>
    <definedName name="OSRRefT22x_0" localSheetId="78">'411'!$T$20:$T$28,'411'!$T$30:$T$35,'411'!$T$37,'411'!$T$39,'411'!$T$41:$T$43,'411'!$T$45,'411'!$T$47,'411'!$T$49,'411'!$T$51:$T$52,'411'!$T$54:$T$58,'411'!$T$60:$T$63,'411'!$T$65,'411'!$T$67,'411'!$T$69:$T$71,'411'!$T$73</definedName>
    <definedName name="OSRRefT22x_0" localSheetId="79">'412'!$T$23:$T$30,'412'!$T$32:$T$37,'412'!$T$39,'412'!$T$41,'412'!$T$43,'412'!$T$45,'412'!$T$47,'412'!$T$49,'412'!$T$51,'412'!$T$53:$T$54,'412'!$T$56:$T$59,'412'!$T$61</definedName>
    <definedName name="OSRRefT22x_0" localSheetId="81">'413'!$T$24:$T$31,'413'!$T$33:$T$35,'413'!$T$37,'413'!$T$39,'413'!$T$41,'413'!$T$43,'413'!$T$45,'413'!$T$47,'413'!$T$49:$T$50,'413'!$T$52:$T$53,'413'!$T$55</definedName>
    <definedName name="OSRRefT22x_0" localSheetId="82">'414'!$T$24:$T$30,'414'!$T$32:$T$34,'414'!$T$36,'414'!$T$38,'414'!$T$40,'414'!$T$42,'414'!$T$44,'414'!$T$46,'414'!$T$48,'414'!$T$50,'414'!$T$52,'414'!$T$54:$T$57,'414'!$T$59</definedName>
    <definedName name="OSRRefT22x_0" localSheetId="83">'415'!$T$24:$T$31,'415'!$T$33:$T$36,'415'!$T$38,'415'!$T$40,'415'!$T$42,'415'!$T$44:$T$45,'415'!$T$47,'415'!$T$49,'415'!$T$51,'415'!$T$53,'415'!$T$55,'415'!$T$57:$T$58,'415'!$T$60:$T$64,'415'!$T$66,'415'!$T$68:$T$72,'415'!$T$74,'415'!$T$76</definedName>
    <definedName name="OSRRefT22x_0" localSheetId="84">'418'!$T$24:$T$31,'418'!$T$33:$T$37,'418'!$T$39,'418'!$T$41,'418'!$T$43,'418'!$T$45:$T$46,'418'!$T$48,'418'!$T$50,'418'!$T$52,'418'!$T$54:$T$55,'418'!$T$57,'418'!$T$59:$T$60,'418'!$T$62,'418'!$T$64</definedName>
    <definedName name="OSRRefT22x_0" localSheetId="85">'423'!$T$20:$T$27,'423'!$T$29,'423'!$T$31,'423'!$T$33,'423'!$T$35,'423'!$T$37</definedName>
    <definedName name="OSRRefT22x_0" localSheetId="86">'424'!$T$23,'424'!$T$25,'424'!$T$27,'424'!$T$29,'424'!$T$31,'424'!$T$33,'424'!$T$35,'424'!$T$37</definedName>
    <definedName name="OSRRefT22x_0" localSheetId="87">'425'!$T$24:$T$31,'425'!$T$33:$T$37,'425'!$T$39,'425'!$T$41,'425'!$T$43,'425'!$T$45,'425'!$T$47,'425'!$T$49:$T$50,'425'!$T$52:$T$53,'425'!$T$55,'425'!$T$57</definedName>
    <definedName name="OSRRefT22x_0" localSheetId="90">'430'!$T$20:$T$27,'430'!$T$29,'430'!$T$31,'430'!$T$33:$T$34,'430'!$T$36,'430'!$T$38</definedName>
    <definedName name="OSRRefT22x_0" localSheetId="91">'433'!$T$25:$T$33,'433'!$T$35:$T$40,'433'!$T$42,'433'!$T$44,'433'!$T$46,'433'!$T$48,'433'!$T$50,'433'!$T$52,'433'!$T$54:$T$56,'433'!$T$58:$T$63,'433'!$T$65,'433'!$T$67,'433'!$T$69</definedName>
    <definedName name="OSRRefT22x_0" localSheetId="92">'435'!$T$20:$T$21,'435'!$T$23,'435'!$T$25,'435'!$T$27</definedName>
    <definedName name="OSRRefT22x_0" localSheetId="93">'444'!$T$25:$T$33,'444'!$T$35:$T$40,'444'!$T$42,'444'!$T$44,'444'!$T$46,'444'!$T$48,'444'!$T$50,'444'!$T$52,'444'!$T$54,'444'!$T$56:$T$58,'444'!$T$60:$T$64,'444'!$T$66,'444'!$T$68,'444'!$T$70</definedName>
    <definedName name="OSRRefT22x_0" localSheetId="94">'450'!$T$24:$T$32,'450'!$T$34:$T$39,'450'!$T$41,'450'!$T$43,'450'!$T$45,'450'!$T$47,'450'!$T$49,'450'!$T$51,'450'!$T$53:$T$55,'450'!$T$57:$T$60,'450'!$T$62,'450'!$T$64,'450'!$T$66</definedName>
    <definedName name="OSRRefT22x_0" localSheetId="88">'455'!$T$20:$T$26,'455'!$T$28:$T$29</definedName>
    <definedName name="OSRRefT22x_0" localSheetId="75">'491'!$T$31:$T$39,'491'!$T$41:$T$47,'491'!$T$49,'491'!$T$51,'491'!$T$53,'491'!$T$55:$T$57,'491'!$T$59,'491'!$T$61,'491'!$T$63,'491'!$T$65,'491'!$T$67,'491'!$T$69,'491'!$T$71:$T$72,'491'!$T$74:$T$75,'491'!$T$77:$T$81,'491'!$T$83,'491'!$T$85:$T$92,'491'!$T$94,'491'!$T$96,'491'!$T$98:$T$100,'491'!$T$102</definedName>
    <definedName name="OSRRefT22x_0" localSheetId="89">'492'!$T$25:$T$33,'492'!$T$35:$T$41,'492'!$T$43,'492'!$T$45,'492'!$T$47,'492'!$T$49,'492'!$T$51,'492'!$T$53,'492'!$T$55,'492'!$T$57,'492'!$T$59,'492'!$T$61:$T$63,'492'!$T$65:$T$71,'492'!$T$73,'492'!$T$75,'492'!$T$77</definedName>
    <definedName name="OSRRefT22x_0" localSheetId="96">'501'!$T$21:$T$29,'501'!$T$31:$T$35,'501'!$T$37,'501'!$T$39,'501'!$T$41,'501'!$T$43,'501'!$T$45</definedName>
    <definedName name="OSRRefT22x_0" localSheetId="39">'Div 2'!$T$20:$T$29,'Div 2'!$T$31:$T$37,'Div 2'!$T$39,'Div 2'!$T$41,'Div 2'!$T$43,'Div 2'!$T$45,'Div 2'!$T$47,'Div 2'!$T$49,'Div 2'!$T$51,'Div 2'!$T$53,'Div 2'!$T$55,'Div 2'!$T$57,'Div 2'!$T$59:$T$61,'Div 2'!$T$63:$T$65,'Div 2'!$T$67:$T$68,'Div 2'!$T$70,'Div 2'!$T$72:$T$76,'Div 2'!$T$78:$T$79,'Div 2'!$T$81,'Div 2'!$T$83:$T$84</definedName>
    <definedName name="OSRRefT22x_0" localSheetId="47">'Div 3'!$T$135:$T$144,'Div 3'!$T$146:$T$152,'Div 3'!$T$154,'Div 3'!$T$156,'Div 3'!$T$158,'Div 3'!$T$160:$T$161,'Div 3'!$T$163:$T$164,'Div 3'!$T$166,'Div 3'!$T$168,'Div 3'!$T$170,'Div 3'!$T$172:$T$173,'Div 3'!$T$175,'Div 3'!$T$177,'Div 3'!$T$179,'Div 3'!$T$181,'Div 3'!$T$183,'Div 3'!$T$185,'Div 3'!$T$187:$T$189,'Div 3'!$T$191:$T$193,'Div 3'!$T$195:$T$199,'Div 3'!$T$201:$T$202,'Div 3'!$T$204:$T$210,'Div 3'!$T$212:$T$213,'Div 3'!$T$215,'Div 3'!$T$217:$T$219,'Div 3'!$T$221</definedName>
    <definedName name="OSRRefT22x_0" localSheetId="95">'Div 5'!$T$21:$T$29,'Div 5'!$T$31:$T$35,'Div 5'!$T$37,'Div 5'!$T$39,'Div 5'!$T$41,'Div 5'!$T$43,'Div 5'!$T$45</definedName>
    <definedName name="OSRRefT22x_0" localSheetId="63">'Div 6'!$T$50:$T$58,'Div 6'!$T$60:$T$64,'Div 6'!$T$66,'Div 6'!$T$68,'Div 6'!$T$70,'Div 6'!$T$72:$T$73,'Div 6'!$T$75,'Div 6'!$T$77,'Div 6'!$T$79:$T$81,'Div 6'!$T$83</definedName>
    <definedName name="OSRRefT22x_0" localSheetId="2">Summary!$T$166:$T$175,Summary!$T$177:$T$183,Summary!$T$185,Summary!$T$187,Summary!$T$189,Summary!$T$191:$T$193,Summary!$T$195:$T$196,Summary!$T$198,Summary!$T$200,Summary!$T$202,Summary!$T$204:$T$205,Summary!$T$207,Summary!$T$209,Summary!$T$211,Summary!$T$213,Summary!$T$215,Summary!$T$217,Summary!$T$219,Summary!$T$221:$T$223,Summary!$T$225:$T$227,Summary!$T$229:$T$233,Summary!$T$235:$T$236,Summary!$T$238:$T$246,Summary!$T$248:$T$249,Summary!$T$251,Summary!$T$253:$T$255,Summary!$T$257</definedName>
    <definedName name="OSRRefT25x_0" localSheetId="48">'300'!$T$216:$T$221</definedName>
    <definedName name="OSRRefT25x_0" localSheetId="49">'300 &amp; 317'!$T$240:$T$247</definedName>
    <definedName name="OSRRefT25x_0" localSheetId="50">'301'!$T$89:$T$90</definedName>
    <definedName name="OSRRefT25x_0" localSheetId="55">'308'!$T$99:$T$100</definedName>
    <definedName name="OSRRefT25x_0" localSheetId="74">'310 &amp; 491'!$T$115:$T$117</definedName>
    <definedName name="OSRRefT25x_0" localSheetId="56">'311'!$T$98:$T$99</definedName>
    <definedName name="OSRRefT25x_0" localSheetId="59">'315'!$T$104:$T$105</definedName>
    <definedName name="OSRRefT25x_0" localSheetId="62">'316'!$T$65</definedName>
    <definedName name="OSRRefT25x_0" localSheetId="64">'317'!$T$86:$T$88</definedName>
    <definedName name="OSRRefT25x_0" localSheetId="65">'320'!$T$48:$T$49</definedName>
    <definedName name="OSRRefT25x_0" localSheetId="58">'331'!$T$129:$T$130</definedName>
    <definedName name="OSRRefT25x_0" localSheetId="61">'332'!$T$72:$T$74</definedName>
    <definedName name="OSRRefT25x_0" localSheetId="78">'411'!$T$76:$T$77</definedName>
    <definedName name="OSRRefT25x_0" localSheetId="85">'423'!$T$40</definedName>
    <definedName name="OSRRefT25x_0" localSheetId="86">'424'!$T$40</definedName>
    <definedName name="OSRRefT25x_0" localSheetId="87">'425'!$T$60</definedName>
    <definedName name="OSRRefT25x_0" localSheetId="88">'455'!$T$32:$T$33</definedName>
    <definedName name="OSRRefT25x_0" localSheetId="75">'491'!$T$105:$T$107</definedName>
    <definedName name="OSRRefT25x_0" localSheetId="96">'501'!$T$48</definedName>
    <definedName name="OSRRefT25x_0" localSheetId="47">'Div 3'!$T$224:$T$229</definedName>
    <definedName name="OSRRefT25x_0" localSheetId="95">'Div 5'!$T$48</definedName>
    <definedName name="OSRRefT25x_0" localSheetId="63">'Div 6'!$T$86:$T$88</definedName>
    <definedName name="OSRRefT25x_0" localSheetId="2">Summary!$T$260:$T$269</definedName>
    <definedName name="_xlnm.Print_Area" localSheetId="38">'100'!$A$1:$Z$34</definedName>
    <definedName name="_xlnm.Print_Area" localSheetId="40">'200'!$A$1:$Z$38</definedName>
    <definedName name="_xlnm.Print_Area" localSheetId="41">'201'!$A$1:$Z$73</definedName>
    <definedName name="_xlnm.Print_Area" localSheetId="42">'202'!$A$1:$Z$68</definedName>
    <definedName name="_xlnm.Print_Area" localSheetId="43">'203'!$A$1:$Z$75</definedName>
    <definedName name="_xlnm.Print_Area" localSheetId="44">'204'!$A$1:$Z$63</definedName>
    <definedName name="_xlnm.Print_Area" localSheetId="45">'205'!$A$1:$Z$54</definedName>
    <definedName name="_xlnm.Print_Area" localSheetId="46">'206'!$A$1:$Z$54</definedName>
    <definedName name="_xlnm.Print_Area" localSheetId="48">'300'!$A$1:$Z$233</definedName>
    <definedName name="_xlnm.Print_Area" localSheetId="49">'300 &amp; 317'!$A$1:$Z$259</definedName>
    <definedName name="_xlnm.Print_Area" localSheetId="50">'301'!$A$1:$Z$102</definedName>
    <definedName name="_xlnm.Print_Area" localSheetId="51">'306'!$A$1:$Z$55</definedName>
    <definedName name="_xlnm.Print_Area" localSheetId="53">'307'!$A$1:$Z$89</definedName>
    <definedName name="_xlnm.Print_Area" localSheetId="55">'308'!$A$1:$Z$112</definedName>
    <definedName name="_xlnm.Print_Area" localSheetId="67">'309'!$A$1:$Z$70</definedName>
    <definedName name="_xlnm.Print_Area" localSheetId="66">'310'!$A$1:$Z$98</definedName>
    <definedName name="_xlnm.Print_Area" localSheetId="74">'310 &amp; 491'!$A$1:$Z$129</definedName>
    <definedName name="_xlnm.Print_Area" localSheetId="56">'311'!$A$1:$Z$111</definedName>
    <definedName name="_xlnm.Print_Area" localSheetId="68">'313'!$A$1:$Z$74</definedName>
    <definedName name="_xlnm.Print_Area" localSheetId="54">'314'!$A$1:$Z$73</definedName>
    <definedName name="_xlnm.Print_Area" localSheetId="59">'315'!$A$1:$Z$117</definedName>
    <definedName name="_xlnm.Print_Area" localSheetId="62">'316'!$A$1:$Z$77</definedName>
    <definedName name="_xlnm.Print_Area" localSheetId="64">'317'!$A$1:$Z$100</definedName>
    <definedName name="_xlnm.Print_Area" localSheetId="65">'320'!$A$1:$Z$61</definedName>
    <definedName name="_xlnm.Print_Area" localSheetId="69">'321'!$A$1:$Z$68</definedName>
    <definedName name="_xlnm.Print_Area" localSheetId="70">'322'!$A$1:$Z$73</definedName>
    <definedName name="_xlnm.Print_Area" localSheetId="71">'323'!$A$1:$Z$32</definedName>
    <definedName name="_xlnm.Print_Area" localSheetId="57">'324'!$A$1:$Z$37</definedName>
    <definedName name="_xlnm.Print_Area" localSheetId="72">'325'!$A$1:$Z$77</definedName>
    <definedName name="_xlnm.Print_Area" localSheetId="60">'326'!$A$1:$Z$107</definedName>
    <definedName name="_xlnm.Print_Area" localSheetId="73">'327'!$A$1:$Z$36</definedName>
    <definedName name="_xlnm.Print_Area" localSheetId="52">'330'!$A$1:$Z$101</definedName>
    <definedName name="_xlnm.Print_Area" localSheetId="58">'331'!$A$1:$Z$142</definedName>
    <definedName name="_xlnm.Print_Area" localSheetId="61">'332'!$A$1:$Z$86</definedName>
    <definedName name="_xlnm.Print_Area" localSheetId="76">'405'!$A$1:$Z$84</definedName>
    <definedName name="_xlnm.Print_Area" localSheetId="77">'406'!$A$1:$Z$64</definedName>
    <definedName name="_xlnm.Print_Area" localSheetId="78">'411'!$A$1:$Z$89</definedName>
    <definedName name="_xlnm.Print_Area" localSheetId="79">'412'!$A$1:$Z$75</definedName>
    <definedName name="_xlnm.Print_Area" localSheetId="81">'413'!$A$1:$Z$69</definedName>
    <definedName name="_xlnm.Print_Area" localSheetId="82">'414'!$A$1:$Z$73</definedName>
    <definedName name="_xlnm.Print_Area" localSheetId="83">'415'!$A$1:$Z$90</definedName>
    <definedName name="_xlnm.Print_Area" localSheetId="84">'418'!$A$1:$Z$78</definedName>
    <definedName name="_xlnm.Print_Area" localSheetId="80">'420'!$A$1:$Z$32</definedName>
    <definedName name="_xlnm.Print_Area" localSheetId="85">'423'!$A$1:$Z$52</definedName>
    <definedName name="_xlnm.Print_Area" localSheetId="86">'424'!$A$1:$Z$52</definedName>
    <definedName name="_xlnm.Print_Area" localSheetId="87">'425'!$A$1:$Z$72</definedName>
    <definedName name="_xlnm.Print_Area" localSheetId="90">'430'!$A$1:$Z$52</definedName>
    <definedName name="_xlnm.Print_Area" localSheetId="91">'433'!$A$1:$Z$83</definedName>
    <definedName name="_xlnm.Print_Area" localSheetId="92">'435'!$A$1:$Z$41</definedName>
    <definedName name="_xlnm.Print_Area" localSheetId="93">'444'!$A$1:$Z$84</definedName>
    <definedName name="_xlnm.Print_Area" localSheetId="94">'450'!$A$1:$Z$80</definedName>
    <definedName name="_xlnm.Print_Area" localSheetId="88">'455'!$A$1:$Z$45</definedName>
    <definedName name="_xlnm.Print_Area" localSheetId="75">'491'!$A$1:$Z$119</definedName>
    <definedName name="_xlnm.Print_Area" localSheetId="89">'492'!$A$1:$Z$91</definedName>
    <definedName name="_xlnm.Print_Area" localSheetId="96">'501'!$A$1:$Z$60</definedName>
    <definedName name="_xlnm.Print_Area" localSheetId="97">Dept!$A$1:$Z$39</definedName>
    <definedName name="_xlnm.Print_Area" localSheetId="5">'Div 1'!$A$1:$Z$34</definedName>
    <definedName name="_xlnm.Print_Area" localSheetId="39">'Div 2'!$A$1:$Z$98</definedName>
    <definedName name="_xlnm.Print_Area" localSheetId="47">'Div 3'!$A$1:$Z$241</definedName>
    <definedName name="_xlnm.Print_Area" localSheetId="95">'Div 5'!$A$1:$Z$60</definedName>
    <definedName name="_xlnm.Print_Area" localSheetId="63">'Div 6'!$A$1:$Z$100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Summary!$A$1:$Z$283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4">'317'!$A:$C,'317'!$1:$10</definedName>
    <definedName name="_xlnm.Print_Titles" localSheetId="65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71">'323'!$A:$C,'323'!$1:$10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0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95">'Div 5'!$A:$C,'Div 5'!$1:$10</definedName>
    <definedName name="_xlnm.Print_Titles" localSheetId="63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52" i="109" l="1"/>
  <c r="X52" i="109"/>
  <c r="L52" i="109"/>
  <c r="N52" i="109" s="1"/>
  <c r="J52" i="109"/>
  <c r="F52" i="109"/>
  <c r="Z48" i="109"/>
  <c r="X48" i="109"/>
  <c r="T48" i="109"/>
  <c r="T47" i="109" s="1"/>
  <c r="P48" i="109"/>
  <c r="H48" i="109"/>
  <c r="D48" i="109"/>
  <c r="L48" i="109" s="1"/>
  <c r="N48" i="109" s="1"/>
  <c r="B48" i="109"/>
  <c r="P47" i="109"/>
  <c r="H47" i="109"/>
  <c r="D47" i="109"/>
  <c r="Z45" i="109"/>
  <c r="X45" i="109"/>
  <c r="L45" i="109"/>
  <c r="N45" i="109" s="1"/>
  <c r="B45" i="109"/>
  <c r="Z44" i="109"/>
  <c r="X44" i="109"/>
  <c r="T44" i="109"/>
  <c r="P44" i="109"/>
  <c r="H44" i="109"/>
  <c r="D44" i="109"/>
  <c r="L44" i="109" s="1"/>
  <c r="N44" i="109" s="1"/>
  <c r="B44" i="109"/>
  <c r="Z43" i="109"/>
  <c r="X43" i="109"/>
  <c r="N43" i="109"/>
  <c r="L43" i="109"/>
  <c r="B43" i="109"/>
  <c r="T42" i="109"/>
  <c r="P42" i="109"/>
  <c r="H42" i="109"/>
  <c r="D42" i="109"/>
  <c r="L42" i="109" s="1"/>
  <c r="N42" i="109" s="1"/>
  <c r="B42" i="109"/>
  <c r="X41" i="109"/>
  <c r="Z41" i="109" s="1"/>
  <c r="N41" i="109"/>
  <c r="L41" i="109"/>
  <c r="B41" i="109"/>
  <c r="T40" i="109"/>
  <c r="Z40" i="109" s="1"/>
  <c r="P40" i="109"/>
  <c r="X40" i="109" s="1"/>
  <c r="N40" i="109"/>
  <c r="L40" i="109"/>
  <c r="H40" i="109"/>
  <c r="D40" i="109"/>
  <c r="B40" i="109"/>
  <c r="Z39" i="109"/>
  <c r="X39" i="109"/>
  <c r="L39" i="109"/>
  <c r="N39" i="109" s="1"/>
  <c r="B39" i="109"/>
  <c r="X38" i="109"/>
  <c r="T38" i="109"/>
  <c r="Z38" i="109" s="1"/>
  <c r="P38" i="109"/>
  <c r="N38" i="109"/>
  <c r="L38" i="109"/>
  <c r="J38" i="109"/>
  <c r="H38" i="109"/>
  <c r="D38" i="109"/>
  <c r="B38" i="109"/>
  <c r="Z37" i="109"/>
  <c r="X37" i="109"/>
  <c r="L37" i="109"/>
  <c r="N37" i="109" s="1"/>
  <c r="J37" i="109"/>
  <c r="F37" i="109"/>
  <c r="B37" i="109"/>
  <c r="X36" i="109"/>
  <c r="T36" i="109"/>
  <c r="Z36" i="109" s="1"/>
  <c r="P36" i="109"/>
  <c r="J36" i="109"/>
  <c r="H36" i="109"/>
  <c r="F36" i="109"/>
  <c r="D36" i="109"/>
  <c r="L36" i="109" s="1"/>
  <c r="B36" i="109"/>
  <c r="Z35" i="109"/>
  <c r="X35" i="109"/>
  <c r="N35" i="109"/>
  <c r="L35" i="109"/>
  <c r="F35" i="109"/>
  <c r="B35" i="109"/>
  <c r="Z34" i="109"/>
  <c r="X34" i="109"/>
  <c r="L34" i="109"/>
  <c r="N34" i="109" s="1"/>
  <c r="B34" i="109"/>
  <c r="X33" i="109"/>
  <c r="Z33" i="109" s="1"/>
  <c r="N33" i="109"/>
  <c r="L33" i="109"/>
  <c r="B33" i="109"/>
  <c r="Z32" i="109"/>
  <c r="X32" i="109"/>
  <c r="L32" i="109"/>
  <c r="N32" i="109" s="1"/>
  <c r="J32" i="109"/>
  <c r="B32" i="109"/>
  <c r="Z31" i="109"/>
  <c r="X31" i="109"/>
  <c r="N31" i="109"/>
  <c r="L31" i="109"/>
  <c r="F31" i="109"/>
  <c r="B31" i="109"/>
  <c r="Z30" i="109"/>
  <c r="T30" i="109"/>
  <c r="X30" i="109" s="1"/>
  <c r="P30" i="109"/>
  <c r="H30" i="109"/>
  <c r="D30" i="109"/>
  <c r="L30" i="109" s="1"/>
  <c r="B30" i="109"/>
  <c r="Z29" i="109"/>
  <c r="X29" i="109"/>
  <c r="N29" i="109"/>
  <c r="L29" i="109"/>
  <c r="B29" i="109"/>
  <c r="Z28" i="109"/>
  <c r="X28" i="109"/>
  <c r="L28" i="109"/>
  <c r="N28" i="109" s="1"/>
  <c r="B28" i="109"/>
  <c r="Z27" i="109"/>
  <c r="X27" i="109"/>
  <c r="L27" i="109"/>
  <c r="N27" i="109" s="1"/>
  <c r="J27" i="109"/>
  <c r="B27" i="109"/>
  <c r="Z26" i="109"/>
  <c r="X26" i="109"/>
  <c r="N26" i="109"/>
  <c r="L26" i="109"/>
  <c r="J26" i="109"/>
  <c r="F26" i="109"/>
  <c r="B26" i="109"/>
  <c r="Z25" i="109"/>
  <c r="X25" i="109"/>
  <c r="N25" i="109"/>
  <c r="L25" i="109"/>
  <c r="F25" i="109"/>
  <c r="B25" i="109"/>
  <c r="Z24" i="109"/>
  <c r="X24" i="109"/>
  <c r="L24" i="109"/>
  <c r="N24" i="109" s="1"/>
  <c r="B24" i="109"/>
  <c r="X23" i="109"/>
  <c r="Z23" i="109" s="1"/>
  <c r="L23" i="109"/>
  <c r="N23" i="109" s="1"/>
  <c r="J23" i="109"/>
  <c r="B23" i="109"/>
  <c r="Z22" i="109"/>
  <c r="X22" i="109"/>
  <c r="N22" i="109"/>
  <c r="L22" i="109"/>
  <c r="J22" i="109"/>
  <c r="F22" i="109"/>
  <c r="B22" i="109"/>
  <c r="Z21" i="109"/>
  <c r="X21" i="109"/>
  <c r="N21" i="109"/>
  <c r="L21" i="109"/>
  <c r="F21" i="109"/>
  <c r="B21" i="109"/>
  <c r="Z20" i="109"/>
  <c r="X20" i="109"/>
  <c r="T20" i="109"/>
  <c r="P20" i="109"/>
  <c r="H20" i="109"/>
  <c r="F20" i="109"/>
  <c r="D20" i="109"/>
  <c r="B20" i="109"/>
  <c r="X19" i="109"/>
  <c r="Z19" i="109" s="1"/>
  <c r="T19" i="109"/>
  <c r="P19" i="109"/>
  <c r="H19" i="109"/>
  <c r="D19" i="109"/>
  <c r="L19" i="109" s="1"/>
  <c r="Z15" i="109"/>
  <c r="X15" i="109"/>
  <c r="T15" i="109"/>
  <c r="P15" i="109"/>
  <c r="H15" i="109"/>
  <c r="D15" i="109"/>
  <c r="D17" i="109" s="1"/>
  <c r="D50" i="109" s="1"/>
  <c r="X13" i="109"/>
  <c r="Z13" i="109" s="1"/>
  <c r="T13" i="109"/>
  <c r="P13" i="109"/>
  <c r="N13" i="109"/>
  <c r="L13" i="109"/>
  <c r="H13" i="109"/>
  <c r="D13" i="109"/>
  <c r="B13" i="109"/>
  <c r="T12" i="109"/>
  <c r="P12" i="109"/>
  <c r="R41" i="109" s="1"/>
  <c r="H12" i="109"/>
  <c r="J39" i="109" s="1"/>
  <c r="D12" i="109"/>
  <c r="F32" i="109" s="1"/>
  <c r="D6" i="109"/>
  <c r="D4" i="109"/>
  <c r="V42" i="108"/>
  <c r="R42" i="108"/>
  <c r="V39" i="108"/>
  <c r="R39" i="108"/>
  <c r="Z37" i="108"/>
  <c r="X37" i="108"/>
  <c r="V37" i="108"/>
  <c r="N37" i="108"/>
  <c r="L37" i="108"/>
  <c r="J37" i="108"/>
  <c r="J35" i="108"/>
  <c r="F35" i="108"/>
  <c r="X33" i="108"/>
  <c r="T33" i="108"/>
  <c r="Z33" i="108" s="1"/>
  <c r="P33" i="108"/>
  <c r="J33" i="108"/>
  <c r="H33" i="108"/>
  <c r="D33" i="108"/>
  <c r="B33" i="108"/>
  <c r="T32" i="108"/>
  <c r="P32" i="108"/>
  <c r="L32" i="108"/>
  <c r="J32" i="108"/>
  <c r="H32" i="108"/>
  <c r="D32" i="108"/>
  <c r="B32" i="108"/>
  <c r="T31" i="108"/>
  <c r="R31" i="108"/>
  <c r="J31" i="108"/>
  <c r="D31" i="108"/>
  <c r="Z29" i="108"/>
  <c r="X29" i="108"/>
  <c r="N29" i="108"/>
  <c r="L29" i="108"/>
  <c r="J29" i="108"/>
  <c r="B29" i="108"/>
  <c r="Z28" i="108"/>
  <c r="X28" i="108"/>
  <c r="V28" i="108"/>
  <c r="N28" i="108"/>
  <c r="L28" i="108"/>
  <c r="J28" i="108"/>
  <c r="F28" i="108"/>
  <c r="B28" i="108"/>
  <c r="X27" i="108"/>
  <c r="Z27" i="108" s="1"/>
  <c r="V27" i="108"/>
  <c r="T27" i="108"/>
  <c r="P27" i="108"/>
  <c r="H27" i="108"/>
  <c r="D27" i="108"/>
  <c r="B27" i="108"/>
  <c r="X26" i="108"/>
  <c r="Z26" i="108" s="1"/>
  <c r="V26" i="108"/>
  <c r="N26" i="108"/>
  <c r="L26" i="108"/>
  <c r="B26" i="108"/>
  <c r="Z25" i="108"/>
  <c r="X25" i="108"/>
  <c r="V25" i="108"/>
  <c r="R25" i="108"/>
  <c r="N25" i="108"/>
  <c r="L25" i="108"/>
  <c r="B25" i="108"/>
  <c r="Z24" i="108"/>
  <c r="X24" i="108"/>
  <c r="V24" i="108"/>
  <c r="R24" i="108"/>
  <c r="L24" i="108"/>
  <c r="N24" i="108" s="1"/>
  <c r="J24" i="108"/>
  <c r="B24" i="108"/>
  <c r="X23" i="108"/>
  <c r="Z23" i="108" s="1"/>
  <c r="V23" i="108"/>
  <c r="L23" i="108"/>
  <c r="N23" i="108" s="1"/>
  <c r="J23" i="108"/>
  <c r="B23" i="108"/>
  <c r="X22" i="108"/>
  <c r="Z22" i="108" s="1"/>
  <c r="V22" i="108"/>
  <c r="N22" i="108"/>
  <c r="L22" i="108"/>
  <c r="B22" i="108"/>
  <c r="Z21" i="108"/>
  <c r="X21" i="108"/>
  <c r="V21" i="108"/>
  <c r="R21" i="108"/>
  <c r="N21" i="108"/>
  <c r="L21" i="108"/>
  <c r="F21" i="108"/>
  <c r="B21" i="108"/>
  <c r="Z20" i="108"/>
  <c r="X20" i="108"/>
  <c r="V20" i="108"/>
  <c r="R20" i="108"/>
  <c r="L20" i="108"/>
  <c r="N20" i="108" s="1"/>
  <c r="J20" i="108"/>
  <c r="B20" i="108"/>
  <c r="X19" i="108"/>
  <c r="V19" i="108"/>
  <c r="T19" i="108"/>
  <c r="P19" i="108"/>
  <c r="J19" i="108"/>
  <c r="H19" i="108"/>
  <c r="F19" i="108"/>
  <c r="D19" i="108"/>
  <c r="B19" i="108"/>
  <c r="T18" i="108"/>
  <c r="R18" i="108"/>
  <c r="P18" i="108"/>
  <c r="X18" i="108" s="1"/>
  <c r="Z18" i="108" s="1"/>
  <c r="L18" i="108"/>
  <c r="J18" i="108"/>
  <c r="H18" i="108"/>
  <c r="N18" i="108" s="1"/>
  <c r="D18" i="108"/>
  <c r="X16" i="108"/>
  <c r="R16" i="108"/>
  <c r="P16" i="108"/>
  <c r="J16" i="108"/>
  <c r="H16" i="108"/>
  <c r="N16" i="108" s="1"/>
  <c r="F16" i="108"/>
  <c r="Z14" i="108"/>
  <c r="X14" i="108"/>
  <c r="T14" i="108"/>
  <c r="T16" i="108" s="1"/>
  <c r="T35" i="108" s="1"/>
  <c r="R14" i="108"/>
  <c r="P14" i="108"/>
  <c r="L14" i="108"/>
  <c r="J14" i="108"/>
  <c r="H14" i="108"/>
  <c r="N14" i="108" s="1"/>
  <c r="F14" i="108"/>
  <c r="D14" i="108"/>
  <c r="Z12" i="108"/>
  <c r="X12" i="108"/>
  <c r="T12" i="108"/>
  <c r="V35" i="108" s="1"/>
  <c r="P12" i="108"/>
  <c r="R27" i="108" s="1"/>
  <c r="N12" i="108"/>
  <c r="L12" i="108"/>
  <c r="H12" i="108"/>
  <c r="J42" i="108" s="1"/>
  <c r="D12" i="108"/>
  <c r="F20" i="108" s="1"/>
  <c r="D6" i="108"/>
  <c r="D4" i="108"/>
  <c r="Z72" i="107"/>
  <c r="X72" i="107"/>
  <c r="L72" i="107"/>
  <c r="N72" i="107" s="1"/>
  <c r="X68" i="107"/>
  <c r="T68" i="107"/>
  <c r="Z68" i="107" s="1"/>
  <c r="P68" i="107"/>
  <c r="N68" i="107"/>
  <c r="H68" i="107"/>
  <c r="L68" i="107" s="1"/>
  <c r="D68" i="107"/>
  <c r="X66" i="107"/>
  <c r="Z66" i="107" s="1"/>
  <c r="N66" i="107"/>
  <c r="L66" i="107"/>
  <c r="B66" i="107"/>
  <c r="X65" i="107"/>
  <c r="Z65" i="107" s="1"/>
  <c r="T65" i="107"/>
  <c r="P65" i="107"/>
  <c r="H65" i="107"/>
  <c r="L65" i="107" s="1"/>
  <c r="N65" i="107" s="1"/>
  <c r="D65" i="107"/>
  <c r="B65" i="107"/>
  <c r="Z64" i="107"/>
  <c r="X64" i="107"/>
  <c r="N64" i="107"/>
  <c r="L64" i="107"/>
  <c r="B64" i="107"/>
  <c r="T63" i="107"/>
  <c r="P63" i="107"/>
  <c r="H63" i="107"/>
  <c r="L63" i="107" s="1"/>
  <c r="N63" i="107" s="1"/>
  <c r="D63" i="107"/>
  <c r="B63" i="107"/>
  <c r="X62" i="107"/>
  <c r="Z62" i="107" s="1"/>
  <c r="R62" i="107"/>
  <c r="L62" i="107"/>
  <c r="N62" i="107" s="1"/>
  <c r="B62" i="107"/>
  <c r="T61" i="107"/>
  <c r="P61" i="107"/>
  <c r="X61" i="107" s="1"/>
  <c r="Z61" i="107" s="1"/>
  <c r="J61" i="107"/>
  <c r="H61" i="107"/>
  <c r="D61" i="107"/>
  <c r="B61" i="107"/>
  <c r="Z60" i="107"/>
  <c r="X60" i="107"/>
  <c r="N60" i="107"/>
  <c r="L60" i="107"/>
  <c r="B60" i="107"/>
  <c r="Z59" i="107"/>
  <c r="X59" i="107"/>
  <c r="N59" i="107"/>
  <c r="L59" i="107"/>
  <c r="B59" i="107"/>
  <c r="Z58" i="107"/>
  <c r="X58" i="107"/>
  <c r="V58" i="107"/>
  <c r="L58" i="107"/>
  <c r="N58" i="107" s="1"/>
  <c r="B58" i="107"/>
  <c r="Z57" i="107"/>
  <c r="X57" i="107"/>
  <c r="L57" i="107"/>
  <c r="N57" i="107" s="1"/>
  <c r="B57" i="107"/>
  <c r="X56" i="107"/>
  <c r="T56" i="107"/>
  <c r="Z56" i="107" s="1"/>
  <c r="P56" i="107"/>
  <c r="H56" i="107"/>
  <c r="D56" i="107"/>
  <c r="L56" i="107" s="1"/>
  <c r="B56" i="107"/>
  <c r="Z55" i="107"/>
  <c r="X55" i="107"/>
  <c r="N55" i="107"/>
  <c r="L55" i="107"/>
  <c r="B55" i="107"/>
  <c r="X54" i="107"/>
  <c r="Z54" i="107" s="1"/>
  <c r="L54" i="107"/>
  <c r="N54" i="107" s="1"/>
  <c r="B54" i="107"/>
  <c r="X53" i="107"/>
  <c r="Z53" i="107" s="1"/>
  <c r="N53" i="107"/>
  <c r="L53" i="107"/>
  <c r="B53" i="107"/>
  <c r="T52" i="107"/>
  <c r="Z52" i="107" s="1"/>
  <c r="R52" i="107"/>
  <c r="P52" i="107"/>
  <c r="X52" i="107" s="1"/>
  <c r="L52" i="107"/>
  <c r="H52" i="107"/>
  <c r="N52" i="107" s="1"/>
  <c r="D52" i="107"/>
  <c r="B52" i="107"/>
  <c r="Z51" i="107"/>
  <c r="X51" i="107"/>
  <c r="R51" i="107"/>
  <c r="N51" i="107"/>
  <c r="L51" i="107"/>
  <c r="B51" i="107"/>
  <c r="X50" i="107"/>
  <c r="T50" i="107"/>
  <c r="Z50" i="107" s="1"/>
  <c r="P50" i="107"/>
  <c r="N50" i="107"/>
  <c r="L50" i="107"/>
  <c r="H50" i="107"/>
  <c r="D50" i="107"/>
  <c r="B50" i="107"/>
  <c r="Z49" i="107"/>
  <c r="X49" i="107"/>
  <c r="L49" i="107"/>
  <c r="N49" i="107" s="1"/>
  <c r="B49" i="107"/>
  <c r="X48" i="107"/>
  <c r="T48" i="107"/>
  <c r="Z48" i="107" s="1"/>
  <c r="P48" i="107"/>
  <c r="H48" i="107"/>
  <c r="N48" i="107" s="1"/>
  <c r="D48" i="107"/>
  <c r="L48" i="107" s="1"/>
  <c r="B48" i="107"/>
  <c r="Z47" i="107"/>
  <c r="X47" i="107"/>
  <c r="N47" i="107"/>
  <c r="L47" i="107"/>
  <c r="B47" i="107"/>
  <c r="X46" i="107"/>
  <c r="T46" i="107"/>
  <c r="Z46" i="107" s="1"/>
  <c r="P46" i="107"/>
  <c r="H46" i="107"/>
  <c r="N46" i="107" s="1"/>
  <c r="D46" i="107"/>
  <c r="L46" i="107" s="1"/>
  <c r="B46" i="107"/>
  <c r="Z45" i="107"/>
  <c r="X45" i="107"/>
  <c r="N45" i="107"/>
  <c r="L45" i="107"/>
  <c r="B45" i="107"/>
  <c r="Z44" i="107"/>
  <c r="T44" i="107"/>
  <c r="X44" i="107" s="1"/>
  <c r="P44" i="107"/>
  <c r="L44" i="107"/>
  <c r="H44" i="107"/>
  <c r="N44" i="107" s="1"/>
  <c r="D44" i="107"/>
  <c r="B44" i="107"/>
  <c r="X43" i="107"/>
  <c r="Z43" i="107" s="1"/>
  <c r="N43" i="107"/>
  <c r="L43" i="107"/>
  <c r="B43" i="107"/>
  <c r="T42" i="107"/>
  <c r="Z42" i="107" s="1"/>
  <c r="P42" i="107"/>
  <c r="X42" i="107" s="1"/>
  <c r="L42" i="107"/>
  <c r="H42" i="107"/>
  <c r="N42" i="107" s="1"/>
  <c r="D42" i="107"/>
  <c r="B42" i="107"/>
  <c r="X41" i="107"/>
  <c r="Z41" i="107" s="1"/>
  <c r="N41" i="107"/>
  <c r="L41" i="107"/>
  <c r="B41" i="107"/>
  <c r="T40" i="107"/>
  <c r="Z40" i="107" s="1"/>
  <c r="R40" i="107"/>
  <c r="P40" i="107"/>
  <c r="X40" i="107" s="1"/>
  <c r="N40" i="107"/>
  <c r="L40" i="107"/>
  <c r="H40" i="107"/>
  <c r="D40" i="107"/>
  <c r="B40" i="107"/>
  <c r="Z39" i="107"/>
  <c r="X39" i="107"/>
  <c r="R39" i="107"/>
  <c r="L39" i="107"/>
  <c r="N39" i="107" s="1"/>
  <c r="B39" i="107"/>
  <c r="X38" i="107"/>
  <c r="Z38" i="107" s="1"/>
  <c r="L38" i="107"/>
  <c r="N38" i="107" s="1"/>
  <c r="B38" i="107"/>
  <c r="Z37" i="107"/>
  <c r="X37" i="107"/>
  <c r="N37" i="107"/>
  <c r="L37" i="107"/>
  <c r="B37" i="107"/>
  <c r="Z36" i="107"/>
  <c r="X36" i="107"/>
  <c r="L36" i="107"/>
  <c r="N36" i="107" s="1"/>
  <c r="B36" i="107"/>
  <c r="Z35" i="107"/>
  <c r="X35" i="107"/>
  <c r="R35" i="107"/>
  <c r="L35" i="107"/>
  <c r="N35" i="107" s="1"/>
  <c r="B35" i="107"/>
  <c r="X34" i="107"/>
  <c r="Z34" i="107" s="1"/>
  <c r="L34" i="107"/>
  <c r="N34" i="107" s="1"/>
  <c r="J34" i="107"/>
  <c r="B34" i="107"/>
  <c r="Z33" i="107"/>
  <c r="X33" i="107"/>
  <c r="T33" i="107"/>
  <c r="P33" i="107"/>
  <c r="H33" i="107"/>
  <c r="N33" i="107" s="1"/>
  <c r="D33" i="107"/>
  <c r="L33" i="107" s="1"/>
  <c r="B33" i="107"/>
  <c r="X32" i="107"/>
  <c r="Z32" i="107" s="1"/>
  <c r="L32" i="107"/>
  <c r="N32" i="107" s="1"/>
  <c r="B32" i="107"/>
  <c r="X31" i="107"/>
  <c r="Z31" i="107" s="1"/>
  <c r="N31" i="107"/>
  <c r="L31" i="107"/>
  <c r="B31" i="107"/>
  <c r="X30" i="107"/>
  <c r="Z30" i="107" s="1"/>
  <c r="N30" i="107"/>
  <c r="L30" i="107"/>
  <c r="B30" i="107"/>
  <c r="Z29" i="107"/>
  <c r="X29" i="107"/>
  <c r="L29" i="107"/>
  <c r="N29" i="107" s="1"/>
  <c r="B29" i="107"/>
  <c r="X28" i="107"/>
  <c r="Z28" i="107" s="1"/>
  <c r="L28" i="107"/>
  <c r="N28" i="107" s="1"/>
  <c r="B28" i="107"/>
  <c r="X27" i="107"/>
  <c r="Z27" i="107" s="1"/>
  <c r="N27" i="107"/>
  <c r="L27" i="107"/>
  <c r="B27" i="107"/>
  <c r="X26" i="107"/>
  <c r="Z26" i="107" s="1"/>
  <c r="N26" i="107"/>
  <c r="L26" i="107"/>
  <c r="B26" i="107"/>
  <c r="Z25" i="107"/>
  <c r="X25" i="107"/>
  <c r="L25" i="107"/>
  <c r="N25" i="107" s="1"/>
  <c r="B25" i="107"/>
  <c r="X24" i="107"/>
  <c r="Z24" i="107" s="1"/>
  <c r="L24" i="107"/>
  <c r="N24" i="107" s="1"/>
  <c r="B24" i="107"/>
  <c r="X23" i="107"/>
  <c r="Z23" i="107" s="1"/>
  <c r="T23" i="107"/>
  <c r="P23" i="107"/>
  <c r="H23" i="107"/>
  <c r="D23" i="107"/>
  <c r="L23" i="107" s="1"/>
  <c r="N23" i="107" s="1"/>
  <c r="B23" i="107"/>
  <c r="T22" i="107"/>
  <c r="X22" i="107" s="1"/>
  <c r="Z22" i="107" s="1"/>
  <c r="P22" i="107"/>
  <c r="H22" i="107"/>
  <c r="D22" i="107"/>
  <c r="L22" i="107" s="1"/>
  <c r="Z18" i="107"/>
  <c r="X18" i="107"/>
  <c r="L18" i="107"/>
  <c r="N18" i="107" s="1"/>
  <c r="B18" i="107"/>
  <c r="X17" i="107"/>
  <c r="Z17" i="107" s="1"/>
  <c r="R17" i="107"/>
  <c r="N17" i="107"/>
  <c r="L17" i="107"/>
  <c r="B17" i="107"/>
  <c r="T16" i="107"/>
  <c r="Z16" i="107" s="1"/>
  <c r="R16" i="107"/>
  <c r="P16" i="107"/>
  <c r="X16" i="107" s="1"/>
  <c r="H16" i="107"/>
  <c r="L16" i="107" s="1"/>
  <c r="N16" i="107" s="1"/>
  <c r="D16" i="107"/>
  <c r="X14" i="107"/>
  <c r="Z14" i="107" s="1"/>
  <c r="T14" i="107"/>
  <c r="P14" i="107"/>
  <c r="N14" i="107"/>
  <c r="H14" i="107"/>
  <c r="L14" i="107" s="1"/>
  <c r="D14" i="107"/>
  <c r="B14" i="107"/>
  <c r="T13" i="107"/>
  <c r="T12" i="107" s="1"/>
  <c r="V26" i="107" s="1"/>
  <c r="P13" i="107"/>
  <c r="H13" i="107"/>
  <c r="H12" i="107" s="1"/>
  <c r="J56" i="107" s="1"/>
  <c r="D13" i="107"/>
  <c r="B13" i="107"/>
  <c r="P12" i="107"/>
  <c r="R46" i="107" s="1"/>
  <c r="D6" i="107"/>
  <c r="D4" i="107"/>
  <c r="X76" i="105"/>
  <c r="Z76" i="105" s="1"/>
  <c r="L76" i="105"/>
  <c r="N76" i="105" s="1"/>
  <c r="Z72" i="105"/>
  <c r="T72" i="105"/>
  <c r="X72" i="105" s="1"/>
  <c r="P72" i="105"/>
  <c r="H72" i="105"/>
  <c r="N72" i="105" s="1"/>
  <c r="D72" i="105"/>
  <c r="L72" i="105" s="1"/>
  <c r="Z70" i="105"/>
  <c r="X70" i="105"/>
  <c r="L70" i="105"/>
  <c r="N70" i="105" s="1"/>
  <c r="B70" i="105"/>
  <c r="X69" i="105"/>
  <c r="T69" i="105"/>
  <c r="P69" i="105"/>
  <c r="H69" i="105"/>
  <c r="D69" i="105"/>
  <c r="L69" i="105" s="1"/>
  <c r="N69" i="105" s="1"/>
  <c r="B69" i="105"/>
  <c r="Z68" i="105"/>
  <c r="X68" i="105"/>
  <c r="L68" i="105"/>
  <c r="N68" i="105" s="1"/>
  <c r="B68" i="105"/>
  <c r="T67" i="105"/>
  <c r="P67" i="105"/>
  <c r="X67" i="105" s="1"/>
  <c r="N67" i="105"/>
  <c r="L67" i="105"/>
  <c r="H67" i="105"/>
  <c r="D67" i="105"/>
  <c r="B67" i="105"/>
  <c r="X66" i="105"/>
  <c r="Z66" i="105" s="1"/>
  <c r="N66" i="105"/>
  <c r="L66" i="105"/>
  <c r="B66" i="105"/>
  <c r="T65" i="105"/>
  <c r="P65" i="105"/>
  <c r="X65" i="105" s="1"/>
  <c r="Z65" i="105" s="1"/>
  <c r="L65" i="105"/>
  <c r="N65" i="105" s="1"/>
  <c r="H65" i="105"/>
  <c r="D65" i="105"/>
  <c r="B65" i="105"/>
  <c r="X64" i="105"/>
  <c r="Z64" i="105" s="1"/>
  <c r="N64" i="105"/>
  <c r="L64" i="105"/>
  <c r="B64" i="105"/>
  <c r="Z63" i="105"/>
  <c r="X63" i="105"/>
  <c r="N63" i="105"/>
  <c r="L63" i="105"/>
  <c r="B63" i="105"/>
  <c r="Z62" i="105"/>
  <c r="X62" i="105"/>
  <c r="L62" i="105"/>
  <c r="N62" i="105" s="1"/>
  <c r="B62" i="105"/>
  <c r="X61" i="105"/>
  <c r="Z61" i="105" s="1"/>
  <c r="N61" i="105"/>
  <c r="L61" i="105"/>
  <c r="B61" i="105"/>
  <c r="X60" i="105"/>
  <c r="Z60" i="105" s="1"/>
  <c r="N60" i="105"/>
  <c r="L60" i="105"/>
  <c r="B60" i="105"/>
  <c r="T59" i="105"/>
  <c r="P59" i="105"/>
  <c r="X59" i="105" s="1"/>
  <c r="Z59" i="105" s="1"/>
  <c r="L59" i="105"/>
  <c r="H59" i="105"/>
  <c r="D59" i="105"/>
  <c r="B59" i="105"/>
  <c r="X58" i="105"/>
  <c r="Z58" i="105" s="1"/>
  <c r="L58" i="105"/>
  <c r="N58" i="105" s="1"/>
  <c r="B58" i="105"/>
  <c r="X57" i="105"/>
  <c r="Z57" i="105" s="1"/>
  <c r="N57" i="105"/>
  <c r="L57" i="105"/>
  <c r="B57" i="105"/>
  <c r="Z56" i="105"/>
  <c r="X56" i="105"/>
  <c r="L56" i="105"/>
  <c r="N56" i="105" s="1"/>
  <c r="B56" i="105"/>
  <c r="T55" i="105"/>
  <c r="P55" i="105"/>
  <c r="X55" i="105" s="1"/>
  <c r="L55" i="105"/>
  <c r="N55" i="105" s="1"/>
  <c r="H55" i="105"/>
  <c r="D55" i="105"/>
  <c r="B55" i="105"/>
  <c r="X54" i="105"/>
  <c r="Z54" i="105" s="1"/>
  <c r="N54" i="105"/>
  <c r="L54" i="105"/>
  <c r="B54" i="105"/>
  <c r="T53" i="105"/>
  <c r="P53" i="105"/>
  <c r="X53" i="105" s="1"/>
  <c r="Z53" i="105" s="1"/>
  <c r="L53" i="105"/>
  <c r="H53" i="105"/>
  <c r="N53" i="105" s="1"/>
  <c r="D53" i="105"/>
  <c r="B53" i="105"/>
  <c r="X52" i="105"/>
  <c r="Z52" i="105" s="1"/>
  <c r="N52" i="105"/>
  <c r="L52" i="105"/>
  <c r="B52" i="105"/>
  <c r="T51" i="105"/>
  <c r="X51" i="105" s="1"/>
  <c r="Z51" i="105" s="1"/>
  <c r="P51" i="105"/>
  <c r="L51" i="105"/>
  <c r="H51" i="105"/>
  <c r="D51" i="105"/>
  <c r="B51" i="105"/>
  <c r="X50" i="105"/>
  <c r="Z50" i="105" s="1"/>
  <c r="L50" i="105"/>
  <c r="N50" i="105" s="1"/>
  <c r="B50" i="105"/>
  <c r="X49" i="105"/>
  <c r="Z49" i="105" s="1"/>
  <c r="T49" i="105"/>
  <c r="P49" i="105"/>
  <c r="H49" i="105"/>
  <c r="D49" i="105"/>
  <c r="L49" i="105" s="1"/>
  <c r="B49" i="105"/>
  <c r="X48" i="105"/>
  <c r="Z48" i="105" s="1"/>
  <c r="L48" i="105"/>
  <c r="N48" i="105" s="1"/>
  <c r="B48" i="105"/>
  <c r="X47" i="105"/>
  <c r="T47" i="105"/>
  <c r="P47" i="105"/>
  <c r="H47" i="105"/>
  <c r="D47" i="105"/>
  <c r="L47" i="105" s="1"/>
  <c r="N47" i="105" s="1"/>
  <c r="B47" i="105"/>
  <c r="Z46" i="105"/>
  <c r="X46" i="105"/>
  <c r="L46" i="105"/>
  <c r="N46" i="105" s="1"/>
  <c r="B46" i="105"/>
  <c r="T45" i="105"/>
  <c r="P45" i="105"/>
  <c r="H45" i="105"/>
  <c r="L45" i="105" s="1"/>
  <c r="N45" i="105" s="1"/>
  <c r="D45" i="105"/>
  <c r="B45" i="105"/>
  <c r="Z44" i="105"/>
  <c r="X44" i="105"/>
  <c r="L44" i="105"/>
  <c r="N44" i="105" s="1"/>
  <c r="B44" i="105"/>
  <c r="T43" i="105"/>
  <c r="P43" i="105"/>
  <c r="L43" i="105"/>
  <c r="N43" i="105" s="1"/>
  <c r="H43" i="105"/>
  <c r="D43" i="105"/>
  <c r="B43" i="105"/>
  <c r="X42" i="105"/>
  <c r="Z42" i="105" s="1"/>
  <c r="N42" i="105"/>
  <c r="L42" i="105"/>
  <c r="B42" i="105"/>
  <c r="T41" i="105"/>
  <c r="P41" i="105"/>
  <c r="X41" i="105" s="1"/>
  <c r="Z41" i="105" s="1"/>
  <c r="L41" i="105"/>
  <c r="H41" i="105"/>
  <c r="D41" i="105"/>
  <c r="B41" i="105"/>
  <c r="X40" i="105"/>
  <c r="Z40" i="105" s="1"/>
  <c r="N40" i="105"/>
  <c r="L40" i="105"/>
  <c r="B40" i="105"/>
  <c r="Z39" i="105"/>
  <c r="X39" i="105"/>
  <c r="N39" i="105"/>
  <c r="L39" i="105"/>
  <c r="B39" i="105"/>
  <c r="Z38" i="105"/>
  <c r="X38" i="105"/>
  <c r="L38" i="105"/>
  <c r="N38" i="105" s="1"/>
  <c r="B38" i="105"/>
  <c r="X37" i="105"/>
  <c r="Z37" i="105" s="1"/>
  <c r="L37" i="105"/>
  <c r="N37" i="105" s="1"/>
  <c r="B37" i="105"/>
  <c r="X36" i="105"/>
  <c r="Z36" i="105" s="1"/>
  <c r="N36" i="105"/>
  <c r="L36" i="105"/>
  <c r="B36" i="105"/>
  <c r="Z35" i="105"/>
  <c r="X35" i="105"/>
  <c r="N35" i="105"/>
  <c r="L35" i="105"/>
  <c r="B35" i="105"/>
  <c r="T34" i="105"/>
  <c r="P34" i="105"/>
  <c r="H34" i="105"/>
  <c r="N34" i="105" s="1"/>
  <c r="F34" i="105"/>
  <c r="D34" i="105"/>
  <c r="L34" i="105" s="1"/>
  <c r="B34" i="105"/>
  <c r="X33" i="105"/>
  <c r="Z33" i="105" s="1"/>
  <c r="N33" i="105"/>
  <c r="L33" i="105"/>
  <c r="B33" i="105"/>
  <c r="X32" i="105"/>
  <c r="Z32" i="105" s="1"/>
  <c r="L32" i="105"/>
  <c r="N32" i="105" s="1"/>
  <c r="B32" i="105"/>
  <c r="Z31" i="105"/>
  <c r="X31" i="105"/>
  <c r="N31" i="105"/>
  <c r="L31" i="105"/>
  <c r="B31" i="105"/>
  <c r="X30" i="105"/>
  <c r="Z30" i="105" s="1"/>
  <c r="L30" i="105"/>
  <c r="N30" i="105" s="1"/>
  <c r="B30" i="105"/>
  <c r="X29" i="105"/>
  <c r="Z29" i="105" s="1"/>
  <c r="N29" i="105"/>
  <c r="L29" i="105"/>
  <c r="B29" i="105"/>
  <c r="Z28" i="105"/>
  <c r="X28" i="105"/>
  <c r="L28" i="105"/>
  <c r="N28" i="105" s="1"/>
  <c r="B28" i="105"/>
  <c r="Z27" i="105"/>
  <c r="X27" i="105"/>
  <c r="L27" i="105"/>
  <c r="N27" i="105" s="1"/>
  <c r="B27" i="105"/>
  <c r="X26" i="105"/>
  <c r="Z26" i="105" s="1"/>
  <c r="L26" i="105"/>
  <c r="N26" i="105" s="1"/>
  <c r="B26" i="105"/>
  <c r="Z25" i="105"/>
  <c r="X25" i="105"/>
  <c r="N25" i="105"/>
  <c r="L25" i="105"/>
  <c r="B25" i="105"/>
  <c r="T24" i="105"/>
  <c r="P24" i="105"/>
  <c r="X24" i="105" s="1"/>
  <c r="Z24" i="105" s="1"/>
  <c r="L24" i="105"/>
  <c r="H24" i="105"/>
  <c r="D24" i="105"/>
  <c r="B24" i="105"/>
  <c r="T23" i="105"/>
  <c r="X23" i="105" s="1"/>
  <c r="Z23" i="105" s="1"/>
  <c r="P23" i="105"/>
  <c r="H23" i="105"/>
  <c r="D23" i="105"/>
  <c r="L23" i="105" s="1"/>
  <c r="N23" i="105" s="1"/>
  <c r="X19" i="105"/>
  <c r="Z19" i="105" s="1"/>
  <c r="N19" i="105"/>
  <c r="L19" i="105"/>
  <c r="B19" i="105"/>
  <c r="X18" i="105"/>
  <c r="Z18" i="105" s="1"/>
  <c r="L18" i="105"/>
  <c r="N18" i="105" s="1"/>
  <c r="B18" i="105"/>
  <c r="T17" i="105"/>
  <c r="P17" i="105"/>
  <c r="X17" i="105" s="1"/>
  <c r="Z17" i="105" s="1"/>
  <c r="H17" i="105"/>
  <c r="D17" i="105"/>
  <c r="T15" i="105"/>
  <c r="X15" i="105" s="1"/>
  <c r="Z15" i="105" s="1"/>
  <c r="P15" i="105"/>
  <c r="L15" i="105"/>
  <c r="N15" i="105" s="1"/>
  <c r="H15" i="105"/>
  <c r="D15" i="105"/>
  <c r="B15" i="105"/>
  <c r="Z14" i="105"/>
  <c r="T14" i="105"/>
  <c r="P14" i="105"/>
  <c r="X14" i="105" s="1"/>
  <c r="L14" i="105"/>
  <c r="N14" i="105" s="1"/>
  <c r="H14" i="105"/>
  <c r="D14" i="105"/>
  <c r="B14" i="105"/>
  <c r="T13" i="105"/>
  <c r="P13" i="105"/>
  <c r="H13" i="105"/>
  <c r="D13" i="105"/>
  <c r="L13" i="105" s="1"/>
  <c r="B13" i="105"/>
  <c r="T12" i="105"/>
  <c r="V18" i="105" s="1"/>
  <c r="H12" i="105"/>
  <c r="D12" i="105"/>
  <c r="F72" i="105" s="1"/>
  <c r="D6" i="105"/>
  <c r="D4" i="105"/>
  <c r="R38" i="104"/>
  <c r="J38" i="104"/>
  <c r="R35" i="104"/>
  <c r="J35" i="104"/>
  <c r="Z33" i="104"/>
  <c r="X33" i="104"/>
  <c r="N33" i="104"/>
  <c r="L33" i="104"/>
  <c r="J31" i="104"/>
  <c r="Z29" i="104"/>
  <c r="T29" i="104"/>
  <c r="P29" i="104"/>
  <c r="X29" i="104" s="1"/>
  <c r="N29" i="104"/>
  <c r="J29" i="104"/>
  <c r="H29" i="104"/>
  <c r="D29" i="104"/>
  <c r="L29" i="104" s="1"/>
  <c r="Z27" i="104"/>
  <c r="X27" i="104"/>
  <c r="R27" i="104"/>
  <c r="L27" i="104"/>
  <c r="N27" i="104" s="1"/>
  <c r="B27" i="104"/>
  <c r="T26" i="104"/>
  <c r="R26" i="104"/>
  <c r="P26" i="104"/>
  <c r="J26" i="104"/>
  <c r="H26" i="104"/>
  <c r="D26" i="104"/>
  <c r="L26" i="104" s="1"/>
  <c r="N26" i="104" s="1"/>
  <c r="B26" i="104"/>
  <c r="X25" i="104"/>
  <c r="Z25" i="104" s="1"/>
  <c r="V25" i="104"/>
  <c r="R25" i="104"/>
  <c r="L25" i="104"/>
  <c r="N25" i="104" s="1"/>
  <c r="B25" i="104"/>
  <c r="T24" i="104"/>
  <c r="P24" i="104"/>
  <c r="X24" i="104" s="1"/>
  <c r="Z24" i="104" s="1"/>
  <c r="J24" i="104"/>
  <c r="H24" i="104"/>
  <c r="D24" i="104"/>
  <c r="L24" i="104" s="1"/>
  <c r="N24" i="104" s="1"/>
  <c r="B24" i="104"/>
  <c r="Z23" i="104"/>
  <c r="X23" i="104"/>
  <c r="N23" i="104"/>
  <c r="L23" i="104"/>
  <c r="B23" i="104"/>
  <c r="T22" i="104"/>
  <c r="P22" i="104"/>
  <c r="L22" i="104"/>
  <c r="N22" i="104" s="1"/>
  <c r="J22" i="104"/>
  <c r="H22" i="104"/>
  <c r="D22" i="104"/>
  <c r="B22" i="104"/>
  <c r="X21" i="104"/>
  <c r="Z21" i="104" s="1"/>
  <c r="L21" i="104"/>
  <c r="N21" i="104" s="1"/>
  <c r="J21" i="104"/>
  <c r="B21" i="104"/>
  <c r="Z20" i="104"/>
  <c r="X20" i="104"/>
  <c r="L20" i="104"/>
  <c r="N20" i="104" s="1"/>
  <c r="B20" i="104"/>
  <c r="Z19" i="104"/>
  <c r="T19" i="104"/>
  <c r="P19" i="104"/>
  <c r="X19" i="104" s="1"/>
  <c r="J19" i="104"/>
  <c r="H19" i="104"/>
  <c r="D19" i="104"/>
  <c r="L19" i="104" s="1"/>
  <c r="N19" i="104" s="1"/>
  <c r="B19" i="104"/>
  <c r="T18" i="104"/>
  <c r="R18" i="104"/>
  <c r="P18" i="104"/>
  <c r="X18" i="104" s="1"/>
  <c r="Z18" i="104" s="1"/>
  <c r="H18" i="104"/>
  <c r="D18" i="104"/>
  <c r="L18" i="104" s="1"/>
  <c r="N18" i="104" s="1"/>
  <c r="R16" i="104"/>
  <c r="Z14" i="104"/>
  <c r="T14" i="104"/>
  <c r="R14" i="104"/>
  <c r="P14" i="104"/>
  <c r="X14" i="104" s="1"/>
  <c r="N14" i="104"/>
  <c r="H14" i="104"/>
  <c r="D14" i="104"/>
  <c r="T12" i="104"/>
  <c r="Z12" i="104" s="1"/>
  <c r="P12" i="104"/>
  <c r="X12" i="104" s="1"/>
  <c r="N12" i="104"/>
  <c r="H12" i="104"/>
  <c r="J23" i="104" s="1"/>
  <c r="D12" i="104"/>
  <c r="F21" i="104" s="1"/>
  <c r="D6" i="104"/>
  <c r="D4" i="104"/>
  <c r="X75" i="103"/>
  <c r="Z75" i="103" s="1"/>
  <c r="N75" i="103"/>
  <c r="L75" i="103"/>
  <c r="Z71" i="103"/>
  <c r="T71" i="103"/>
  <c r="P71" i="103"/>
  <c r="X71" i="103" s="1"/>
  <c r="N71" i="103"/>
  <c r="H71" i="103"/>
  <c r="D71" i="103"/>
  <c r="L71" i="103" s="1"/>
  <c r="X69" i="103"/>
  <c r="Z69" i="103" s="1"/>
  <c r="L69" i="103"/>
  <c r="N69" i="103" s="1"/>
  <c r="B69" i="103"/>
  <c r="X68" i="103"/>
  <c r="T68" i="103"/>
  <c r="Z68" i="103" s="1"/>
  <c r="P68" i="103"/>
  <c r="J68" i="103"/>
  <c r="H68" i="103"/>
  <c r="N68" i="103" s="1"/>
  <c r="D68" i="103"/>
  <c r="L68" i="103" s="1"/>
  <c r="B68" i="103"/>
  <c r="Z67" i="103"/>
  <c r="X67" i="103"/>
  <c r="L67" i="103"/>
  <c r="N67" i="103" s="1"/>
  <c r="B67" i="103"/>
  <c r="X66" i="103"/>
  <c r="T66" i="103"/>
  <c r="Z66" i="103" s="1"/>
  <c r="P66" i="103"/>
  <c r="H66" i="103"/>
  <c r="D66" i="103"/>
  <c r="L66" i="103" s="1"/>
  <c r="N66" i="103" s="1"/>
  <c r="B66" i="103"/>
  <c r="Z65" i="103"/>
  <c r="X65" i="103"/>
  <c r="L65" i="103"/>
  <c r="N65" i="103" s="1"/>
  <c r="B65" i="103"/>
  <c r="T64" i="103"/>
  <c r="P64" i="103"/>
  <c r="X64" i="103" s="1"/>
  <c r="Z64" i="103" s="1"/>
  <c r="H64" i="103"/>
  <c r="D64" i="103"/>
  <c r="L64" i="103" s="1"/>
  <c r="N64" i="103" s="1"/>
  <c r="B64" i="103"/>
  <c r="Z63" i="103"/>
  <c r="X63" i="103"/>
  <c r="N63" i="103"/>
  <c r="L63" i="103"/>
  <c r="B63" i="103"/>
  <c r="X62" i="103"/>
  <c r="Z62" i="103" s="1"/>
  <c r="V62" i="103"/>
  <c r="L62" i="103"/>
  <c r="N62" i="103" s="1"/>
  <c r="B62" i="103"/>
  <c r="X61" i="103"/>
  <c r="Z61" i="103" s="1"/>
  <c r="L61" i="103"/>
  <c r="N61" i="103" s="1"/>
  <c r="B61" i="103"/>
  <c r="X60" i="103"/>
  <c r="Z60" i="103" s="1"/>
  <c r="N60" i="103"/>
  <c r="L60" i="103"/>
  <c r="B60" i="103"/>
  <c r="Z59" i="103"/>
  <c r="X59" i="103"/>
  <c r="N59" i="103"/>
  <c r="L59" i="103"/>
  <c r="B59" i="103"/>
  <c r="Z58" i="103"/>
  <c r="X58" i="103"/>
  <c r="V58" i="103"/>
  <c r="N58" i="103"/>
  <c r="L58" i="103"/>
  <c r="B58" i="103"/>
  <c r="T57" i="103"/>
  <c r="P57" i="103"/>
  <c r="X57" i="103" s="1"/>
  <c r="Z57" i="103" s="1"/>
  <c r="H57" i="103"/>
  <c r="D57" i="103"/>
  <c r="L57" i="103" s="1"/>
  <c r="N57" i="103" s="1"/>
  <c r="B57" i="103"/>
  <c r="Z56" i="103"/>
  <c r="X56" i="103"/>
  <c r="N56" i="103"/>
  <c r="L56" i="103"/>
  <c r="B56" i="103"/>
  <c r="Z55" i="103"/>
  <c r="X55" i="103"/>
  <c r="L55" i="103"/>
  <c r="N55" i="103" s="1"/>
  <c r="B55" i="103"/>
  <c r="X54" i="103"/>
  <c r="Z54" i="103" s="1"/>
  <c r="L54" i="103"/>
  <c r="N54" i="103" s="1"/>
  <c r="B54" i="103"/>
  <c r="X53" i="103"/>
  <c r="Z53" i="103" s="1"/>
  <c r="T53" i="103"/>
  <c r="P53" i="103"/>
  <c r="H53" i="103"/>
  <c r="D53" i="103"/>
  <c r="L53" i="103" s="1"/>
  <c r="B53" i="103"/>
  <c r="Z52" i="103"/>
  <c r="X52" i="103"/>
  <c r="L52" i="103"/>
  <c r="N52" i="103" s="1"/>
  <c r="B52" i="103"/>
  <c r="T51" i="103"/>
  <c r="P51" i="103"/>
  <c r="H51" i="103"/>
  <c r="D51" i="103"/>
  <c r="L51" i="103" s="1"/>
  <c r="N51" i="103" s="1"/>
  <c r="B51" i="103"/>
  <c r="X50" i="103"/>
  <c r="Z50" i="103" s="1"/>
  <c r="V50" i="103"/>
  <c r="L50" i="103"/>
  <c r="N50" i="103" s="1"/>
  <c r="B50" i="103"/>
  <c r="T49" i="103"/>
  <c r="P49" i="103"/>
  <c r="X49" i="103" s="1"/>
  <c r="H49" i="103"/>
  <c r="D49" i="103"/>
  <c r="L49" i="103" s="1"/>
  <c r="N49" i="103" s="1"/>
  <c r="B49" i="103"/>
  <c r="Z48" i="103"/>
  <c r="X48" i="103"/>
  <c r="N48" i="103"/>
  <c r="L48" i="103"/>
  <c r="B48" i="103"/>
  <c r="T47" i="103"/>
  <c r="P47" i="103"/>
  <c r="X47" i="103" s="1"/>
  <c r="L47" i="103"/>
  <c r="N47" i="103" s="1"/>
  <c r="H47" i="103"/>
  <c r="D47" i="103"/>
  <c r="B47" i="103"/>
  <c r="X46" i="103"/>
  <c r="Z46" i="103" s="1"/>
  <c r="L46" i="103"/>
  <c r="N46" i="103" s="1"/>
  <c r="J46" i="103"/>
  <c r="B46" i="103"/>
  <c r="T45" i="103"/>
  <c r="P45" i="103"/>
  <c r="X45" i="103" s="1"/>
  <c r="Z45" i="103" s="1"/>
  <c r="H45" i="103"/>
  <c r="D45" i="103"/>
  <c r="B45" i="103"/>
  <c r="X44" i="103"/>
  <c r="Z44" i="103" s="1"/>
  <c r="N44" i="103"/>
  <c r="L44" i="103"/>
  <c r="B44" i="103"/>
  <c r="V43" i="103"/>
  <c r="T43" i="103"/>
  <c r="P43" i="103"/>
  <c r="X43" i="103" s="1"/>
  <c r="Z43" i="103" s="1"/>
  <c r="H43" i="103"/>
  <c r="D43" i="103"/>
  <c r="L43" i="103" s="1"/>
  <c r="N43" i="103" s="1"/>
  <c r="B43" i="103"/>
  <c r="X42" i="103"/>
  <c r="Z42" i="103" s="1"/>
  <c r="L42" i="103"/>
  <c r="N42" i="103" s="1"/>
  <c r="B42" i="103"/>
  <c r="X41" i="103"/>
  <c r="Z41" i="103" s="1"/>
  <c r="T41" i="103"/>
  <c r="P41" i="103"/>
  <c r="H41" i="103"/>
  <c r="D41" i="103"/>
  <c r="L41" i="103" s="1"/>
  <c r="B41" i="103"/>
  <c r="Z40" i="103"/>
  <c r="X40" i="103"/>
  <c r="L40" i="103"/>
  <c r="N40" i="103" s="1"/>
  <c r="B40" i="103"/>
  <c r="X39" i="103"/>
  <c r="Z39" i="103" s="1"/>
  <c r="N39" i="103"/>
  <c r="L39" i="103"/>
  <c r="B39" i="103"/>
  <c r="X38" i="103"/>
  <c r="Z38" i="103" s="1"/>
  <c r="V38" i="103"/>
  <c r="N38" i="103"/>
  <c r="L38" i="103"/>
  <c r="B38" i="103"/>
  <c r="Z37" i="103"/>
  <c r="X37" i="103"/>
  <c r="V37" i="103"/>
  <c r="L37" i="103"/>
  <c r="N37" i="103" s="1"/>
  <c r="B37" i="103"/>
  <c r="Z36" i="103"/>
  <c r="X36" i="103"/>
  <c r="L36" i="103"/>
  <c r="N36" i="103" s="1"/>
  <c r="B36" i="103"/>
  <c r="X35" i="103"/>
  <c r="Z35" i="103" s="1"/>
  <c r="N35" i="103"/>
  <c r="L35" i="103"/>
  <c r="B35" i="103"/>
  <c r="X34" i="103"/>
  <c r="Z34" i="103" s="1"/>
  <c r="V34" i="103"/>
  <c r="T34" i="103"/>
  <c r="P34" i="103"/>
  <c r="H34" i="103"/>
  <c r="D34" i="103"/>
  <c r="L34" i="103" s="1"/>
  <c r="N34" i="103" s="1"/>
  <c r="B34" i="103"/>
  <c r="X33" i="103"/>
  <c r="Z33" i="103" s="1"/>
  <c r="L33" i="103"/>
  <c r="N33" i="103" s="1"/>
  <c r="B33" i="103"/>
  <c r="X32" i="103"/>
  <c r="Z32" i="103" s="1"/>
  <c r="N32" i="103"/>
  <c r="L32" i="103"/>
  <c r="B32" i="103"/>
  <c r="Z31" i="103"/>
  <c r="X31" i="103"/>
  <c r="V31" i="103"/>
  <c r="N31" i="103"/>
  <c r="L31" i="103"/>
  <c r="B31" i="103"/>
  <c r="X30" i="103"/>
  <c r="Z30" i="103" s="1"/>
  <c r="V30" i="103"/>
  <c r="L30" i="103"/>
  <c r="N30" i="103" s="1"/>
  <c r="B30" i="103"/>
  <c r="X29" i="103"/>
  <c r="Z29" i="103" s="1"/>
  <c r="L29" i="103"/>
  <c r="N29" i="103" s="1"/>
  <c r="B29" i="103"/>
  <c r="X28" i="103"/>
  <c r="Z28" i="103" s="1"/>
  <c r="N28" i="103"/>
  <c r="L28" i="103"/>
  <c r="B28" i="103"/>
  <c r="Z27" i="103"/>
  <c r="X27" i="103"/>
  <c r="V27" i="103"/>
  <c r="N27" i="103"/>
  <c r="L27" i="103"/>
  <c r="B27" i="103"/>
  <c r="X26" i="103"/>
  <c r="Z26" i="103" s="1"/>
  <c r="V26" i="103"/>
  <c r="L26" i="103"/>
  <c r="N26" i="103" s="1"/>
  <c r="B26" i="103"/>
  <c r="X25" i="103"/>
  <c r="Z25" i="103" s="1"/>
  <c r="L25" i="103"/>
  <c r="N25" i="103" s="1"/>
  <c r="B25" i="103"/>
  <c r="X24" i="103"/>
  <c r="T24" i="103"/>
  <c r="Z24" i="103" s="1"/>
  <c r="P24" i="103"/>
  <c r="H24" i="103"/>
  <c r="D24" i="103"/>
  <c r="L24" i="103" s="1"/>
  <c r="B24" i="103"/>
  <c r="T23" i="103"/>
  <c r="P23" i="103"/>
  <c r="L23" i="103"/>
  <c r="H23" i="103"/>
  <c r="N23" i="103" s="1"/>
  <c r="D23" i="103"/>
  <c r="T21" i="103"/>
  <c r="Z19" i="103"/>
  <c r="X19" i="103"/>
  <c r="L19" i="103"/>
  <c r="N19" i="103" s="1"/>
  <c r="B19" i="103"/>
  <c r="X18" i="103"/>
  <c r="Z18" i="103" s="1"/>
  <c r="L18" i="103"/>
  <c r="N18" i="103" s="1"/>
  <c r="B18" i="103"/>
  <c r="X17" i="103"/>
  <c r="T17" i="103"/>
  <c r="P17" i="103"/>
  <c r="H17" i="103"/>
  <c r="D17" i="103"/>
  <c r="L17" i="103" s="1"/>
  <c r="X15" i="103"/>
  <c r="T15" i="103"/>
  <c r="Z15" i="103" s="1"/>
  <c r="P15" i="103"/>
  <c r="H15" i="103"/>
  <c r="L15" i="103" s="1"/>
  <c r="N15" i="103" s="1"/>
  <c r="D15" i="103"/>
  <c r="B15" i="103"/>
  <c r="T14" i="103"/>
  <c r="P14" i="103"/>
  <c r="X14" i="103" s="1"/>
  <c r="Z14" i="103" s="1"/>
  <c r="N14" i="103"/>
  <c r="H14" i="103"/>
  <c r="D14" i="103"/>
  <c r="L14" i="103" s="1"/>
  <c r="B14" i="103"/>
  <c r="T13" i="103"/>
  <c r="P13" i="103"/>
  <c r="H13" i="103"/>
  <c r="D13" i="103"/>
  <c r="B13" i="103"/>
  <c r="T12" i="103"/>
  <c r="H12" i="103"/>
  <c r="D6" i="103"/>
  <c r="D4" i="103"/>
  <c r="J49" i="102"/>
  <c r="J46" i="102"/>
  <c r="Z44" i="102"/>
  <c r="X44" i="102"/>
  <c r="R44" i="102"/>
  <c r="N44" i="102"/>
  <c r="L44" i="102"/>
  <c r="R42" i="102"/>
  <c r="Z40" i="102"/>
  <c r="T40" i="102"/>
  <c r="R40" i="102"/>
  <c r="P40" i="102"/>
  <c r="X40" i="102" s="1"/>
  <c r="H40" i="102"/>
  <c r="N40" i="102" s="1"/>
  <c r="D40" i="102"/>
  <c r="Z38" i="102"/>
  <c r="X38" i="102"/>
  <c r="N38" i="102"/>
  <c r="L38" i="102"/>
  <c r="B38" i="102"/>
  <c r="T37" i="102"/>
  <c r="P37" i="102"/>
  <c r="X37" i="102" s="1"/>
  <c r="Z37" i="102" s="1"/>
  <c r="L37" i="102"/>
  <c r="N37" i="102" s="1"/>
  <c r="H37" i="102"/>
  <c r="D37" i="102"/>
  <c r="B37" i="102"/>
  <c r="X36" i="102"/>
  <c r="Z36" i="102" s="1"/>
  <c r="V36" i="102"/>
  <c r="N36" i="102"/>
  <c r="L36" i="102"/>
  <c r="J36" i="102"/>
  <c r="B36" i="102"/>
  <c r="V35" i="102"/>
  <c r="T35" i="102"/>
  <c r="P35" i="102"/>
  <c r="X35" i="102" s="1"/>
  <c r="Z35" i="102" s="1"/>
  <c r="H35" i="102"/>
  <c r="D35" i="102"/>
  <c r="B35" i="102"/>
  <c r="X34" i="102"/>
  <c r="Z34" i="102" s="1"/>
  <c r="N34" i="102"/>
  <c r="L34" i="102"/>
  <c r="B34" i="102"/>
  <c r="Z33" i="102"/>
  <c r="X33" i="102"/>
  <c r="V33" i="102"/>
  <c r="N33" i="102"/>
  <c r="L33" i="102"/>
  <c r="B33" i="102"/>
  <c r="V32" i="102"/>
  <c r="T32" i="102"/>
  <c r="Z32" i="102" s="1"/>
  <c r="P32" i="102"/>
  <c r="X32" i="102" s="1"/>
  <c r="L32" i="102"/>
  <c r="N32" i="102" s="1"/>
  <c r="H32" i="102"/>
  <c r="D32" i="102"/>
  <c r="B32" i="102"/>
  <c r="X31" i="102"/>
  <c r="Z31" i="102" s="1"/>
  <c r="N31" i="102"/>
  <c r="L31" i="102"/>
  <c r="J31" i="102"/>
  <c r="B31" i="102"/>
  <c r="Z30" i="102"/>
  <c r="T30" i="102"/>
  <c r="R30" i="102"/>
  <c r="P30" i="102"/>
  <c r="X30" i="102" s="1"/>
  <c r="J30" i="102"/>
  <c r="H30" i="102"/>
  <c r="D30" i="102"/>
  <c r="B30" i="102"/>
  <c r="X29" i="102"/>
  <c r="Z29" i="102" s="1"/>
  <c r="R29" i="102"/>
  <c r="N29" i="102"/>
  <c r="L29" i="102"/>
  <c r="J29" i="102"/>
  <c r="B29" i="102"/>
  <c r="X28" i="102"/>
  <c r="V28" i="102"/>
  <c r="T28" i="102"/>
  <c r="Z28" i="102" s="1"/>
  <c r="P28" i="102"/>
  <c r="H28" i="102"/>
  <c r="D28" i="102"/>
  <c r="B28" i="102"/>
  <c r="X27" i="102"/>
  <c r="Z27" i="102" s="1"/>
  <c r="L27" i="102"/>
  <c r="N27" i="102" s="1"/>
  <c r="J27" i="102"/>
  <c r="B27" i="102"/>
  <c r="X26" i="102"/>
  <c r="Z26" i="102" s="1"/>
  <c r="N26" i="102"/>
  <c r="L26" i="102"/>
  <c r="J26" i="102"/>
  <c r="B26" i="102"/>
  <c r="Z25" i="102"/>
  <c r="X25" i="102"/>
  <c r="V25" i="102"/>
  <c r="N25" i="102"/>
  <c r="L25" i="102"/>
  <c r="J25" i="102"/>
  <c r="B25" i="102"/>
  <c r="Z24" i="102"/>
  <c r="X24" i="102"/>
  <c r="V24" i="102"/>
  <c r="L24" i="102"/>
  <c r="N24" i="102" s="1"/>
  <c r="J24" i="102"/>
  <c r="B24" i="102"/>
  <c r="X23" i="102"/>
  <c r="Z23" i="102" s="1"/>
  <c r="L23" i="102"/>
  <c r="N23" i="102" s="1"/>
  <c r="J23" i="102"/>
  <c r="B23" i="102"/>
  <c r="X22" i="102"/>
  <c r="Z22" i="102" s="1"/>
  <c r="R22" i="102"/>
  <c r="N22" i="102"/>
  <c r="L22" i="102"/>
  <c r="J22" i="102"/>
  <c r="B22" i="102"/>
  <c r="Z21" i="102"/>
  <c r="X21" i="102"/>
  <c r="V21" i="102"/>
  <c r="R21" i="102"/>
  <c r="N21" i="102"/>
  <c r="L21" i="102"/>
  <c r="J21" i="102"/>
  <c r="B21" i="102"/>
  <c r="Z20" i="102"/>
  <c r="X20" i="102"/>
  <c r="V20" i="102"/>
  <c r="R20" i="102"/>
  <c r="L20" i="102"/>
  <c r="N20" i="102" s="1"/>
  <c r="J20" i="102"/>
  <c r="F20" i="102"/>
  <c r="B20" i="102"/>
  <c r="X19" i="102"/>
  <c r="Z19" i="102" s="1"/>
  <c r="T19" i="102"/>
  <c r="P19" i="102"/>
  <c r="J19" i="102"/>
  <c r="H19" i="102"/>
  <c r="D19" i="102"/>
  <c r="L19" i="102" s="1"/>
  <c r="B19" i="102"/>
  <c r="Z18" i="102"/>
  <c r="T18" i="102"/>
  <c r="R18" i="102"/>
  <c r="P18" i="102"/>
  <c r="X18" i="102" s="1"/>
  <c r="J18" i="102"/>
  <c r="H18" i="102"/>
  <c r="D18" i="102"/>
  <c r="L18" i="102" s="1"/>
  <c r="R16" i="102"/>
  <c r="P16" i="102"/>
  <c r="J16" i="102"/>
  <c r="D16" i="102"/>
  <c r="Z14" i="102"/>
  <c r="T14" i="102"/>
  <c r="R14" i="102"/>
  <c r="P14" i="102"/>
  <c r="X14" i="102" s="1"/>
  <c r="J14" i="102"/>
  <c r="H14" i="102"/>
  <c r="N14" i="102" s="1"/>
  <c r="D14" i="102"/>
  <c r="L14" i="102" s="1"/>
  <c r="Z12" i="102"/>
  <c r="T12" i="102"/>
  <c r="V31" i="102" s="1"/>
  <c r="P12" i="102"/>
  <c r="R24" i="102" s="1"/>
  <c r="N12" i="102"/>
  <c r="L12" i="102"/>
  <c r="H12" i="102"/>
  <c r="J37" i="102" s="1"/>
  <c r="D12" i="102"/>
  <c r="F32" i="102" s="1"/>
  <c r="D6" i="102"/>
  <c r="D4" i="102"/>
  <c r="X64" i="101"/>
  <c r="Z64" i="101" s="1"/>
  <c r="V64" i="101"/>
  <c r="N64" i="101"/>
  <c r="L64" i="101"/>
  <c r="T60" i="101"/>
  <c r="P60" i="101"/>
  <c r="X60" i="101" s="1"/>
  <c r="H60" i="101"/>
  <c r="D60" i="101"/>
  <c r="B60" i="101"/>
  <c r="P59" i="101"/>
  <c r="X57" i="101"/>
  <c r="Z57" i="101" s="1"/>
  <c r="L57" i="101"/>
  <c r="N57" i="101" s="1"/>
  <c r="B57" i="101"/>
  <c r="T56" i="101"/>
  <c r="P56" i="101"/>
  <c r="X56" i="101" s="1"/>
  <c r="Z56" i="101" s="1"/>
  <c r="H56" i="101"/>
  <c r="D56" i="101"/>
  <c r="L56" i="101" s="1"/>
  <c r="B56" i="101"/>
  <c r="Z55" i="101"/>
  <c r="X55" i="101"/>
  <c r="L55" i="101"/>
  <c r="N55" i="101" s="1"/>
  <c r="B55" i="101"/>
  <c r="X54" i="101"/>
  <c r="T54" i="101"/>
  <c r="P54" i="101"/>
  <c r="H54" i="101"/>
  <c r="D54" i="101"/>
  <c r="L54" i="101" s="1"/>
  <c r="N54" i="101" s="1"/>
  <c r="B54" i="101"/>
  <c r="Z53" i="101"/>
  <c r="X53" i="101"/>
  <c r="L53" i="101"/>
  <c r="N53" i="101" s="1"/>
  <c r="B53" i="101"/>
  <c r="X52" i="101"/>
  <c r="Z52" i="101" s="1"/>
  <c r="L52" i="101"/>
  <c r="N52" i="101" s="1"/>
  <c r="B52" i="101"/>
  <c r="X51" i="101"/>
  <c r="T51" i="101"/>
  <c r="Z51" i="101" s="1"/>
  <c r="P51" i="101"/>
  <c r="H51" i="101"/>
  <c r="D51" i="101"/>
  <c r="L51" i="101" s="1"/>
  <c r="N51" i="101" s="1"/>
  <c r="B51" i="101"/>
  <c r="Z50" i="101"/>
  <c r="X50" i="101"/>
  <c r="L50" i="101"/>
  <c r="N50" i="101" s="1"/>
  <c r="F50" i="101"/>
  <c r="B50" i="101"/>
  <c r="X49" i="101"/>
  <c r="Z49" i="101" s="1"/>
  <c r="L49" i="101"/>
  <c r="N49" i="101" s="1"/>
  <c r="B49" i="101"/>
  <c r="X48" i="101"/>
  <c r="T48" i="101"/>
  <c r="Z48" i="101" s="1"/>
  <c r="P48" i="101"/>
  <c r="H48" i="101"/>
  <c r="D48" i="101"/>
  <c r="L48" i="101" s="1"/>
  <c r="N48" i="101" s="1"/>
  <c r="B48" i="101"/>
  <c r="Z47" i="101"/>
  <c r="X47" i="101"/>
  <c r="L47" i="101"/>
  <c r="N47" i="101" s="1"/>
  <c r="B47" i="101"/>
  <c r="T46" i="101"/>
  <c r="P46" i="101"/>
  <c r="H46" i="101"/>
  <c r="D46" i="101"/>
  <c r="L46" i="101" s="1"/>
  <c r="N46" i="101" s="1"/>
  <c r="B46" i="101"/>
  <c r="Z45" i="101"/>
  <c r="X45" i="101"/>
  <c r="L45" i="101"/>
  <c r="N45" i="101" s="1"/>
  <c r="B45" i="101"/>
  <c r="T44" i="101"/>
  <c r="P44" i="101"/>
  <c r="H44" i="101"/>
  <c r="D44" i="101"/>
  <c r="L44" i="101" s="1"/>
  <c r="N44" i="101" s="1"/>
  <c r="B44" i="101"/>
  <c r="Z43" i="101"/>
  <c r="X43" i="101"/>
  <c r="V43" i="101"/>
  <c r="N43" i="101"/>
  <c r="L43" i="101"/>
  <c r="B43" i="101"/>
  <c r="T42" i="101"/>
  <c r="P42" i="101"/>
  <c r="X42" i="101" s="1"/>
  <c r="L42" i="101"/>
  <c r="H42" i="101"/>
  <c r="N42" i="101" s="1"/>
  <c r="D42" i="101"/>
  <c r="B42" i="101"/>
  <c r="Z41" i="101"/>
  <c r="X41" i="101"/>
  <c r="N41" i="101"/>
  <c r="L41" i="101"/>
  <c r="B41" i="101"/>
  <c r="T40" i="101"/>
  <c r="P40" i="101"/>
  <c r="X40" i="101" s="1"/>
  <c r="Z40" i="101" s="1"/>
  <c r="H40" i="101"/>
  <c r="D40" i="101"/>
  <c r="B40" i="101"/>
  <c r="X39" i="101"/>
  <c r="Z39" i="101" s="1"/>
  <c r="N39" i="101"/>
  <c r="L39" i="101"/>
  <c r="B39" i="101"/>
  <c r="T38" i="101"/>
  <c r="P38" i="101"/>
  <c r="X38" i="101" s="1"/>
  <c r="Z38" i="101" s="1"/>
  <c r="H38" i="101"/>
  <c r="D38" i="101"/>
  <c r="B38" i="101"/>
  <c r="X37" i="101"/>
  <c r="Z37" i="101" s="1"/>
  <c r="N37" i="101"/>
  <c r="L37" i="101"/>
  <c r="B37" i="101"/>
  <c r="X36" i="101"/>
  <c r="Z36" i="101" s="1"/>
  <c r="N36" i="101"/>
  <c r="L36" i="101"/>
  <c r="B36" i="101"/>
  <c r="Z35" i="101"/>
  <c r="X35" i="101"/>
  <c r="N35" i="101"/>
  <c r="L35" i="101"/>
  <c r="B35" i="101"/>
  <c r="Z34" i="101"/>
  <c r="X34" i="101"/>
  <c r="L34" i="101"/>
  <c r="N34" i="101" s="1"/>
  <c r="F34" i="101"/>
  <c r="B34" i="101"/>
  <c r="X33" i="101"/>
  <c r="Z33" i="101" s="1"/>
  <c r="L33" i="101"/>
  <c r="N33" i="101" s="1"/>
  <c r="B33" i="101"/>
  <c r="X32" i="101"/>
  <c r="T32" i="101"/>
  <c r="Z32" i="101" s="1"/>
  <c r="P32" i="101"/>
  <c r="H32" i="101"/>
  <c r="D32" i="101"/>
  <c r="L32" i="101" s="1"/>
  <c r="B32" i="101"/>
  <c r="Z31" i="101"/>
  <c r="X31" i="101"/>
  <c r="L31" i="101"/>
  <c r="N31" i="101" s="1"/>
  <c r="B31" i="101"/>
  <c r="X30" i="101"/>
  <c r="Z30" i="101" s="1"/>
  <c r="N30" i="101"/>
  <c r="L30" i="101"/>
  <c r="B30" i="101"/>
  <c r="X29" i="101"/>
  <c r="Z29" i="101" s="1"/>
  <c r="N29" i="101"/>
  <c r="L29" i="101"/>
  <c r="B29" i="101"/>
  <c r="Z28" i="101"/>
  <c r="X28" i="101"/>
  <c r="L28" i="101"/>
  <c r="N28" i="101" s="1"/>
  <c r="F28" i="101"/>
  <c r="B28" i="101"/>
  <c r="Z27" i="101"/>
  <c r="X27" i="101"/>
  <c r="L27" i="101"/>
  <c r="N27" i="101" s="1"/>
  <c r="B27" i="101"/>
  <c r="X26" i="101"/>
  <c r="Z26" i="101" s="1"/>
  <c r="R26" i="101"/>
  <c r="N26" i="101"/>
  <c r="L26" i="101"/>
  <c r="B26" i="101"/>
  <c r="X25" i="101"/>
  <c r="Z25" i="101" s="1"/>
  <c r="N25" i="101"/>
  <c r="L25" i="101"/>
  <c r="B25" i="101"/>
  <c r="Z24" i="101"/>
  <c r="X24" i="101"/>
  <c r="L24" i="101"/>
  <c r="N24" i="101" s="1"/>
  <c r="F24" i="101"/>
  <c r="B24" i="101"/>
  <c r="Z23" i="101"/>
  <c r="T23" i="101"/>
  <c r="P23" i="101"/>
  <c r="X23" i="101" s="1"/>
  <c r="L23" i="101"/>
  <c r="N23" i="101" s="1"/>
  <c r="H23" i="101"/>
  <c r="F23" i="101"/>
  <c r="D23" i="101"/>
  <c r="B23" i="101"/>
  <c r="T22" i="101"/>
  <c r="P22" i="101"/>
  <c r="X22" i="101" s="1"/>
  <c r="Z22" i="101" s="1"/>
  <c r="H22" i="101"/>
  <c r="D22" i="101"/>
  <c r="D20" i="101"/>
  <c r="Z18" i="101"/>
  <c r="X18" i="101"/>
  <c r="N18" i="101"/>
  <c r="L18" i="101"/>
  <c r="B18" i="101"/>
  <c r="Z17" i="101"/>
  <c r="X17" i="101"/>
  <c r="L17" i="101"/>
  <c r="N17" i="101" s="1"/>
  <c r="B17" i="101"/>
  <c r="T16" i="101"/>
  <c r="P16" i="101"/>
  <c r="X16" i="101" s="1"/>
  <c r="H16" i="101"/>
  <c r="D16" i="101"/>
  <c r="L16" i="101" s="1"/>
  <c r="N16" i="101" s="1"/>
  <c r="T14" i="101"/>
  <c r="P14" i="101"/>
  <c r="X14" i="101" s="1"/>
  <c r="Z14" i="101" s="1"/>
  <c r="L14" i="101"/>
  <c r="H14" i="101"/>
  <c r="N14" i="101" s="1"/>
  <c r="D14" i="101"/>
  <c r="B14" i="101"/>
  <c r="T13" i="101"/>
  <c r="T12" i="101" s="1"/>
  <c r="P13" i="101"/>
  <c r="P12" i="101" s="1"/>
  <c r="R30" i="101" s="1"/>
  <c r="H13" i="101"/>
  <c r="D13" i="101"/>
  <c r="L13" i="101" s="1"/>
  <c r="B13" i="101"/>
  <c r="D12" i="101"/>
  <c r="F41" i="101" s="1"/>
  <c r="D6" i="101"/>
  <c r="D4" i="101"/>
  <c r="X44" i="100"/>
  <c r="Z44" i="100" s="1"/>
  <c r="N44" i="100"/>
  <c r="L44" i="100"/>
  <c r="T40" i="100"/>
  <c r="P40" i="100"/>
  <c r="H40" i="100"/>
  <c r="D40" i="100"/>
  <c r="L40" i="100" s="1"/>
  <c r="N40" i="100" s="1"/>
  <c r="B40" i="100"/>
  <c r="R39" i="100"/>
  <c r="H39" i="100"/>
  <c r="Z37" i="100"/>
  <c r="X37" i="100"/>
  <c r="V37" i="100"/>
  <c r="N37" i="100"/>
  <c r="L37" i="100"/>
  <c r="B37" i="100"/>
  <c r="T36" i="100"/>
  <c r="Z36" i="100" s="1"/>
  <c r="P36" i="100"/>
  <c r="X36" i="100" s="1"/>
  <c r="L36" i="100"/>
  <c r="H36" i="100"/>
  <c r="N36" i="100" s="1"/>
  <c r="D36" i="100"/>
  <c r="B36" i="100"/>
  <c r="Z35" i="100"/>
  <c r="X35" i="100"/>
  <c r="N35" i="100"/>
  <c r="L35" i="100"/>
  <c r="J35" i="100"/>
  <c r="B35" i="100"/>
  <c r="T34" i="100"/>
  <c r="Z34" i="100" s="1"/>
  <c r="P34" i="100"/>
  <c r="X34" i="100" s="1"/>
  <c r="H34" i="100"/>
  <c r="D34" i="100"/>
  <c r="B34" i="100"/>
  <c r="X33" i="100"/>
  <c r="Z33" i="100" s="1"/>
  <c r="N33" i="100"/>
  <c r="L33" i="100"/>
  <c r="J33" i="100"/>
  <c r="B33" i="100"/>
  <c r="T32" i="100"/>
  <c r="P32" i="100"/>
  <c r="X32" i="100" s="1"/>
  <c r="Z32" i="100" s="1"/>
  <c r="H32" i="100"/>
  <c r="D32" i="100"/>
  <c r="L32" i="100" s="1"/>
  <c r="B32" i="100"/>
  <c r="X31" i="100"/>
  <c r="Z31" i="100" s="1"/>
  <c r="N31" i="100"/>
  <c r="L31" i="100"/>
  <c r="J31" i="100"/>
  <c r="B31" i="100"/>
  <c r="X30" i="100"/>
  <c r="T30" i="100"/>
  <c r="Z30" i="100" s="1"/>
  <c r="P30" i="100"/>
  <c r="H30" i="100"/>
  <c r="N30" i="100" s="1"/>
  <c r="D30" i="100"/>
  <c r="L30" i="100" s="1"/>
  <c r="B30" i="100"/>
  <c r="Z29" i="100"/>
  <c r="X29" i="100"/>
  <c r="L29" i="100"/>
  <c r="N29" i="100" s="1"/>
  <c r="J29" i="100"/>
  <c r="B29" i="100"/>
  <c r="X28" i="100"/>
  <c r="T28" i="100"/>
  <c r="P28" i="100"/>
  <c r="H28" i="100"/>
  <c r="D28" i="100"/>
  <c r="L28" i="100" s="1"/>
  <c r="B28" i="100"/>
  <c r="Z27" i="100"/>
  <c r="X27" i="100"/>
  <c r="N27" i="100"/>
  <c r="L27" i="100"/>
  <c r="B27" i="100"/>
  <c r="T26" i="100"/>
  <c r="Z26" i="100" s="1"/>
  <c r="P26" i="100"/>
  <c r="X26" i="100" s="1"/>
  <c r="N26" i="100"/>
  <c r="H26" i="100"/>
  <c r="D26" i="100"/>
  <c r="L26" i="100" s="1"/>
  <c r="B26" i="100"/>
  <c r="Z25" i="100"/>
  <c r="X25" i="100"/>
  <c r="V25" i="100"/>
  <c r="N25" i="100"/>
  <c r="L25" i="100"/>
  <c r="B25" i="100"/>
  <c r="T24" i="100"/>
  <c r="P24" i="100"/>
  <c r="L24" i="100"/>
  <c r="H24" i="100"/>
  <c r="D24" i="100"/>
  <c r="B24" i="100"/>
  <c r="Z23" i="100"/>
  <c r="X23" i="100"/>
  <c r="V23" i="100"/>
  <c r="N23" i="100"/>
  <c r="L23" i="100"/>
  <c r="J23" i="100"/>
  <c r="B23" i="100"/>
  <c r="T22" i="100"/>
  <c r="P22" i="100"/>
  <c r="X22" i="100" s="1"/>
  <c r="H22" i="100"/>
  <c r="D22" i="100"/>
  <c r="B22" i="100"/>
  <c r="V21" i="100"/>
  <c r="T21" i="100"/>
  <c r="R21" i="100"/>
  <c r="P21" i="100"/>
  <c r="J21" i="100"/>
  <c r="H21" i="100"/>
  <c r="D21" i="100"/>
  <c r="L21" i="100" s="1"/>
  <c r="N21" i="100" s="1"/>
  <c r="T19" i="100"/>
  <c r="R19" i="100"/>
  <c r="X17" i="100"/>
  <c r="Z17" i="100" s="1"/>
  <c r="V17" i="100"/>
  <c r="R17" i="100"/>
  <c r="N17" i="100"/>
  <c r="L17" i="100"/>
  <c r="J17" i="100"/>
  <c r="B17" i="100"/>
  <c r="Z16" i="100"/>
  <c r="X16" i="100"/>
  <c r="L16" i="100"/>
  <c r="N16" i="100" s="1"/>
  <c r="J16" i="100"/>
  <c r="F16" i="100"/>
  <c r="B16" i="100"/>
  <c r="V15" i="100"/>
  <c r="T15" i="100"/>
  <c r="P15" i="100"/>
  <c r="X15" i="100" s="1"/>
  <c r="Z15" i="100" s="1"/>
  <c r="H15" i="100"/>
  <c r="F15" i="100"/>
  <c r="D15" i="100"/>
  <c r="T13" i="100"/>
  <c r="T12" i="100" s="1"/>
  <c r="P13" i="100"/>
  <c r="X13" i="100" s="1"/>
  <c r="Z13" i="100" s="1"/>
  <c r="H13" i="100"/>
  <c r="D13" i="100"/>
  <c r="D12" i="100" s="1"/>
  <c r="B13" i="100"/>
  <c r="X12" i="100"/>
  <c r="P12" i="100"/>
  <c r="L12" i="100"/>
  <c r="H12" i="100"/>
  <c r="J36" i="100" s="1"/>
  <c r="D6" i="100"/>
  <c r="D4" i="100"/>
  <c r="V49" i="99"/>
  <c r="J49" i="99"/>
  <c r="J46" i="99"/>
  <c r="Z44" i="99"/>
  <c r="X44" i="99"/>
  <c r="R44" i="99"/>
  <c r="N44" i="99"/>
  <c r="L44" i="99"/>
  <c r="R42" i="99"/>
  <c r="T40" i="99"/>
  <c r="P40" i="99"/>
  <c r="X40" i="99" s="1"/>
  <c r="Z40" i="99" s="1"/>
  <c r="H40" i="99"/>
  <c r="D40" i="99"/>
  <c r="B40" i="99"/>
  <c r="T39" i="99"/>
  <c r="R39" i="99"/>
  <c r="J39" i="99"/>
  <c r="D39" i="99"/>
  <c r="X37" i="99"/>
  <c r="Z37" i="99" s="1"/>
  <c r="R37" i="99"/>
  <c r="L37" i="99"/>
  <c r="N37" i="99" s="1"/>
  <c r="J37" i="99"/>
  <c r="B37" i="99"/>
  <c r="X36" i="99"/>
  <c r="T36" i="99"/>
  <c r="P36" i="99"/>
  <c r="J36" i="99"/>
  <c r="H36" i="99"/>
  <c r="D36" i="99"/>
  <c r="L36" i="99" s="1"/>
  <c r="N36" i="99" s="1"/>
  <c r="B36" i="99"/>
  <c r="X35" i="99"/>
  <c r="Z35" i="99" s="1"/>
  <c r="L35" i="99"/>
  <c r="N35" i="99" s="1"/>
  <c r="J35" i="99"/>
  <c r="B35" i="99"/>
  <c r="T34" i="99"/>
  <c r="P34" i="99"/>
  <c r="J34" i="99"/>
  <c r="H34" i="99"/>
  <c r="N34" i="99" s="1"/>
  <c r="D34" i="99"/>
  <c r="L34" i="99" s="1"/>
  <c r="B34" i="99"/>
  <c r="Z33" i="99"/>
  <c r="X33" i="99"/>
  <c r="R33" i="99"/>
  <c r="L33" i="99"/>
  <c r="N33" i="99" s="1"/>
  <c r="F33" i="99"/>
  <c r="B33" i="99"/>
  <c r="T32" i="99"/>
  <c r="P32" i="99"/>
  <c r="X32" i="99" s="1"/>
  <c r="Z32" i="99" s="1"/>
  <c r="J32" i="99"/>
  <c r="H32" i="99"/>
  <c r="D32" i="99"/>
  <c r="L32" i="99" s="1"/>
  <c r="N32" i="99" s="1"/>
  <c r="B32" i="99"/>
  <c r="Z31" i="99"/>
  <c r="X31" i="99"/>
  <c r="N31" i="99"/>
  <c r="L31" i="99"/>
  <c r="B31" i="99"/>
  <c r="T30" i="99"/>
  <c r="P30" i="99"/>
  <c r="L30" i="99"/>
  <c r="J30" i="99"/>
  <c r="H30" i="99"/>
  <c r="D30" i="99"/>
  <c r="B30" i="99"/>
  <c r="X29" i="99"/>
  <c r="Z29" i="99" s="1"/>
  <c r="N29" i="99"/>
  <c r="L29" i="99"/>
  <c r="J29" i="99"/>
  <c r="F29" i="99"/>
  <c r="B29" i="99"/>
  <c r="T28" i="99"/>
  <c r="R28" i="99"/>
  <c r="P28" i="99"/>
  <c r="L28" i="99"/>
  <c r="H28" i="99"/>
  <c r="D28" i="99"/>
  <c r="B28" i="99"/>
  <c r="X27" i="99"/>
  <c r="Z27" i="99" s="1"/>
  <c r="R27" i="99"/>
  <c r="N27" i="99"/>
  <c r="L27" i="99"/>
  <c r="J27" i="99"/>
  <c r="B27" i="99"/>
  <c r="Z26" i="99"/>
  <c r="X26" i="99"/>
  <c r="N26" i="99"/>
  <c r="L26" i="99"/>
  <c r="J26" i="99"/>
  <c r="B26" i="99"/>
  <c r="Z25" i="99"/>
  <c r="X25" i="99"/>
  <c r="L25" i="99"/>
  <c r="N25" i="99" s="1"/>
  <c r="J25" i="99"/>
  <c r="B25" i="99"/>
  <c r="X24" i="99"/>
  <c r="Z24" i="99" s="1"/>
  <c r="R24" i="99"/>
  <c r="L24" i="99"/>
  <c r="N24" i="99" s="1"/>
  <c r="J24" i="99"/>
  <c r="B24" i="99"/>
  <c r="X23" i="99"/>
  <c r="Z23" i="99" s="1"/>
  <c r="R23" i="99"/>
  <c r="N23" i="99"/>
  <c r="L23" i="99"/>
  <c r="J23" i="99"/>
  <c r="B23" i="99"/>
  <c r="Z22" i="99"/>
  <c r="X22" i="99"/>
  <c r="N22" i="99"/>
  <c r="L22" i="99"/>
  <c r="J22" i="99"/>
  <c r="B22" i="99"/>
  <c r="Z21" i="99"/>
  <c r="X21" i="99"/>
  <c r="V21" i="99"/>
  <c r="R21" i="99"/>
  <c r="L21" i="99"/>
  <c r="N21" i="99" s="1"/>
  <c r="J21" i="99"/>
  <c r="B21" i="99"/>
  <c r="X20" i="99"/>
  <c r="Z20" i="99" s="1"/>
  <c r="L20" i="99"/>
  <c r="N20" i="99" s="1"/>
  <c r="J20" i="99"/>
  <c r="B20" i="99"/>
  <c r="X19" i="99"/>
  <c r="T19" i="99"/>
  <c r="R19" i="99"/>
  <c r="P19" i="99"/>
  <c r="J19" i="99"/>
  <c r="H19" i="99"/>
  <c r="D19" i="99"/>
  <c r="B19" i="99"/>
  <c r="V18" i="99"/>
  <c r="T18" i="99"/>
  <c r="P18" i="99"/>
  <c r="X18" i="99" s="1"/>
  <c r="Z18" i="99" s="1"/>
  <c r="J18" i="99"/>
  <c r="H18" i="99"/>
  <c r="D18" i="99"/>
  <c r="L18" i="99" s="1"/>
  <c r="P16" i="99"/>
  <c r="J16" i="99"/>
  <c r="Z14" i="99"/>
  <c r="V14" i="99"/>
  <c r="T14" i="99"/>
  <c r="P14" i="99"/>
  <c r="X14" i="99" s="1"/>
  <c r="J14" i="99"/>
  <c r="H14" i="99"/>
  <c r="H16" i="99" s="1"/>
  <c r="D14" i="99"/>
  <c r="L14" i="99" s="1"/>
  <c r="T12" i="99"/>
  <c r="V44" i="99" s="1"/>
  <c r="P12" i="99"/>
  <c r="R40" i="99" s="1"/>
  <c r="N12" i="99"/>
  <c r="H12" i="99"/>
  <c r="J31" i="99" s="1"/>
  <c r="D12" i="99"/>
  <c r="F32" i="99" s="1"/>
  <c r="D6" i="99"/>
  <c r="D4" i="99"/>
  <c r="F29" i="98"/>
  <c r="F26" i="98"/>
  <c r="Z24" i="98"/>
  <c r="X24" i="98"/>
  <c r="N24" i="98"/>
  <c r="L24" i="98"/>
  <c r="V22" i="98"/>
  <c r="X20" i="98"/>
  <c r="T20" i="98"/>
  <c r="Z20" i="98" s="1"/>
  <c r="P20" i="98"/>
  <c r="N20" i="98"/>
  <c r="J20" i="98"/>
  <c r="H20" i="98"/>
  <c r="F20" i="98"/>
  <c r="D20" i="98"/>
  <c r="L20" i="98" s="1"/>
  <c r="V18" i="98"/>
  <c r="T18" i="98"/>
  <c r="Z18" i="98" s="1"/>
  <c r="P18" i="98"/>
  <c r="X18" i="98" s="1"/>
  <c r="H18" i="98"/>
  <c r="N18" i="98" s="1"/>
  <c r="F18" i="98"/>
  <c r="D18" i="98"/>
  <c r="T16" i="98"/>
  <c r="J16" i="98"/>
  <c r="F16" i="98"/>
  <c r="X14" i="98"/>
  <c r="V14" i="98"/>
  <c r="T14" i="98"/>
  <c r="Z14" i="98" s="1"/>
  <c r="R14" i="98"/>
  <c r="P14" i="98"/>
  <c r="H14" i="98"/>
  <c r="N14" i="98" s="1"/>
  <c r="D14" i="98"/>
  <c r="L14" i="98" s="1"/>
  <c r="T12" i="98"/>
  <c r="Z12" i="98" s="1"/>
  <c r="P12" i="98"/>
  <c r="L12" i="98"/>
  <c r="H12" i="98"/>
  <c r="J14" i="98" s="1"/>
  <c r="D12" i="98"/>
  <c r="F22" i="98" s="1"/>
  <c r="D6" i="98"/>
  <c r="D4" i="98"/>
  <c r="X70" i="97"/>
  <c r="Z70" i="97" s="1"/>
  <c r="N70" i="97"/>
  <c r="L70" i="97"/>
  <c r="J70" i="97"/>
  <c r="Z66" i="97"/>
  <c r="T66" i="97"/>
  <c r="P66" i="97"/>
  <c r="X66" i="97" s="1"/>
  <c r="L66" i="97"/>
  <c r="H66" i="97"/>
  <c r="N66" i="97" s="1"/>
  <c r="D66" i="97"/>
  <c r="Z64" i="97"/>
  <c r="X64" i="97"/>
  <c r="L64" i="97"/>
  <c r="N64" i="97" s="1"/>
  <c r="B64" i="97"/>
  <c r="T63" i="97"/>
  <c r="P63" i="97"/>
  <c r="H63" i="97"/>
  <c r="D63" i="97"/>
  <c r="L63" i="97" s="1"/>
  <c r="N63" i="97" s="1"/>
  <c r="B63" i="97"/>
  <c r="Z62" i="97"/>
  <c r="X62" i="97"/>
  <c r="L62" i="97"/>
  <c r="N62" i="97" s="1"/>
  <c r="B62" i="97"/>
  <c r="T61" i="97"/>
  <c r="P61" i="97"/>
  <c r="N61" i="97"/>
  <c r="L61" i="97"/>
  <c r="H61" i="97"/>
  <c r="D61" i="97"/>
  <c r="B61" i="97"/>
  <c r="Z60" i="97"/>
  <c r="X60" i="97"/>
  <c r="N60" i="97"/>
  <c r="L60" i="97"/>
  <c r="B60" i="97"/>
  <c r="Z59" i="97"/>
  <c r="X59" i="97"/>
  <c r="L59" i="97"/>
  <c r="N59" i="97" s="1"/>
  <c r="B59" i="97"/>
  <c r="T58" i="97"/>
  <c r="P58" i="97"/>
  <c r="X58" i="97" s="1"/>
  <c r="J58" i="97"/>
  <c r="H58" i="97"/>
  <c r="D58" i="97"/>
  <c r="L58" i="97" s="1"/>
  <c r="N58" i="97" s="1"/>
  <c r="B58" i="97"/>
  <c r="Z57" i="97"/>
  <c r="X57" i="97"/>
  <c r="N57" i="97"/>
  <c r="L57" i="97"/>
  <c r="F57" i="97"/>
  <c r="B57" i="97"/>
  <c r="T56" i="97"/>
  <c r="P56" i="97"/>
  <c r="X56" i="97" s="1"/>
  <c r="Z56" i="97" s="1"/>
  <c r="L56" i="97"/>
  <c r="H56" i="97"/>
  <c r="N56" i="97" s="1"/>
  <c r="D56" i="97"/>
  <c r="B56" i="97"/>
  <c r="Z55" i="97"/>
  <c r="X55" i="97"/>
  <c r="N55" i="97"/>
  <c r="L55" i="97"/>
  <c r="B55" i="97"/>
  <c r="Z54" i="97"/>
  <c r="X54" i="97"/>
  <c r="L54" i="97"/>
  <c r="N54" i="97" s="1"/>
  <c r="B54" i="97"/>
  <c r="T53" i="97"/>
  <c r="P53" i="97"/>
  <c r="X53" i="97" s="1"/>
  <c r="N53" i="97"/>
  <c r="L53" i="97"/>
  <c r="H53" i="97"/>
  <c r="D53" i="97"/>
  <c r="B53" i="97"/>
  <c r="Z52" i="97"/>
  <c r="X52" i="97"/>
  <c r="N52" i="97"/>
  <c r="L52" i="97"/>
  <c r="B52" i="97"/>
  <c r="T51" i="97"/>
  <c r="P51" i="97"/>
  <c r="X51" i="97" s="1"/>
  <c r="Z51" i="97" s="1"/>
  <c r="L51" i="97"/>
  <c r="H51" i="97"/>
  <c r="N51" i="97" s="1"/>
  <c r="D51" i="97"/>
  <c r="B51" i="97"/>
  <c r="X50" i="97"/>
  <c r="Z50" i="97" s="1"/>
  <c r="N50" i="97"/>
  <c r="L50" i="97"/>
  <c r="J50" i="97"/>
  <c r="B50" i="97"/>
  <c r="T49" i="97"/>
  <c r="P49" i="97"/>
  <c r="X49" i="97" s="1"/>
  <c r="Z49" i="97" s="1"/>
  <c r="H49" i="97"/>
  <c r="D49" i="97"/>
  <c r="B49" i="97"/>
  <c r="Z48" i="97"/>
  <c r="X48" i="97"/>
  <c r="N48" i="97"/>
  <c r="L48" i="97"/>
  <c r="J48" i="97"/>
  <c r="B48" i="97"/>
  <c r="Z47" i="97"/>
  <c r="X47" i="97"/>
  <c r="T47" i="97"/>
  <c r="P47" i="97"/>
  <c r="H47" i="97"/>
  <c r="N47" i="97" s="1"/>
  <c r="D47" i="97"/>
  <c r="B47" i="97"/>
  <c r="X46" i="97"/>
  <c r="Z46" i="97" s="1"/>
  <c r="L46" i="97"/>
  <c r="N46" i="97" s="1"/>
  <c r="B46" i="97"/>
  <c r="X45" i="97"/>
  <c r="Z45" i="97" s="1"/>
  <c r="N45" i="97"/>
  <c r="L45" i="97"/>
  <c r="B45" i="97"/>
  <c r="T44" i="97"/>
  <c r="P44" i="97"/>
  <c r="X44" i="97" s="1"/>
  <c r="Z44" i="97" s="1"/>
  <c r="H44" i="97"/>
  <c r="N44" i="97" s="1"/>
  <c r="D44" i="97"/>
  <c r="L44" i="97" s="1"/>
  <c r="B44" i="97"/>
  <c r="X43" i="97"/>
  <c r="Z43" i="97" s="1"/>
  <c r="R43" i="97"/>
  <c r="N43" i="97"/>
  <c r="L43" i="97"/>
  <c r="B43" i="97"/>
  <c r="X42" i="97"/>
  <c r="T42" i="97"/>
  <c r="Z42" i="97" s="1"/>
  <c r="P42" i="97"/>
  <c r="H42" i="97"/>
  <c r="D42" i="97"/>
  <c r="L42" i="97" s="1"/>
  <c r="N42" i="97" s="1"/>
  <c r="B42" i="97"/>
  <c r="Z41" i="97"/>
  <c r="X41" i="97"/>
  <c r="L41" i="97"/>
  <c r="N41" i="97" s="1"/>
  <c r="B41" i="97"/>
  <c r="T40" i="97"/>
  <c r="P40" i="97"/>
  <c r="J40" i="97"/>
  <c r="H40" i="97"/>
  <c r="D40" i="97"/>
  <c r="L40" i="97" s="1"/>
  <c r="N40" i="97" s="1"/>
  <c r="B40" i="97"/>
  <c r="Z39" i="97"/>
  <c r="X39" i="97"/>
  <c r="L39" i="97"/>
  <c r="N39" i="97" s="1"/>
  <c r="B39" i="97"/>
  <c r="T38" i="97"/>
  <c r="P38" i="97"/>
  <c r="X38" i="97" s="1"/>
  <c r="J38" i="97"/>
  <c r="H38" i="97"/>
  <c r="D38" i="97"/>
  <c r="L38" i="97" s="1"/>
  <c r="N38" i="97" s="1"/>
  <c r="B38" i="97"/>
  <c r="Z37" i="97"/>
  <c r="X37" i="97"/>
  <c r="N37" i="97"/>
  <c r="L37" i="97"/>
  <c r="B37" i="97"/>
  <c r="Z36" i="97"/>
  <c r="X36" i="97"/>
  <c r="L36" i="97"/>
  <c r="N36" i="97" s="1"/>
  <c r="B36" i="97"/>
  <c r="X35" i="97"/>
  <c r="Z35" i="97" s="1"/>
  <c r="R35" i="97"/>
  <c r="N35" i="97"/>
  <c r="L35" i="97"/>
  <c r="B35" i="97"/>
  <c r="X34" i="97"/>
  <c r="Z34" i="97" s="1"/>
  <c r="N34" i="97"/>
  <c r="L34" i="97"/>
  <c r="J34" i="97"/>
  <c r="B34" i="97"/>
  <c r="Z33" i="97"/>
  <c r="X33" i="97"/>
  <c r="N33" i="97"/>
  <c r="L33" i="97"/>
  <c r="F33" i="97"/>
  <c r="B33" i="97"/>
  <c r="Z32" i="97"/>
  <c r="T32" i="97"/>
  <c r="P32" i="97"/>
  <c r="X32" i="97" s="1"/>
  <c r="L32" i="97"/>
  <c r="H32" i="97"/>
  <c r="F32" i="97"/>
  <c r="D32" i="97"/>
  <c r="B32" i="97"/>
  <c r="Z31" i="97"/>
  <c r="X31" i="97"/>
  <c r="N31" i="97"/>
  <c r="L31" i="97"/>
  <c r="J31" i="97"/>
  <c r="B31" i="97"/>
  <c r="Z30" i="97"/>
  <c r="X30" i="97"/>
  <c r="L30" i="97"/>
  <c r="N30" i="97" s="1"/>
  <c r="B30" i="97"/>
  <c r="Z29" i="97"/>
  <c r="X29" i="97"/>
  <c r="R29" i="97"/>
  <c r="L29" i="97"/>
  <c r="N29" i="97" s="1"/>
  <c r="B29" i="97"/>
  <c r="X28" i="97"/>
  <c r="Z28" i="97" s="1"/>
  <c r="N28" i="97"/>
  <c r="L28" i="97"/>
  <c r="J28" i="97"/>
  <c r="B28" i="97"/>
  <c r="Z27" i="97"/>
  <c r="X27" i="97"/>
  <c r="N27" i="97"/>
  <c r="L27" i="97"/>
  <c r="J27" i="97"/>
  <c r="B27" i="97"/>
  <c r="Z26" i="97"/>
  <c r="X26" i="97"/>
  <c r="L26" i="97"/>
  <c r="N26" i="97" s="1"/>
  <c r="B26" i="97"/>
  <c r="Z25" i="97"/>
  <c r="X25" i="97"/>
  <c r="R25" i="97"/>
  <c r="L25" i="97"/>
  <c r="N25" i="97" s="1"/>
  <c r="B25" i="97"/>
  <c r="X24" i="97"/>
  <c r="Z24" i="97" s="1"/>
  <c r="N24" i="97"/>
  <c r="L24" i="97"/>
  <c r="J24" i="97"/>
  <c r="B24" i="97"/>
  <c r="Z23" i="97"/>
  <c r="X23" i="97"/>
  <c r="T23" i="97"/>
  <c r="P23" i="97"/>
  <c r="H23" i="97"/>
  <c r="D23" i="97"/>
  <c r="B23" i="97"/>
  <c r="T22" i="97"/>
  <c r="Z22" i="97" s="1"/>
  <c r="P22" i="97"/>
  <c r="X22" i="97" s="1"/>
  <c r="J22" i="97"/>
  <c r="H22" i="97"/>
  <c r="F22" i="97"/>
  <c r="D22" i="97"/>
  <c r="L22" i="97" s="1"/>
  <c r="N22" i="97" s="1"/>
  <c r="P20" i="97"/>
  <c r="F20" i="97"/>
  <c r="X18" i="97"/>
  <c r="Z18" i="97" s="1"/>
  <c r="L18" i="97"/>
  <c r="N18" i="97" s="1"/>
  <c r="B18" i="97"/>
  <c r="X17" i="97"/>
  <c r="Z17" i="97" s="1"/>
  <c r="N17" i="97"/>
  <c r="L17" i="97"/>
  <c r="J17" i="97"/>
  <c r="B17" i="97"/>
  <c r="T16" i="97"/>
  <c r="R16" i="97"/>
  <c r="P16" i="97"/>
  <c r="X16" i="97" s="1"/>
  <c r="Z16" i="97" s="1"/>
  <c r="H16" i="97"/>
  <c r="D16" i="97"/>
  <c r="L16" i="97" s="1"/>
  <c r="T14" i="97"/>
  <c r="P14" i="97"/>
  <c r="N14" i="97"/>
  <c r="L14" i="97"/>
  <c r="H14" i="97"/>
  <c r="D14" i="97"/>
  <c r="B14" i="97"/>
  <c r="T13" i="97"/>
  <c r="P13" i="97"/>
  <c r="H13" i="97"/>
  <c r="D13" i="97"/>
  <c r="D12" i="97" s="1"/>
  <c r="F59" i="97" s="1"/>
  <c r="B13" i="97"/>
  <c r="P12" i="97"/>
  <c r="L12" i="97"/>
  <c r="H12" i="97"/>
  <c r="J51" i="97" s="1"/>
  <c r="D6" i="97"/>
  <c r="D4" i="97"/>
  <c r="X82" i="95"/>
  <c r="Z82" i="95" s="1"/>
  <c r="N82" i="95"/>
  <c r="L82" i="95"/>
  <c r="T78" i="95"/>
  <c r="Z78" i="95" s="1"/>
  <c r="P78" i="95"/>
  <c r="X78" i="95" s="1"/>
  <c r="N78" i="95"/>
  <c r="H78" i="95"/>
  <c r="D78" i="95"/>
  <c r="L78" i="95" s="1"/>
  <c r="X76" i="95"/>
  <c r="Z76" i="95" s="1"/>
  <c r="L76" i="95"/>
  <c r="N76" i="95" s="1"/>
  <c r="B76" i="95"/>
  <c r="X75" i="95"/>
  <c r="Z75" i="95" s="1"/>
  <c r="T75" i="95"/>
  <c r="P75" i="95"/>
  <c r="H75" i="95"/>
  <c r="D75" i="95"/>
  <c r="L75" i="95" s="1"/>
  <c r="N75" i="95" s="1"/>
  <c r="B75" i="95"/>
  <c r="X74" i="95"/>
  <c r="Z74" i="95" s="1"/>
  <c r="L74" i="95"/>
  <c r="N74" i="95" s="1"/>
  <c r="B74" i="95"/>
  <c r="X73" i="95"/>
  <c r="T73" i="95"/>
  <c r="P73" i="95"/>
  <c r="N73" i="95"/>
  <c r="H73" i="95"/>
  <c r="D73" i="95"/>
  <c r="L73" i="95" s="1"/>
  <c r="B73" i="95"/>
  <c r="Z72" i="95"/>
  <c r="X72" i="95"/>
  <c r="L72" i="95"/>
  <c r="N72" i="95" s="1"/>
  <c r="B72" i="95"/>
  <c r="Z71" i="95"/>
  <c r="X71" i="95"/>
  <c r="L71" i="95"/>
  <c r="N71" i="95" s="1"/>
  <c r="B71" i="95"/>
  <c r="X70" i="95"/>
  <c r="Z70" i="95" s="1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X67" i="95"/>
  <c r="T67" i="95"/>
  <c r="Z67" i="95" s="1"/>
  <c r="P67" i="95"/>
  <c r="H67" i="95"/>
  <c r="D67" i="95"/>
  <c r="L67" i="95" s="1"/>
  <c r="N67" i="95" s="1"/>
  <c r="B67" i="95"/>
  <c r="Z66" i="95"/>
  <c r="X66" i="95"/>
  <c r="N66" i="95"/>
  <c r="L66" i="95"/>
  <c r="B66" i="95"/>
  <c r="T65" i="95"/>
  <c r="P65" i="95"/>
  <c r="L65" i="95"/>
  <c r="N65" i="95" s="1"/>
  <c r="H65" i="95"/>
  <c r="D65" i="95"/>
  <c r="B65" i="95"/>
  <c r="X64" i="95"/>
  <c r="Z64" i="95" s="1"/>
  <c r="N64" i="95"/>
  <c r="L64" i="95"/>
  <c r="J64" i="95"/>
  <c r="B64" i="95"/>
  <c r="Z63" i="95"/>
  <c r="X63" i="95"/>
  <c r="N63" i="95"/>
  <c r="L63" i="95"/>
  <c r="B63" i="95"/>
  <c r="X62" i="95"/>
  <c r="Z62" i="95" s="1"/>
  <c r="L62" i="95"/>
  <c r="N62" i="95" s="1"/>
  <c r="B62" i="95"/>
  <c r="X61" i="95"/>
  <c r="Z61" i="95" s="1"/>
  <c r="N61" i="95"/>
  <c r="L61" i="95"/>
  <c r="B61" i="95"/>
  <c r="X60" i="95"/>
  <c r="Z60" i="95" s="1"/>
  <c r="N60" i="95"/>
  <c r="L60" i="95"/>
  <c r="B60" i="95"/>
  <c r="T59" i="95"/>
  <c r="P59" i="95"/>
  <c r="X59" i="95" s="1"/>
  <c r="Z59" i="95" s="1"/>
  <c r="H59" i="95"/>
  <c r="D59" i="95"/>
  <c r="L59" i="95" s="1"/>
  <c r="N59" i="95" s="1"/>
  <c r="B59" i="95"/>
  <c r="X58" i="95"/>
  <c r="Z58" i="95" s="1"/>
  <c r="L58" i="95"/>
  <c r="N58" i="95" s="1"/>
  <c r="B58" i="95"/>
  <c r="Z57" i="95"/>
  <c r="X57" i="95"/>
  <c r="N57" i="95"/>
  <c r="L57" i="95"/>
  <c r="B57" i="95"/>
  <c r="T56" i="95"/>
  <c r="P56" i="95"/>
  <c r="H56" i="95"/>
  <c r="D56" i="95"/>
  <c r="L56" i="95" s="1"/>
  <c r="B56" i="95"/>
  <c r="Z55" i="95"/>
  <c r="X55" i="95"/>
  <c r="N55" i="95"/>
  <c r="L55" i="95"/>
  <c r="B55" i="95"/>
  <c r="T54" i="95"/>
  <c r="P54" i="95"/>
  <c r="X54" i="95" s="1"/>
  <c r="L54" i="95"/>
  <c r="H54" i="95"/>
  <c r="D54" i="95"/>
  <c r="B54" i="95"/>
  <c r="X53" i="95"/>
  <c r="Z53" i="95" s="1"/>
  <c r="L53" i="95"/>
  <c r="N53" i="95" s="1"/>
  <c r="B53" i="95"/>
  <c r="T52" i="95"/>
  <c r="P52" i="95"/>
  <c r="X52" i="95" s="1"/>
  <c r="H52" i="95"/>
  <c r="D52" i="95"/>
  <c r="L52" i="95" s="1"/>
  <c r="N52" i="95" s="1"/>
  <c r="B52" i="95"/>
  <c r="X51" i="95"/>
  <c r="Z51" i="95" s="1"/>
  <c r="N51" i="95"/>
  <c r="L51" i="95"/>
  <c r="B51" i="95"/>
  <c r="Z50" i="95"/>
  <c r="X50" i="95"/>
  <c r="T50" i="95"/>
  <c r="P50" i="95"/>
  <c r="N50" i="95"/>
  <c r="L50" i="95"/>
  <c r="H50" i="95"/>
  <c r="D50" i="95"/>
  <c r="B50" i="95"/>
  <c r="Z49" i="95"/>
  <c r="X49" i="95"/>
  <c r="L49" i="95"/>
  <c r="N49" i="95" s="1"/>
  <c r="B49" i="95"/>
  <c r="Z48" i="95"/>
  <c r="T48" i="95"/>
  <c r="P48" i="95"/>
  <c r="X48" i="95" s="1"/>
  <c r="H48" i="95"/>
  <c r="N48" i="95" s="1"/>
  <c r="D48" i="95"/>
  <c r="L48" i="95" s="1"/>
  <c r="B48" i="95"/>
  <c r="X47" i="95"/>
  <c r="Z47" i="95" s="1"/>
  <c r="L47" i="95"/>
  <c r="N47" i="95" s="1"/>
  <c r="B47" i="95"/>
  <c r="T46" i="95"/>
  <c r="P46" i="95"/>
  <c r="X46" i="95" s="1"/>
  <c r="Z46" i="95" s="1"/>
  <c r="H46" i="95"/>
  <c r="N46" i="95" s="1"/>
  <c r="D46" i="95"/>
  <c r="L46" i="95" s="1"/>
  <c r="B46" i="95"/>
  <c r="X45" i="95"/>
  <c r="Z45" i="95" s="1"/>
  <c r="N45" i="95"/>
  <c r="L45" i="95"/>
  <c r="B45" i="95"/>
  <c r="Z44" i="95"/>
  <c r="X44" i="95"/>
  <c r="N44" i="95"/>
  <c r="L44" i="95"/>
  <c r="J44" i="95"/>
  <c r="B44" i="95"/>
  <c r="T43" i="95"/>
  <c r="Z43" i="95" s="1"/>
  <c r="P43" i="95"/>
  <c r="X43" i="95" s="1"/>
  <c r="H43" i="95"/>
  <c r="D43" i="95"/>
  <c r="B43" i="95"/>
  <c r="Z42" i="95"/>
  <c r="X42" i="95"/>
  <c r="N42" i="95"/>
  <c r="L42" i="95"/>
  <c r="J42" i="95"/>
  <c r="B42" i="95"/>
  <c r="T41" i="95"/>
  <c r="P41" i="95"/>
  <c r="X41" i="95" s="1"/>
  <c r="Z41" i="95" s="1"/>
  <c r="H41" i="95"/>
  <c r="D41" i="95"/>
  <c r="L41" i="95" s="1"/>
  <c r="B41" i="95"/>
  <c r="X40" i="95"/>
  <c r="Z40" i="95" s="1"/>
  <c r="N40" i="95"/>
  <c r="L40" i="95"/>
  <c r="B40" i="95"/>
  <c r="X39" i="95"/>
  <c r="T39" i="95"/>
  <c r="Z39" i="95" s="1"/>
  <c r="P39" i="95"/>
  <c r="H39" i="95"/>
  <c r="N39" i="95" s="1"/>
  <c r="D39" i="95"/>
  <c r="L39" i="95" s="1"/>
  <c r="B39" i="95"/>
  <c r="Z38" i="95"/>
  <c r="X38" i="95"/>
  <c r="N38" i="95"/>
  <c r="L38" i="95"/>
  <c r="B38" i="95"/>
  <c r="T37" i="95"/>
  <c r="P37" i="95"/>
  <c r="H37" i="95"/>
  <c r="D37" i="95"/>
  <c r="L37" i="95" s="1"/>
  <c r="B37" i="95"/>
  <c r="Z36" i="95"/>
  <c r="X36" i="95"/>
  <c r="L36" i="95"/>
  <c r="N36" i="95" s="1"/>
  <c r="B36" i="95"/>
  <c r="Z35" i="95"/>
  <c r="X35" i="95"/>
  <c r="L35" i="95"/>
  <c r="N35" i="95" s="1"/>
  <c r="B35" i="95"/>
  <c r="Z34" i="95"/>
  <c r="X34" i="95"/>
  <c r="N34" i="95"/>
  <c r="L34" i="95"/>
  <c r="B34" i="95"/>
  <c r="Z33" i="95"/>
  <c r="X33" i="95"/>
  <c r="L33" i="95"/>
  <c r="N33" i="95" s="1"/>
  <c r="B33" i="95"/>
  <c r="Z32" i="95"/>
  <c r="T32" i="95"/>
  <c r="P32" i="95"/>
  <c r="X32" i="95" s="1"/>
  <c r="H32" i="95"/>
  <c r="D32" i="95"/>
  <c r="B32" i="95"/>
  <c r="X31" i="95"/>
  <c r="Z31" i="95" s="1"/>
  <c r="L31" i="95"/>
  <c r="N31" i="95" s="1"/>
  <c r="B31" i="95"/>
  <c r="Z30" i="95"/>
  <c r="X30" i="95"/>
  <c r="V30" i="95"/>
  <c r="N30" i="95"/>
  <c r="L30" i="95"/>
  <c r="B30" i="95"/>
  <c r="X29" i="95"/>
  <c r="Z29" i="95" s="1"/>
  <c r="L29" i="95"/>
  <c r="N29" i="95" s="1"/>
  <c r="B29" i="95"/>
  <c r="X28" i="95"/>
  <c r="Z28" i="95" s="1"/>
  <c r="N28" i="95"/>
  <c r="L28" i="95"/>
  <c r="B28" i="95"/>
  <c r="X27" i="95"/>
  <c r="Z27" i="95" s="1"/>
  <c r="L27" i="95"/>
  <c r="N27" i="95" s="1"/>
  <c r="B27" i="95"/>
  <c r="Z26" i="95"/>
  <c r="X26" i="95"/>
  <c r="V26" i="95"/>
  <c r="N26" i="95"/>
  <c r="L26" i="95"/>
  <c r="B26" i="95"/>
  <c r="X25" i="95"/>
  <c r="Z25" i="95" s="1"/>
  <c r="L25" i="95"/>
  <c r="N25" i="95" s="1"/>
  <c r="B25" i="95"/>
  <c r="X24" i="95"/>
  <c r="Z24" i="95" s="1"/>
  <c r="N24" i="95"/>
  <c r="L24" i="95"/>
  <c r="B24" i="95"/>
  <c r="X23" i="95"/>
  <c r="T23" i="95"/>
  <c r="P23" i="95"/>
  <c r="H23" i="95"/>
  <c r="D23" i="95"/>
  <c r="L23" i="95" s="1"/>
  <c r="B23" i="95"/>
  <c r="Z22" i="95"/>
  <c r="T22" i="95"/>
  <c r="P22" i="95"/>
  <c r="X22" i="95" s="1"/>
  <c r="N22" i="95"/>
  <c r="L22" i="95"/>
  <c r="H22" i="95"/>
  <c r="D22" i="95"/>
  <c r="Z18" i="95"/>
  <c r="X18" i="95"/>
  <c r="L18" i="95"/>
  <c r="N18" i="95" s="1"/>
  <c r="B18" i="95"/>
  <c r="X17" i="95"/>
  <c r="Z17" i="95" s="1"/>
  <c r="R17" i="95"/>
  <c r="N17" i="95"/>
  <c r="L17" i="95"/>
  <c r="B17" i="95"/>
  <c r="Z16" i="95"/>
  <c r="X16" i="95"/>
  <c r="T16" i="95"/>
  <c r="P16" i="95"/>
  <c r="N16" i="95"/>
  <c r="H16" i="95"/>
  <c r="D16" i="95"/>
  <c r="L16" i="95" s="1"/>
  <c r="Z14" i="95"/>
  <c r="X14" i="95"/>
  <c r="T14" i="95"/>
  <c r="P14" i="95"/>
  <c r="H14" i="95"/>
  <c r="H12" i="95" s="1"/>
  <c r="J52" i="95" s="1"/>
  <c r="D14" i="95"/>
  <c r="B14" i="95"/>
  <c r="T13" i="95"/>
  <c r="T12" i="95" s="1"/>
  <c r="V48" i="95" s="1"/>
  <c r="P13" i="95"/>
  <c r="P12" i="95" s="1"/>
  <c r="H13" i="95"/>
  <c r="D13" i="95"/>
  <c r="B13" i="95"/>
  <c r="D6" i="95"/>
  <c r="D4" i="95"/>
  <c r="Z65" i="94"/>
  <c r="X65" i="94"/>
  <c r="V65" i="94"/>
  <c r="L65" i="94"/>
  <c r="N65" i="94" s="1"/>
  <c r="Z61" i="94"/>
  <c r="X61" i="94"/>
  <c r="T61" i="94"/>
  <c r="P61" i="94"/>
  <c r="N61" i="94"/>
  <c r="H61" i="94"/>
  <c r="D61" i="94"/>
  <c r="L61" i="94" s="1"/>
  <c r="Z59" i="94"/>
  <c r="X59" i="94"/>
  <c r="N59" i="94"/>
  <c r="L59" i="94"/>
  <c r="B59" i="94"/>
  <c r="T58" i="94"/>
  <c r="P58" i="94"/>
  <c r="X58" i="94" s="1"/>
  <c r="H58" i="94"/>
  <c r="D58" i="94"/>
  <c r="B58" i="94"/>
  <c r="X57" i="94"/>
  <c r="Z57" i="94" s="1"/>
  <c r="L57" i="94"/>
  <c r="N57" i="94" s="1"/>
  <c r="B57" i="94"/>
  <c r="Z56" i="94"/>
  <c r="X56" i="94"/>
  <c r="L56" i="94"/>
  <c r="N56" i="94" s="1"/>
  <c r="B56" i="94"/>
  <c r="Z55" i="94"/>
  <c r="X55" i="94"/>
  <c r="L55" i="94"/>
  <c r="N55" i="94" s="1"/>
  <c r="B55" i="94"/>
  <c r="Z54" i="94"/>
  <c r="X54" i="94"/>
  <c r="L54" i="94"/>
  <c r="N54" i="94" s="1"/>
  <c r="B54" i="94"/>
  <c r="T53" i="94"/>
  <c r="P53" i="94"/>
  <c r="X53" i="94" s="1"/>
  <c r="H53" i="94"/>
  <c r="D53" i="94"/>
  <c r="L53" i="94" s="1"/>
  <c r="N53" i="94" s="1"/>
  <c r="B53" i="94"/>
  <c r="X52" i="94"/>
  <c r="Z52" i="94" s="1"/>
  <c r="L52" i="94"/>
  <c r="N52" i="94" s="1"/>
  <c r="F52" i="94"/>
  <c r="B52" i="94"/>
  <c r="T51" i="94"/>
  <c r="Z51" i="94" s="1"/>
  <c r="P51" i="94"/>
  <c r="X51" i="94" s="1"/>
  <c r="L51" i="94"/>
  <c r="N51" i="94" s="1"/>
  <c r="H51" i="94"/>
  <c r="F51" i="94"/>
  <c r="D51" i="94"/>
  <c r="B51" i="94"/>
  <c r="Z50" i="94"/>
  <c r="X50" i="94"/>
  <c r="N50" i="94"/>
  <c r="L50" i="94"/>
  <c r="F50" i="94"/>
  <c r="B50" i="94"/>
  <c r="Z49" i="94"/>
  <c r="T49" i="94"/>
  <c r="P49" i="94"/>
  <c r="X49" i="94" s="1"/>
  <c r="N49" i="94"/>
  <c r="L49" i="94"/>
  <c r="H49" i="94"/>
  <c r="D49" i="94"/>
  <c r="B49" i="94"/>
  <c r="Z48" i="94"/>
  <c r="X48" i="94"/>
  <c r="L48" i="94"/>
  <c r="N48" i="94" s="1"/>
  <c r="B48" i="94"/>
  <c r="T47" i="94"/>
  <c r="P47" i="94"/>
  <c r="X47" i="94" s="1"/>
  <c r="Z47" i="94" s="1"/>
  <c r="H47" i="94"/>
  <c r="N47" i="94" s="1"/>
  <c r="D47" i="94"/>
  <c r="L47" i="94" s="1"/>
  <c r="B47" i="94"/>
  <c r="X46" i="94"/>
  <c r="Z46" i="94" s="1"/>
  <c r="N46" i="94"/>
  <c r="L46" i="94"/>
  <c r="B46" i="94"/>
  <c r="X45" i="94"/>
  <c r="Z45" i="94" s="1"/>
  <c r="T45" i="94"/>
  <c r="P45" i="94"/>
  <c r="H45" i="94"/>
  <c r="N45" i="94" s="1"/>
  <c r="D45" i="94"/>
  <c r="L45" i="94" s="1"/>
  <c r="B45" i="94"/>
  <c r="X44" i="94"/>
  <c r="Z44" i="94" s="1"/>
  <c r="N44" i="94"/>
  <c r="L44" i="94"/>
  <c r="B44" i="94"/>
  <c r="Z43" i="94"/>
  <c r="X43" i="94"/>
  <c r="T43" i="94"/>
  <c r="P43" i="94"/>
  <c r="H43" i="94"/>
  <c r="D43" i="94"/>
  <c r="L43" i="94" s="1"/>
  <c r="N43" i="94" s="1"/>
  <c r="B43" i="94"/>
  <c r="Z42" i="94"/>
  <c r="X42" i="94"/>
  <c r="L42" i="94"/>
  <c r="N42" i="94" s="1"/>
  <c r="B42" i="94"/>
  <c r="T41" i="94"/>
  <c r="P41" i="94"/>
  <c r="X41" i="94" s="1"/>
  <c r="N41" i="94"/>
  <c r="H41" i="94"/>
  <c r="D41" i="94"/>
  <c r="L41" i="94" s="1"/>
  <c r="B41" i="94"/>
  <c r="X40" i="94"/>
  <c r="Z40" i="94" s="1"/>
  <c r="L40" i="94"/>
  <c r="N40" i="94" s="1"/>
  <c r="F40" i="94"/>
  <c r="B40" i="94"/>
  <c r="T39" i="94"/>
  <c r="P39" i="94"/>
  <c r="X39" i="94" s="1"/>
  <c r="L39" i="94"/>
  <c r="N39" i="94" s="1"/>
  <c r="H39" i="94"/>
  <c r="F39" i="94"/>
  <c r="D39" i="94"/>
  <c r="B39" i="94"/>
  <c r="Z38" i="94"/>
  <c r="X38" i="94"/>
  <c r="N38" i="94"/>
  <c r="L38" i="94"/>
  <c r="F38" i="94"/>
  <c r="B38" i="94"/>
  <c r="T37" i="94"/>
  <c r="X37" i="94" s="1"/>
  <c r="Z37" i="94" s="1"/>
  <c r="P37" i="94"/>
  <c r="N37" i="94"/>
  <c r="L37" i="94"/>
  <c r="H37" i="94"/>
  <c r="F37" i="94"/>
  <c r="D37" i="94"/>
  <c r="B37" i="94"/>
  <c r="Z36" i="94"/>
  <c r="X36" i="94"/>
  <c r="L36" i="94"/>
  <c r="N36" i="94" s="1"/>
  <c r="B36" i="94"/>
  <c r="Z35" i="94"/>
  <c r="T35" i="94"/>
  <c r="P35" i="94"/>
  <c r="X35" i="94" s="1"/>
  <c r="H35" i="94"/>
  <c r="D35" i="94"/>
  <c r="B35" i="94"/>
  <c r="X34" i="94"/>
  <c r="Z34" i="94" s="1"/>
  <c r="N34" i="94"/>
  <c r="L34" i="94"/>
  <c r="B34" i="94"/>
  <c r="X33" i="94"/>
  <c r="Z33" i="94" s="1"/>
  <c r="V33" i="94"/>
  <c r="N33" i="94"/>
  <c r="L33" i="94"/>
  <c r="B33" i="94"/>
  <c r="X32" i="94"/>
  <c r="Z32" i="94" s="1"/>
  <c r="L32" i="94"/>
  <c r="N32" i="94" s="1"/>
  <c r="F32" i="94"/>
  <c r="B32" i="94"/>
  <c r="T31" i="94"/>
  <c r="R31" i="94"/>
  <c r="P31" i="94"/>
  <c r="X31" i="94" s="1"/>
  <c r="L31" i="94"/>
  <c r="N31" i="94" s="1"/>
  <c r="H31" i="94"/>
  <c r="F31" i="94"/>
  <c r="D31" i="94"/>
  <c r="B31" i="94"/>
  <c r="Z30" i="94"/>
  <c r="X30" i="94"/>
  <c r="R30" i="94"/>
  <c r="N30" i="94"/>
  <c r="L30" i="94"/>
  <c r="F30" i="94"/>
  <c r="B30" i="94"/>
  <c r="Z29" i="94"/>
  <c r="X29" i="94"/>
  <c r="L29" i="94"/>
  <c r="N29" i="94" s="1"/>
  <c r="F29" i="94"/>
  <c r="B29" i="94"/>
  <c r="X28" i="94"/>
  <c r="Z28" i="94" s="1"/>
  <c r="R28" i="94"/>
  <c r="N28" i="94"/>
  <c r="L28" i="94"/>
  <c r="B28" i="94"/>
  <c r="X27" i="94"/>
  <c r="Z27" i="94" s="1"/>
  <c r="N27" i="94"/>
  <c r="L27" i="94"/>
  <c r="B27" i="94"/>
  <c r="Z26" i="94"/>
  <c r="X26" i="94"/>
  <c r="R26" i="94"/>
  <c r="N26" i="94"/>
  <c r="L26" i="94"/>
  <c r="F26" i="94"/>
  <c r="B26" i="94"/>
  <c r="Z25" i="94"/>
  <c r="X25" i="94"/>
  <c r="L25" i="94"/>
  <c r="N25" i="94" s="1"/>
  <c r="F25" i="94"/>
  <c r="B25" i="94"/>
  <c r="X24" i="94"/>
  <c r="Z24" i="94" s="1"/>
  <c r="R24" i="94"/>
  <c r="N24" i="94"/>
  <c r="L24" i="94"/>
  <c r="B24" i="94"/>
  <c r="X23" i="94"/>
  <c r="Z23" i="94" s="1"/>
  <c r="T23" i="94"/>
  <c r="P23" i="94"/>
  <c r="H23" i="94"/>
  <c r="D23" i="94"/>
  <c r="L23" i="94" s="1"/>
  <c r="N23" i="94" s="1"/>
  <c r="B23" i="94"/>
  <c r="T22" i="94"/>
  <c r="P22" i="94"/>
  <c r="H22" i="94"/>
  <c r="D22" i="94"/>
  <c r="L22" i="94" s="1"/>
  <c r="T20" i="94"/>
  <c r="D20" i="94"/>
  <c r="Z18" i="94"/>
  <c r="X18" i="94"/>
  <c r="R18" i="94"/>
  <c r="L18" i="94"/>
  <c r="N18" i="94" s="1"/>
  <c r="B18" i="94"/>
  <c r="X17" i="94"/>
  <c r="Z17" i="94" s="1"/>
  <c r="V17" i="94"/>
  <c r="R17" i="94"/>
  <c r="L17" i="94"/>
  <c r="N17" i="94" s="1"/>
  <c r="B17" i="94"/>
  <c r="T16" i="94"/>
  <c r="P16" i="94"/>
  <c r="X16" i="94" s="1"/>
  <c r="H16" i="94"/>
  <c r="D16" i="94"/>
  <c r="T14" i="94"/>
  <c r="Z14" i="94" s="1"/>
  <c r="P14" i="94"/>
  <c r="X14" i="94" s="1"/>
  <c r="H14" i="94"/>
  <c r="D14" i="94"/>
  <c r="B14" i="94"/>
  <c r="T13" i="94"/>
  <c r="T12" i="94" s="1"/>
  <c r="V55" i="94" s="1"/>
  <c r="P13" i="94"/>
  <c r="X13" i="94" s="1"/>
  <c r="L13" i="94"/>
  <c r="H13" i="94"/>
  <c r="H12" i="94" s="1"/>
  <c r="D13" i="94"/>
  <c r="D12" i="94" s="1"/>
  <c r="B13" i="94"/>
  <c r="P12" i="94"/>
  <c r="R61" i="94" s="1"/>
  <c r="D6" i="94"/>
  <c r="D4" i="94"/>
  <c r="X61" i="93"/>
  <c r="Z61" i="93" s="1"/>
  <c r="L61" i="93"/>
  <c r="N61" i="93" s="1"/>
  <c r="T57" i="93"/>
  <c r="Z57" i="93" s="1"/>
  <c r="P57" i="93"/>
  <c r="X57" i="93" s="1"/>
  <c r="N57" i="93"/>
  <c r="H57" i="93"/>
  <c r="D57" i="93"/>
  <c r="L57" i="93" s="1"/>
  <c r="Z55" i="93"/>
  <c r="X55" i="93"/>
  <c r="L55" i="93"/>
  <c r="N55" i="93" s="1"/>
  <c r="B55" i="93"/>
  <c r="T54" i="93"/>
  <c r="P54" i="93"/>
  <c r="X54" i="93" s="1"/>
  <c r="Z54" i="93" s="1"/>
  <c r="H54" i="93"/>
  <c r="D54" i="93"/>
  <c r="L54" i="93" s="1"/>
  <c r="B54" i="93"/>
  <c r="X53" i="93"/>
  <c r="Z53" i="93" s="1"/>
  <c r="N53" i="93"/>
  <c r="L53" i="93"/>
  <c r="B53" i="93"/>
  <c r="X52" i="93"/>
  <c r="Z52" i="93" s="1"/>
  <c r="N52" i="93"/>
  <c r="L52" i="93"/>
  <c r="B52" i="93"/>
  <c r="T51" i="93"/>
  <c r="P51" i="93"/>
  <c r="X51" i="93" s="1"/>
  <c r="H51" i="93"/>
  <c r="D51" i="93"/>
  <c r="L51" i="93" s="1"/>
  <c r="B51" i="93"/>
  <c r="X50" i="93"/>
  <c r="Z50" i="93" s="1"/>
  <c r="N50" i="93"/>
  <c r="L50" i="93"/>
  <c r="B50" i="93"/>
  <c r="Z49" i="93"/>
  <c r="X49" i="93"/>
  <c r="N49" i="93"/>
  <c r="L49" i="93"/>
  <c r="B49" i="93"/>
  <c r="Z48" i="93"/>
  <c r="T48" i="93"/>
  <c r="P48" i="93"/>
  <c r="X48" i="93" s="1"/>
  <c r="L48" i="93"/>
  <c r="H48" i="93"/>
  <c r="D48" i="93"/>
  <c r="B48" i="93"/>
  <c r="X47" i="93"/>
  <c r="Z47" i="93" s="1"/>
  <c r="L47" i="93"/>
  <c r="N47" i="93" s="1"/>
  <c r="B47" i="93"/>
  <c r="T46" i="93"/>
  <c r="P46" i="93"/>
  <c r="X46" i="93" s="1"/>
  <c r="Z46" i="93" s="1"/>
  <c r="H46" i="93"/>
  <c r="D46" i="93"/>
  <c r="B46" i="93"/>
  <c r="X45" i="93"/>
  <c r="Z45" i="93" s="1"/>
  <c r="N45" i="93"/>
  <c r="L45" i="93"/>
  <c r="B45" i="93"/>
  <c r="Z44" i="93"/>
  <c r="X44" i="93"/>
  <c r="T44" i="93"/>
  <c r="P44" i="93"/>
  <c r="L44" i="93"/>
  <c r="H44" i="93"/>
  <c r="F44" i="93"/>
  <c r="D44" i="93"/>
  <c r="B44" i="93"/>
  <c r="Z43" i="93"/>
  <c r="X43" i="93"/>
  <c r="L43" i="93"/>
  <c r="N43" i="93" s="1"/>
  <c r="B43" i="93"/>
  <c r="Z42" i="93"/>
  <c r="T42" i="93"/>
  <c r="X42" i="93" s="1"/>
  <c r="P42" i="93"/>
  <c r="H42" i="93"/>
  <c r="D42" i="93"/>
  <c r="B42" i="93"/>
  <c r="X41" i="93"/>
  <c r="Z41" i="93" s="1"/>
  <c r="L41" i="93"/>
  <c r="N41" i="93" s="1"/>
  <c r="B41" i="93"/>
  <c r="T40" i="93"/>
  <c r="P40" i="93"/>
  <c r="X40" i="93" s="1"/>
  <c r="Z40" i="93" s="1"/>
  <c r="L40" i="93"/>
  <c r="N40" i="93" s="1"/>
  <c r="H40" i="93"/>
  <c r="D40" i="93"/>
  <c r="B40" i="93"/>
  <c r="Z39" i="93"/>
  <c r="X39" i="93"/>
  <c r="L39" i="93"/>
  <c r="N39" i="93" s="1"/>
  <c r="B39" i="93"/>
  <c r="Z38" i="93"/>
  <c r="T38" i="93"/>
  <c r="P38" i="93"/>
  <c r="X38" i="93" s="1"/>
  <c r="H38" i="93"/>
  <c r="D38" i="93"/>
  <c r="B38" i="93"/>
  <c r="X37" i="93"/>
  <c r="Z37" i="93" s="1"/>
  <c r="N37" i="93"/>
  <c r="L37" i="93"/>
  <c r="B37" i="93"/>
  <c r="T36" i="93"/>
  <c r="P36" i="93"/>
  <c r="X36" i="93" s="1"/>
  <c r="Z36" i="93" s="1"/>
  <c r="H36" i="93"/>
  <c r="N36" i="93" s="1"/>
  <c r="D36" i="93"/>
  <c r="L36" i="93" s="1"/>
  <c r="B36" i="93"/>
  <c r="X35" i="93"/>
  <c r="Z35" i="93" s="1"/>
  <c r="N35" i="93"/>
  <c r="L35" i="93"/>
  <c r="B35" i="93"/>
  <c r="X34" i="93"/>
  <c r="Z34" i="93" s="1"/>
  <c r="N34" i="93"/>
  <c r="L34" i="93"/>
  <c r="B34" i="93"/>
  <c r="Z33" i="93"/>
  <c r="X33" i="93"/>
  <c r="L33" i="93"/>
  <c r="N33" i="93" s="1"/>
  <c r="F33" i="93"/>
  <c r="B33" i="93"/>
  <c r="X32" i="93"/>
  <c r="Z32" i="93" s="1"/>
  <c r="T32" i="93"/>
  <c r="P32" i="93"/>
  <c r="L32" i="93"/>
  <c r="N32" i="93" s="1"/>
  <c r="H32" i="93"/>
  <c r="D32" i="93"/>
  <c r="B32" i="93"/>
  <c r="Z31" i="93"/>
  <c r="X31" i="93"/>
  <c r="N31" i="93"/>
  <c r="L31" i="93"/>
  <c r="B31" i="93"/>
  <c r="Z30" i="93"/>
  <c r="X30" i="93"/>
  <c r="L30" i="93"/>
  <c r="N30" i="93" s="1"/>
  <c r="B30" i="93"/>
  <c r="X29" i="93"/>
  <c r="Z29" i="93" s="1"/>
  <c r="L29" i="93"/>
  <c r="N29" i="93" s="1"/>
  <c r="B29" i="93"/>
  <c r="X28" i="93"/>
  <c r="Z28" i="93" s="1"/>
  <c r="N28" i="93"/>
  <c r="L28" i="93"/>
  <c r="B28" i="93"/>
  <c r="Z27" i="93"/>
  <c r="X27" i="93"/>
  <c r="N27" i="93"/>
  <c r="L27" i="93"/>
  <c r="B27" i="93"/>
  <c r="Z26" i="93"/>
  <c r="X26" i="93"/>
  <c r="L26" i="93"/>
  <c r="N26" i="93" s="1"/>
  <c r="B26" i="93"/>
  <c r="X25" i="93"/>
  <c r="Z25" i="93" s="1"/>
  <c r="L25" i="93"/>
  <c r="N25" i="93" s="1"/>
  <c r="B25" i="93"/>
  <c r="X24" i="93"/>
  <c r="Z24" i="93" s="1"/>
  <c r="N24" i="93"/>
  <c r="L24" i="93"/>
  <c r="B24" i="93"/>
  <c r="T23" i="93"/>
  <c r="P23" i="93"/>
  <c r="X23" i="93" s="1"/>
  <c r="Z23" i="93" s="1"/>
  <c r="H23" i="93"/>
  <c r="D23" i="93"/>
  <c r="B23" i="93"/>
  <c r="T22" i="93"/>
  <c r="P22" i="93"/>
  <c r="X22" i="93" s="1"/>
  <c r="H22" i="93"/>
  <c r="D22" i="93"/>
  <c r="L22" i="93" s="1"/>
  <c r="N22" i="93" s="1"/>
  <c r="X18" i="93"/>
  <c r="Z18" i="93" s="1"/>
  <c r="L18" i="93"/>
  <c r="N18" i="93" s="1"/>
  <c r="B18" i="93"/>
  <c r="X17" i="93"/>
  <c r="Z17" i="93" s="1"/>
  <c r="N17" i="93"/>
  <c r="L17" i="93"/>
  <c r="B17" i="93"/>
  <c r="Z16" i="93"/>
  <c r="T16" i="93"/>
  <c r="P16" i="93"/>
  <c r="X16" i="93" s="1"/>
  <c r="H16" i="93"/>
  <c r="D16" i="93"/>
  <c r="L16" i="93" s="1"/>
  <c r="T14" i="93"/>
  <c r="P14" i="93"/>
  <c r="L14" i="93"/>
  <c r="N14" i="93" s="1"/>
  <c r="H14" i="93"/>
  <c r="D14" i="93"/>
  <c r="B14" i="93"/>
  <c r="T13" i="93"/>
  <c r="T12" i="93" s="1"/>
  <c r="V16" i="93" s="1"/>
  <c r="P13" i="93"/>
  <c r="L13" i="93"/>
  <c r="H13" i="93"/>
  <c r="D13" i="93"/>
  <c r="D12" i="93" s="1"/>
  <c r="F32" i="93" s="1"/>
  <c r="B13" i="93"/>
  <c r="H12" i="93"/>
  <c r="J22" i="93" s="1"/>
  <c r="D6" i="93"/>
  <c r="D4" i="93"/>
  <c r="X67" i="92"/>
  <c r="Z67" i="92" s="1"/>
  <c r="L67" i="92"/>
  <c r="N67" i="92" s="1"/>
  <c r="Z63" i="92"/>
  <c r="T63" i="92"/>
  <c r="P63" i="92"/>
  <c r="X63" i="92" s="1"/>
  <c r="H63" i="92"/>
  <c r="N63" i="92" s="1"/>
  <c r="D63" i="92"/>
  <c r="L63" i="92" s="1"/>
  <c r="Z61" i="92"/>
  <c r="X61" i="92"/>
  <c r="L61" i="92"/>
  <c r="N61" i="92" s="1"/>
  <c r="B61" i="92"/>
  <c r="T60" i="92"/>
  <c r="P60" i="92"/>
  <c r="X60" i="92" s="1"/>
  <c r="N60" i="92"/>
  <c r="L60" i="92"/>
  <c r="H60" i="92"/>
  <c r="D60" i="92"/>
  <c r="B60" i="92"/>
  <c r="X59" i="92"/>
  <c r="Z59" i="92" s="1"/>
  <c r="N59" i="92"/>
  <c r="L59" i="92"/>
  <c r="B59" i="92"/>
  <c r="Z58" i="92"/>
  <c r="X58" i="92"/>
  <c r="L58" i="92"/>
  <c r="N58" i="92" s="1"/>
  <c r="B58" i="92"/>
  <c r="X57" i="92"/>
  <c r="Z57" i="92" s="1"/>
  <c r="L57" i="92"/>
  <c r="N57" i="92" s="1"/>
  <c r="B57" i="92"/>
  <c r="X56" i="92"/>
  <c r="Z56" i="92" s="1"/>
  <c r="N56" i="92"/>
  <c r="L56" i="92"/>
  <c r="B56" i="92"/>
  <c r="X55" i="92"/>
  <c r="Z55" i="92" s="1"/>
  <c r="T55" i="92"/>
  <c r="R55" i="92"/>
  <c r="P55" i="92"/>
  <c r="H55" i="92"/>
  <c r="D55" i="92"/>
  <c r="L55" i="92" s="1"/>
  <c r="B55" i="92"/>
  <c r="X54" i="92"/>
  <c r="Z54" i="92" s="1"/>
  <c r="N54" i="92"/>
  <c r="L54" i="92"/>
  <c r="B54" i="92"/>
  <c r="X53" i="92"/>
  <c r="Z53" i="92" s="1"/>
  <c r="N53" i="92"/>
  <c r="L53" i="92"/>
  <c r="B53" i="92"/>
  <c r="Z52" i="92"/>
  <c r="T52" i="92"/>
  <c r="P52" i="92"/>
  <c r="X52" i="92" s="1"/>
  <c r="L52" i="92"/>
  <c r="N52" i="92" s="1"/>
  <c r="H52" i="92"/>
  <c r="D52" i="92"/>
  <c r="B52" i="92"/>
  <c r="X51" i="92"/>
  <c r="Z51" i="92" s="1"/>
  <c r="R51" i="92"/>
  <c r="L51" i="92"/>
  <c r="N51" i="92" s="1"/>
  <c r="B51" i="92"/>
  <c r="Z50" i="92"/>
  <c r="X50" i="92"/>
  <c r="V50" i="92"/>
  <c r="T50" i="92"/>
  <c r="P50" i="92"/>
  <c r="H50" i="92"/>
  <c r="N50" i="92" s="1"/>
  <c r="D50" i="92"/>
  <c r="L50" i="92" s="1"/>
  <c r="B50" i="92"/>
  <c r="X49" i="92"/>
  <c r="Z49" i="92" s="1"/>
  <c r="L49" i="92"/>
  <c r="N49" i="92" s="1"/>
  <c r="B49" i="92"/>
  <c r="X48" i="92"/>
  <c r="V48" i="92"/>
  <c r="T48" i="92"/>
  <c r="P48" i="92"/>
  <c r="H48" i="92"/>
  <c r="D48" i="92"/>
  <c r="L48" i="92" s="1"/>
  <c r="N48" i="92" s="1"/>
  <c r="B48" i="92"/>
  <c r="Z47" i="92"/>
  <c r="X47" i="92"/>
  <c r="R47" i="92"/>
  <c r="N47" i="92"/>
  <c r="L47" i="92"/>
  <c r="B47" i="92"/>
  <c r="X46" i="92"/>
  <c r="T46" i="92"/>
  <c r="Z46" i="92" s="1"/>
  <c r="R46" i="92"/>
  <c r="P46" i="92"/>
  <c r="N46" i="92"/>
  <c r="H46" i="92"/>
  <c r="D46" i="92"/>
  <c r="L46" i="92" s="1"/>
  <c r="B46" i="92"/>
  <c r="Z45" i="92"/>
  <c r="X45" i="92"/>
  <c r="L45" i="92"/>
  <c r="N45" i="92" s="1"/>
  <c r="B45" i="92"/>
  <c r="V44" i="92"/>
  <c r="T44" i="92"/>
  <c r="P44" i="92"/>
  <c r="L44" i="92"/>
  <c r="N44" i="92" s="1"/>
  <c r="H44" i="92"/>
  <c r="D44" i="92"/>
  <c r="B44" i="92"/>
  <c r="X43" i="92"/>
  <c r="Z43" i="92" s="1"/>
  <c r="N43" i="92"/>
  <c r="L43" i="92"/>
  <c r="B43" i="92"/>
  <c r="T42" i="92"/>
  <c r="R42" i="92"/>
  <c r="P42" i="92"/>
  <c r="X42" i="92" s="1"/>
  <c r="Z42" i="92" s="1"/>
  <c r="H42" i="92"/>
  <c r="D42" i="92"/>
  <c r="B42" i="92"/>
  <c r="X41" i="92"/>
  <c r="Z41" i="92" s="1"/>
  <c r="N41" i="92"/>
  <c r="L41" i="92"/>
  <c r="B41" i="92"/>
  <c r="Z40" i="92"/>
  <c r="V40" i="92"/>
  <c r="T40" i="92"/>
  <c r="P40" i="92"/>
  <c r="X40" i="92" s="1"/>
  <c r="H40" i="92"/>
  <c r="D40" i="92"/>
  <c r="L40" i="92" s="1"/>
  <c r="B40" i="92"/>
  <c r="X39" i="92"/>
  <c r="Z39" i="92" s="1"/>
  <c r="L39" i="92"/>
  <c r="N39" i="92" s="1"/>
  <c r="B39" i="92"/>
  <c r="X38" i="92"/>
  <c r="Z38" i="92" s="1"/>
  <c r="T38" i="92"/>
  <c r="P38" i="92"/>
  <c r="H38" i="92"/>
  <c r="D38" i="92"/>
  <c r="B38" i="92"/>
  <c r="X37" i="92"/>
  <c r="Z37" i="92" s="1"/>
  <c r="L37" i="92"/>
  <c r="N37" i="92" s="1"/>
  <c r="B37" i="92"/>
  <c r="X36" i="92"/>
  <c r="Z36" i="92" s="1"/>
  <c r="R36" i="92"/>
  <c r="N36" i="92"/>
  <c r="L36" i="92"/>
  <c r="B36" i="92"/>
  <c r="X35" i="92"/>
  <c r="Z35" i="92" s="1"/>
  <c r="N35" i="92"/>
  <c r="L35" i="92"/>
  <c r="B35" i="92"/>
  <c r="Z34" i="92"/>
  <c r="X34" i="92"/>
  <c r="R34" i="92"/>
  <c r="L34" i="92"/>
  <c r="N34" i="92" s="1"/>
  <c r="B34" i="92"/>
  <c r="Z33" i="92"/>
  <c r="X33" i="92"/>
  <c r="L33" i="92"/>
  <c r="N33" i="92" s="1"/>
  <c r="B33" i="92"/>
  <c r="X32" i="92"/>
  <c r="Z32" i="92" s="1"/>
  <c r="R32" i="92"/>
  <c r="N32" i="92"/>
  <c r="L32" i="92"/>
  <c r="B32" i="92"/>
  <c r="X31" i="92"/>
  <c r="Z31" i="92" s="1"/>
  <c r="V31" i="92"/>
  <c r="T31" i="92"/>
  <c r="P31" i="92"/>
  <c r="L31" i="92"/>
  <c r="H31" i="92"/>
  <c r="N31" i="92" s="1"/>
  <c r="D31" i="92"/>
  <c r="B31" i="92"/>
  <c r="X30" i="92"/>
  <c r="Z30" i="92" s="1"/>
  <c r="R30" i="92"/>
  <c r="N30" i="92"/>
  <c r="L30" i="92"/>
  <c r="B30" i="92"/>
  <c r="X29" i="92"/>
  <c r="Z29" i="92" s="1"/>
  <c r="N29" i="92"/>
  <c r="L29" i="92"/>
  <c r="B29" i="92"/>
  <c r="Z28" i="92"/>
  <c r="X28" i="92"/>
  <c r="N28" i="92"/>
  <c r="L28" i="92"/>
  <c r="B28" i="92"/>
  <c r="Z27" i="92"/>
  <c r="X27" i="92"/>
  <c r="R27" i="92"/>
  <c r="L27" i="92"/>
  <c r="N27" i="92" s="1"/>
  <c r="B27" i="92"/>
  <c r="Z26" i="92"/>
  <c r="X26" i="92"/>
  <c r="R26" i="92"/>
  <c r="L26" i="92"/>
  <c r="N26" i="92" s="1"/>
  <c r="B26" i="92"/>
  <c r="X25" i="92"/>
  <c r="Z25" i="92" s="1"/>
  <c r="V25" i="92"/>
  <c r="R25" i="92"/>
  <c r="N25" i="92"/>
  <c r="L25" i="92"/>
  <c r="B25" i="92"/>
  <c r="Z24" i="92"/>
  <c r="X24" i="92"/>
  <c r="L24" i="92"/>
  <c r="N24" i="92" s="1"/>
  <c r="B24" i="92"/>
  <c r="X23" i="92"/>
  <c r="Z23" i="92" s="1"/>
  <c r="R23" i="92"/>
  <c r="L23" i="92"/>
  <c r="N23" i="92" s="1"/>
  <c r="B23" i="92"/>
  <c r="T22" i="92"/>
  <c r="R22" i="92"/>
  <c r="P22" i="92"/>
  <c r="H22" i="92"/>
  <c r="D22" i="92"/>
  <c r="L22" i="92" s="1"/>
  <c r="N22" i="92" s="1"/>
  <c r="B22" i="92"/>
  <c r="T21" i="92"/>
  <c r="R21" i="92"/>
  <c r="P21" i="92"/>
  <c r="X21" i="92" s="1"/>
  <c r="H21" i="92"/>
  <c r="D21" i="92"/>
  <c r="L21" i="92" s="1"/>
  <c r="P19" i="92"/>
  <c r="Z17" i="92"/>
  <c r="X17" i="92"/>
  <c r="R17" i="92"/>
  <c r="N17" i="92"/>
  <c r="L17" i="92"/>
  <c r="B17" i="92"/>
  <c r="Z16" i="92"/>
  <c r="T16" i="92"/>
  <c r="X16" i="92" s="1"/>
  <c r="P16" i="92"/>
  <c r="H16" i="92"/>
  <c r="D16" i="92"/>
  <c r="L16" i="92" s="1"/>
  <c r="N16" i="92" s="1"/>
  <c r="Z14" i="92"/>
  <c r="X14" i="92"/>
  <c r="T14" i="92"/>
  <c r="P14" i="92"/>
  <c r="H14" i="92"/>
  <c r="D14" i="92"/>
  <c r="L14" i="92" s="1"/>
  <c r="B14" i="92"/>
  <c r="X13" i="92"/>
  <c r="T13" i="92"/>
  <c r="P13" i="92"/>
  <c r="P12" i="92" s="1"/>
  <c r="R39" i="92" s="1"/>
  <c r="L13" i="92"/>
  <c r="H13" i="92"/>
  <c r="D13" i="92"/>
  <c r="B13" i="92"/>
  <c r="T12" i="92"/>
  <c r="V35" i="92" s="1"/>
  <c r="D6" i="92"/>
  <c r="D4" i="92"/>
  <c r="V83" i="91"/>
  <c r="Z81" i="91"/>
  <c r="X81" i="91"/>
  <c r="R81" i="91"/>
  <c r="N81" i="91"/>
  <c r="L81" i="91"/>
  <c r="F81" i="91"/>
  <c r="F79" i="91"/>
  <c r="T77" i="91"/>
  <c r="P77" i="91"/>
  <c r="H77" i="91"/>
  <c r="F77" i="91"/>
  <c r="D77" i="91"/>
  <c r="L77" i="91" s="1"/>
  <c r="N77" i="91" s="1"/>
  <c r="B77" i="91"/>
  <c r="X76" i="91"/>
  <c r="Z76" i="91" s="1"/>
  <c r="T76" i="91"/>
  <c r="P76" i="91"/>
  <c r="P75" i="91" s="1"/>
  <c r="H76" i="91"/>
  <c r="N76" i="91" s="1"/>
  <c r="F76" i="91"/>
  <c r="D76" i="91"/>
  <c r="L76" i="91" s="1"/>
  <c r="B76" i="91"/>
  <c r="Z73" i="91"/>
  <c r="X73" i="91"/>
  <c r="N73" i="91"/>
  <c r="L73" i="91"/>
  <c r="B73" i="91"/>
  <c r="T72" i="91"/>
  <c r="X72" i="91" s="1"/>
  <c r="Z72" i="91" s="1"/>
  <c r="R72" i="91"/>
  <c r="P72" i="91"/>
  <c r="H72" i="91"/>
  <c r="D72" i="91"/>
  <c r="L72" i="91" s="1"/>
  <c r="N72" i="91" s="1"/>
  <c r="B72" i="91"/>
  <c r="Z71" i="91"/>
  <c r="X71" i="91"/>
  <c r="L71" i="91"/>
  <c r="N71" i="91" s="1"/>
  <c r="B71" i="91"/>
  <c r="X70" i="91"/>
  <c r="Z70" i="91" s="1"/>
  <c r="L70" i="91"/>
  <c r="N70" i="91" s="1"/>
  <c r="B70" i="91"/>
  <c r="X69" i="91"/>
  <c r="Z69" i="91" s="1"/>
  <c r="V69" i="91"/>
  <c r="N69" i="91"/>
  <c r="L69" i="91"/>
  <c r="B69" i="91"/>
  <c r="T68" i="91"/>
  <c r="P68" i="91"/>
  <c r="X68" i="91" s="1"/>
  <c r="Z68" i="91" s="1"/>
  <c r="L68" i="91"/>
  <c r="H68" i="91"/>
  <c r="D68" i="91"/>
  <c r="B68" i="91"/>
  <c r="X67" i="91"/>
  <c r="Z67" i="91" s="1"/>
  <c r="N67" i="91"/>
  <c r="L67" i="91"/>
  <c r="F67" i="91"/>
  <c r="B67" i="91"/>
  <c r="T66" i="91"/>
  <c r="P66" i="91"/>
  <c r="X66" i="91" s="1"/>
  <c r="Z66" i="91" s="1"/>
  <c r="H66" i="91"/>
  <c r="D66" i="91"/>
  <c r="L66" i="91" s="1"/>
  <c r="N66" i="91" s="1"/>
  <c r="B66" i="91"/>
  <c r="Z65" i="91"/>
  <c r="X65" i="91"/>
  <c r="L65" i="91"/>
  <c r="N65" i="91" s="1"/>
  <c r="B65" i="91"/>
  <c r="T64" i="91"/>
  <c r="R64" i="91"/>
  <c r="P64" i="91"/>
  <c r="H64" i="91"/>
  <c r="D64" i="91"/>
  <c r="B64" i="91"/>
  <c r="Z63" i="91"/>
  <c r="X63" i="91"/>
  <c r="R63" i="91"/>
  <c r="L63" i="91"/>
  <c r="N63" i="91" s="1"/>
  <c r="B63" i="91"/>
  <c r="X62" i="91"/>
  <c r="Z62" i="91" s="1"/>
  <c r="V62" i="91"/>
  <c r="N62" i="91"/>
  <c r="L62" i="91"/>
  <c r="B62" i="91"/>
  <c r="Z61" i="91"/>
  <c r="X61" i="91"/>
  <c r="L61" i="91"/>
  <c r="N61" i="91" s="1"/>
  <c r="F61" i="91"/>
  <c r="B61" i="91"/>
  <c r="Z60" i="91"/>
  <c r="X60" i="91"/>
  <c r="L60" i="91"/>
  <c r="N60" i="91" s="1"/>
  <c r="B60" i="91"/>
  <c r="V59" i="91"/>
  <c r="T59" i="91"/>
  <c r="P59" i="91"/>
  <c r="X59" i="91" s="1"/>
  <c r="Z59" i="91" s="1"/>
  <c r="N59" i="91"/>
  <c r="L59" i="91"/>
  <c r="H59" i="91"/>
  <c r="F59" i="91"/>
  <c r="D59" i="91"/>
  <c r="B59" i="91"/>
  <c r="Z58" i="91"/>
  <c r="X58" i="91"/>
  <c r="V58" i="91"/>
  <c r="L58" i="91"/>
  <c r="N58" i="91" s="1"/>
  <c r="B58" i="91"/>
  <c r="Z57" i="91"/>
  <c r="X57" i="91"/>
  <c r="N57" i="91"/>
  <c r="L57" i="91"/>
  <c r="F57" i="91"/>
  <c r="B57" i="91"/>
  <c r="Z56" i="91"/>
  <c r="X56" i="91"/>
  <c r="L56" i="91"/>
  <c r="N56" i="91" s="1"/>
  <c r="B56" i="91"/>
  <c r="X55" i="91"/>
  <c r="Z55" i="91" s="1"/>
  <c r="R55" i="91"/>
  <c r="N55" i="91"/>
  <c r="L55" i="91"/>
  <c r="B55" i="91"/>
  <c r="X54" i="91"/>
  <c r="Z54" i="91" s="1"/>
  <c r="L54" i="91"/>
  <c r="N54" i="91" s="1"/>
  <c r="F54" i="91"/>
  <c r="B54" i="91"/>
  <c r="T53" i="91"/>
  <c r="R53" i="91"/>
  <c r="P53" i="91"/>
  <c r="X53" i="91" s="1"/>
  <c r="Z53" i="91" s="1"/>
  <c r="H53" i="91"/>
  <c r="D53" i="91"/>
  <c r="B53" i="91"/>
  <c r="Z52" i="91"/>
  <c r="X52" i="91"/>
  <c r="N52" i="91"/>
  <c r="L52" i="91"/>
  <c r="B52" i="91"/>
  <c r="Z51" i="91"/>
  <c r="X51" i="91"/>
  <c r="N51" i="91"/>
  <c r="L51" i="91"/>
  <c r="F51" i="91"/>
  <c r="B51" i="91"/>
  <c r="V50" i="91"/>
  <c r="T50" i="91"/>
  <c r="P50" i="91"/>
  <c r="X50" i="91" s="1"/>
  <c r="Z50" i="91" s="1"/>
  <c r="L50" i="91"/>
  <c r="N50" i="91" s="1"/>
  <c r="H50" i="91"/>
  <c r="D50" i="91"/>
  <c r="B50" i="91"/>
  <c r="Z49" i="91"/>
  <c r="X49" i="91"/>
  <c r="V49" i="91"/>
  <c r="L49" i="91"/>
  <c r="N49" i="91" s="1"/>
  <c r="F49" i="91"/>
  <c r="B49" i="91"/>
  <c r="T48" i="91"/>
  <c r="R48" i="91"/>
  <c r="P48" i="91"/>
  <c r="H48" i="91"/>
  <c r="F48" i="91"/>
  <c r="D48" i="91"/>
  <c r="L48" i="91" s="1"/>
  <c r="B48" i="91"/>
  <c r="X47" i="91"/>
  <c r="Z47" i="91" s="1"/>
  <c r="N47" i="91"/>
  <c r="L47" i="91"/>
  <c r="B47" i="91"/>
  <c r="X46" i="91"/>
  <c r="Z46" i="91" s="1"/>
  <c r="T46" i="91"/>
  <c r="P46" i="91"/>
  <c r="L46" i="91"/>
  <c r="H46" i="91"/>
  <c r="D46" i="91"/>
  <c r="B46" i="91"/>
  <c r="X45" i="91"/>
  <c r="Z45" i="91" s="1"/>
  <c r="N45" i="91"/>
  <c r="L45" i="91"/>
  <c r="F45" i="91"/>
  <c r="B45" i="91"/>
  <c r="T44" i="91"/>
  <c r="X44" i="91" s="1"/>
  <c r="Z44" i="91" s="1"/>
  <c r="P44" i="91"/>
  <c r="H44" i="91"/>
  <c r="F44" i="91"/>
  <c r="D44" i="91"/>
  <c r="L44" i="91" s="1"/>
  <c r="N44" i="91" s="1"/>
  <c r="B44" i="91"/>
  <c r="Z43" i="91"/>
  <c r="X43" i="91"/>
  <c r="V43" i="91"/>
  <c r="N43" i="91"/>
  <c r="L43" i="91"/>
  <c r="B43" i="91"/>
  <c r="X42" i="91"/>
  <c r="Z42" i="91" s="1"/>
  <c r="V42" i="91"/>
  <c r="L42" i="91"/>
  <c r="N42" i="91" s="1"/>
  <c r="F42" i="91"/>
  <c r="B42" i="91"/>
  <c r="Z41" i="91"/>
  <c r="X41" i="91"/>
  <c r="N41" i="91"/>
  <c r="L41" i="91"/>
  <c r="B41" i="91"/>
  <c r="X40" i="91"/>
  <c r="T40" i="91"/>
  <c r="Z40" i="91" s="1"/>
  <c r="P40" i="91"/>
  <c r="L40" i="91"/>
  <c r="N40" i="91" s="1"/>
  <c r="J40" i="91"/>
  <c r="H40" i="91"/>
  <c r="D40" i="91"/>
  <c r="B40" i="91"/>
  <c r="Z39" i="91"/>
  <c r="X39" i="91"/>
  <c r="V39" i="91"/>
  <c r="N39" i="91"/>
  <c r="L39" i="91"/>
  <c r="F39" i="91"/>
  <c r="B39" i="91"/>
  <c r="X38" i="91"/>
  <c r="T38" i="91"/>
  <c r="Z38" i="91" s="1"/>
  <c r="P38" i="91"/>
  <c r="H38" i="91"/>
  <c r="F38" i="91"/>
  <c r="D38" i="91"/>
  <c r="B38" i="91"/>
  <c r="Z37" i="91"/>
  <c r="X37" i="91"/>
  <c r="V37" i="91"/>
  <c r="N37" i="91"/>
  <c r="L37" i="91"/>
  <c r="F37" i="91"/>
  <c r="B37" i="91"/>
  <c r="T36" i="91"/>
  <c r="P36" i="91"/>
  <c r="X36" i="91" s="1"/>
  <c r="Z36" i="91" s="1"/>
  <c r="H36" i="91"/>
  <c r="F36" i="91"/>
  <c r="D36" i="91"/>
  <c r="L36" i="91" s="1"/>
  <c r="N36" i="91" s="1"/>
  <c r="B36" i="91"/>
  <c r="Z35" i="91"/>
  <c r="X35" i="91"/>
  <c r="V35" i="91"/>
  <c r="N35" i="91"/>
  <c r="L35" i="91"/>
  <c r="B35" i="91"/>
  <c r="X34" i="91"/>
  <c r="Z34" i="91" s="1"/>
  <c r="V34" i="91"/>
  <c r="L34" i="91"/>
  <c r="N34" i="91" s="1"/>
  <c r="F34" i="91"/>
  <c r="B34" i="91"/>
  <c r="Z33" i="91"/>
  <c r="X33" i="91"/>
  <c r="N33" i="91"/>
  <c r="L33" i="91"/>
  <c r="B33" i="91"/>
  <c r="X32" i="91"/>
  <c r="Z32" i="91" s="1"/>
  <c r="V32" i="91"/>
  <c r="R32" i="91"/>
  <c r="N32" i="91"/>
  <c r="L32" i="91"/>
  <c r="F32" i="91"/>
  <c r="B32" i="91"/>
  <c r="Z31" i="91"/>
  <c r="X31" i="91"/>
  <c r="V31" i="91"/>
  <c r="N31" i="91"/>
  <c r="L31" i="91"/>
  <c r="F31" i="91"/>
  <c r="B31" i="91"/>
  <c r="X30" i="91"/>
  <c r="Z30" i="91" s="1"/>
  <c r="V30" i="91"/>
  <c r="L30" i="91"/>
  <c r="N30" i="91" s="1"/>
  <c r="F30" i="91"/>
  <c r="B30" i="91"/>
  <c r="T29" i="91"/>
  <c r="R29" i="91"/>
  <c r="P29" i="91"/>
  <c r="X29" i="91" s="1"/>
  <c r="Z29" i="91" s="1"/>
  <c r="H29" i="91"/>
  <c r="F29" i="91"/>
  <c r="D29" i="91"/>
  <c r="L29" i="91" s="1"/>
  <c r="N29" i="91" s="1"/>
  <c r="B29" i="91"/>
  <c r="Z28" i="91"/>
  <c r="X28" i="91"/>
  <c r="R28" i="91"/>
  <c r="N28" i="91"/>
  <c r="L28" i="91"/>
  <c r="F28" i="91"/>
  <c r="B28" i="91"/>
  <c r="Z27" i="91"/>
  <c r="X27" i="91"/>
  <c r="V27" i="91"/>
  <c r="L27" i="91"/>
  <c r="N27" i="91" s="1"/>
  <c r="F27" i="91"/>
  <c r="B27" i="91"/>
  <c r="X26" i="91"/>
  <c r="Z26" i="91" s="1"/>
  <c r="R26" i="91"/>
  <c r="N26" i="91"/>
  <c r="L26" i="91"/>
  <c r="B26" i="91"/>
  <c r="Z25" i="91"/>
  <c r="X25" i="91"/>
  <c r="N25" i="91"/>
  <c r="L25" i="91"/>
  <c r="F25" i="91"/>
  <c r="B25" i="91"/>
  <c r="Z24" i="91"/>
  <c r="X24" i="91"/>
  <c r="V24" i="91"/>
  <c r="R24" i="91"/>
  <c r="N24" i="91"/>
  <c r="L24" i="91"/>
  <c r="F24" i="91"/>
  <c r="B24" i="91"/>
  <c r="Z23" i="91"/>
  <c r="X23" i="91"/>
  <c r="V23" i="91"/>
  <c r="L23" i="91"/>
  <c r="N23" i="91" s="1"/>
  <c r="F23" i="91"/>
  <c r="B23" i="91"/>
  <c r="X22" i="91"/>
  <c r="Z22" i="91" s="1"/>
  <c r="R22" i="91"/>
  <c r="N22" i="91"/>
  <c r="L22" i="91"/>
  <c r="B22" i="91"/>
  <c r="Z21" i="91"/>
  <c r="X21" i="91"/>
  <c r="N21" i="91"/>
  <c r="L21" i="91"/>
  <c r="F21" i="91"/>
  <c r="B21" i="91"/>
  <c r="Z20" i="91"/>
  <c r="X20" i="91"/>
  <c r="V20" i="91"/>
  <c r="R20" i="91"/>
  <c r="N20" i="91"/>
  <c r="L20" i="91"/>
  <c r="F20" i="91"/>
  <c r="B20" i="91"/>
  <c r="X19" i="91"/>
  <c r="Z19" i="91" s="1"/>
  <c r="V19" i="91"/>
  <c r="T19" i="91"/>
  <c r="P19" i="91"/>
  <c r="L19" i="91"/>
  <c r="N19" i="91" s="1"/>
  <c r="H19" i="91"/>
  <c r="F19" i="91"/>
  <c r="D19" i="91"/>
  <c r="B19" i="91"/>
  <c r="T18" i="91"/>
  <c r="R18" i="91"/>
  <c r="P18" i="91"/>
  <c r="X18" i="91" s="1"/>
  <c r="Z18" i="91" s="1"/>
  <c r="H18" i="91"/>
  <c r="D18" i="91"/>
  <c r="L18" i="91" s="1"/>
  <c r="N18" i="91" s="1"/>
  <c r="R16" i="91"/>
  <c r="P16" i="91"/>
  <c r="D16" i="91"/>
  <c r="Z14" i="91"/>
  <c r="T14" i="91"/>
  <c r="T16" i="91" s="1"/>
  <c r="R14" i="91"/>
  <c r="P14" i="91"/>
  <c r="X14" i="91" s="1"/>
  <c r="N14" i="91"/>
  <c r="H14" i="91"/>
  <c r="D14" i="91"/>
  <c r="L14" i="91" s="1"/>
  <c r="Z12" i="91"/>
  <c r="X12" i="91"/>
  <c r="T12" i="91"/>
  <c r="V72" i="91" s="1"/>
  <c r="P12" i="91"/>
  <c r="R71" i="91" s="1"/>
  <c r="L12" i="91"/>
  <c r="H12" i="91"/>
  <c r="D12" i="91"/>
  <c r="F68" i="91" s="1"/>
  <c r="D6" i="91"/>
  <c r="D4" i="91"/>
  <c r="V61" i="88"/>
  <c r="Z56" i="88"/>
  <c r="X56" i="88"/>
  <c r="R56" i="88"/>
  <c r="N56" i="88"/>
  <c r="L56" i="88"/>
  <c r="Z52" i="88"/>
  <c r="T52" i="88"/>
  <c r="P52" i="88"/>
  <c r="X52" i="88" s="1"/>
  <c r="N52" i="88"/>
  <c r="L52" i="88"/>
  <c r="H52" i="88"/>
  <c r="D52" i="88"/>
  <c r="Z50" i="88"/>
  <c r="X50" i="88"/>
  <c r="R50" i="88"/>
  <c r="L50" i="88"/>
  <c r="N50" i="88" s="1"/>
  <c r="F50" i="88"/>
  <c r="B50" i="88"/>
  <c r="V49" i="88"/>
  <c r="T49" i="88"/>
  <c r="P49" i="88"/>
  <c r="H49" i="88"/>
  <c r="N49" i="88" s="1"/>
  <c r="D49" i="88"/>
  <c r="L49" i="88" s="1"/>
  <c r="B49" i="88"/>
  <c r="X48" i="88"/>
  <c r="Z48" i="88" s="1"/>
  <c r="V48" i="88"/>
  <c r="L48" i="88"/>
  <c r="N48" i="88" s="1"/>
  <c r="F48" i="88"/>
  <c r="B48" i="88"/>
  <c r="T47" i="88"/>
  <c r="P47" i="88"/>
  <c r="X47" i="88" s="1"/>
  <c r="Z47" i="88" s="1"/>
  <c r="H47" i="88"/>
  <c r="N47" i="88" s="1"/>
  <c r="F47" i="88"/>
  <c r="D47" i="88"/>
  <c r="L47" i="88" s="1"/>
  <c r="B47" i="88"/>
  <c r="X46" i="88"/>
  <c r="Z46" i="88" s="1"/>
  <c r="R46" i="88"/>
  <c r="N46" i="88"/>
  <c r="L46" i="88"/>
  <c r="B46" i="88"/>
  <c r="Z45" i="88"/>
  <c r="X45" i="88"/>
  <c r="N45" i="88"/>
  <c r="L45" i="88"/>
  <c r="B45" i="88"/>
  <c r="X44" i="88"/>
  <c r="T44" i="88"/>
  <c r="P44" i="88"/>
  <c r="H44" i="88"/>
  <c r="D44" i="88"/>
  <c r="B44" i="88"/>
  <c r="Z43" i="88"/>
  <c r="X43" i="88"/>
  <c r="R43" i="88"/>
  <c r="N43" i="88"/>
  <c r="L43" i="88"/>
  <c r="B43" i="88"/>
  <c r="T42" i="88"/>
  <c r="P42" i="88"/>
  <c r="H42" i="88"/>
  <c r="D42" i="88"/>
  <c r="L42" i="88" s="1"/>
  <c r="N42" i="88" s="1"/>
  <c r="B42" i="88"/>
  <c r="Z41" i="88"/>
  <c r="X41" i="88"/>
  <c r="N41" i="88"/>
  <c r="L41" i="88"/>
  <c r="B41" i="88"/>
  <c r="T40" i="88"/>
  <c r="P40" i="88"/>
  <c r="X40" i="88" s="1"/>
  <c r="Z40" i="88" s="1"/>
  <c r="L40" i="88"/>
  <c r="H40" i="88"/>
  <c r="D40" i="88"/>
  <c r="B40" i="88"/>
  <c r="Z39" i="88"/>
  <c r="X39" i="88"/>
  <c r="N39" i="88"/>
  <c r="L39" i="88"/>
  <c r="B39" i="88"/>
  <c r="T38" i="88"/>
  <c r="R38" i="88"/>
  <c r="P38" i="88"/>
  <c r="H38" i="88"/>
  <c r="N38" i="88" s="1"/>
  <c r="D38" i="88"/>
  <c r="L38" i="88" s="1"/>
  <c r="B38" i="88"/>
  <c r="Z37" i="88"/>
  <c r="X37" i="88"/>
  <c r="R37" i="88"/>
  <c r="N37" i="88"/>
  <c r="L37" i="88"/>
  <c r="B37" i="88"/>
  <c r="T36" i="88"/>
  <c r="P36" i="88"/>
  <c r="X36" i="88" s="1"/>
  <c r="H36" i="88"/>
  <c r="D36" i="88"/>
  <c r="B36" i="88"/>
  <c r="Z35" i="88"/>
  <c r="X35" i="88"/>
  <c r="L35" i="88"/>
  <c r="N35" i="88" s="1"/>
  <c r="B35" i="88"/>
  <c r="T34" i="88"/>
  <c r="P34" i="88"/>
  <c r="X34" i="88" s="1"/>
  <c r="H34" i="88"/>
  <c r="D34" i="88"/>
  <c r="L34" i="88" s="1"/>
  <c r="N34" i="88" s="1"/>
  <c r="B34" i="88"/>
  <c r="X33" i="88"/>
  <c r="Z33" i="88" s="1"/>
  <c r="N33" i="88"/>
  <c r="L33" i="88"/>
  <c r="F33" i="88"/>
  <c r="B33" i="88"/>
  <c r="X32" i="88"/>
  <c r="Z32" i="88" s="1"/>
  <c r="R32" i="88"/>
  <c r="N32" i="88"/>
  <c r="L32" i="88"/>
  <c r="B32" i="88"/>
  <c r="X31" i="88"/>
  <c r="Z31" i="88" s="1"/>
  <c r="N31" i="88"/>
  <c r="L31" i="88"/>
  <c r="B31" i="88"/>
  <c r="T30" i="88"/>
  <c r="R30" i="88"/>
  <c r="P30" i="88"/>
  <c r="H30" i="88"/>
  <c r="D30" i="88"/>
  <c r="L30" i="88" s="1"/>
  <c r="B30" i="88"/>
  <c r="Z29" i="88"/>
  <c r="X29" i="88"/>
  <c r="V29" i="88"/>
  <c r="R29" i="88"/>
  <c r="N29" i="88"/>
  <c r="L29" i="88"/>
  <c r="B29" i="88"/>
  <c r="X28" i="88"/>
  <c r="Z28" i="88" s="1"/>
  <c r="R28" i="88"/>
  <c r="L28" i="88"/>
  <c r="N28" i="88" s="1"/>
  <c r="B28" i="88"/>
  <c r="Z27" i="88"/>
  <c r="X27" i="88"/>
  <c r="N27" i="88"/>
  <c r="L27" i="88"/>
  <c r="B27" i="88"/>
  <c r="Z26" i="88"/>
  <c r="X26" i="88"/>
  <c r="R26" i="88"/>
  <c r="L26" i="88"/>
  <c r="N26" i="88" s="1"/>
  <c r="B26" i="88"/>
  <c r="Z25" i="88"/>
  <c r="X25" i="88"/>
  <c r="R25" i="88"/>
  <c r="N25" i="88"/>
  <c r="L25" i="88"/>
  <c r="B25" i="88"/>
  <c r="X24" i="88"/>
  <c r="Z24" i="88" s="1"/>
  <c r="N24" i="88"/>
  <c r="L24" i="88"/>
  <c r="B24" i="88"/>
  <c r="Z23" i="88"/>
  <c r="X23" i="88"/>
  <c r="R23" i="88"/>
  <c r="L23" i="88"/>
  <c r="N23" i="88" s="1"/>
  <c r="B23" i="88"/>
  <c r="Z22" i="88"/>
  <c r="X22" i="88"/>
  <c r="R22" i="88"/>
  <c r="L22" i="88"/>
  <c r="N22" i="88" s="1"/>
  <c r="B22" i="88"/>
  <c r="X21" i="88"/>
  <c r="Z21" i="88" s="1"/>
  <c r="T21" i="88"/>
  <c r="P21" i="88"/>
  <c r="H21" i="88"/>
  <c r="N21" i="88" s="1"/>
  <c r="F21" i="88"/>
  <c r="D21" i="88"/>
  <c r="L21" i="88" s="1"/>
  <c r="B21" i="88"/>
  <c r="Z20" i="88"/>
  <c r="X20" i="88"/>
  <c r="V20" i="88"/>
  <c r="T20" i="88"/>
  <c r="P20" i="88"/>
  <c r="H20" i="88"/>
  <c r="D20" i="88"/>
  <c r="L20" i="88" s="1"/>
  <c r="V18" i="88"/>
  <c r="P18" i="88"/>
  <c r="D18" i="88"/>
  <c r="X16" i="88"/>
  <c r="Z16" i="88" s="1"/>
  <c r="L16" i="88"/>
  <c r="N16" i="88" s="1"/>
  <c r="F16" i="88"/>
  <c r="B16" i="88"/>
  <c r="Z15" i="88"/>
  <c r="X15" i="88"/>
  <c r="N15" i="88"/>
  <c r="L15" i="88"/>
  <c r="B15" i="88"/>
  <c r="V14" i="88"/>
  <c r="T14" i="88"/>
  <c r="R14" i="88"/>
  <c r="P14" i="88"/>
  <c r="X14" i="88" s="1"/>
  <c r="H14" i="88"/>
  <c r="N14" i="88" s="1"/>
  <c r="D14" i="88"/>
  <c r="L14" i="88" s="1"/>
  <c r="T12" i="88"/>
  <c r="V37" i="88" s="1"/>
  <c r="P12" i="88"/>
  <c r="H12" i="88"/>
  <c r="J26" i="88" s="1"/>
  <c r="D12" i="88"/>
  <c r="F32" i="88" s="1"/>
  <c r="D6" i="88"/>
  <c r="D4" i="88"/>
  <c r="X76" i="87"/>
  <c r="Z76" i="87" s="1"/>
  <c r="L76" i="87"/>
  <c r="N76" i="87" s="1"/>
  <c r="T72" i="87"/>
  <c r="Z72" i="87" s="1"/>
  <c r="P72" i="87"/>
  <c r="X72" i="87" s="1"/>
  <c r="J72" i="87"/>
  <c r="H72" i="87"/>
  <c r="N72" i="87" s="1"/>
  <c r="D72" i="87"/>
  <c r="L72" i="87" s="1"/>
  <c r="X70" i="87"/>
  <c r="Z70" i="87" s="1"/>
  <c r="L70" i="87"/>
  <c r="N70" i="87" s="1"/>
  <c r="B70" i="87"/>
  <c r="T69" i="87"/>
  <c r="P69" i="87"/>
  <c r="H69" i="87"/>
  <c r="N69" i="87" s="1"/>
  <c r="D69" i="87"/>
  <c r="L69" i="87" s="1"/>
  <c r="B69" i="87"/>
  <c r="X68" i="87"/>
  <c r="Z68" i="87" s="1"/>
  <c r="N68" i="87"/>
  <c r="L68" i="87"/>
  <c r="B68" i="87"/>
  <c r="T67" i="87"/>
  <c r="Z67" i="87" s="1"/>
  <c r="P67" i="87"/>
  <c r="X67" i="87" s="1"/>
  <c r="L67" i="87"/>
  <c r="N67" i="87" s="1"/>
  <c r="H67" i="87"/>
  <c r="D67" i="87"/>
  <c r="B67" i="87"/>
  <c r="X66" i="87"/>
  <c r="Z66" i="87" s="1"/>
  <c r="N66" i="87"/>
  <c r="L66" i="87"/>
  <c r="J66" i="87"/>
  <c r="B66" i="87"/>
  <c r="T65" i="87"/>
  <c r="Z65" i="87" s="1"/>
  <c r="P65" i="87"/>
  <c r="X65" i="87" s="1"/>
  <c r="H65" i="87"/>
  <c r="D65" i="87"/>
  <c r="B65" i="87"/>
  <c r="X64" i="87"/>
  <c r="Z64" i="87" s="1"/>
  <c r="N64" i="87"/>
  <c r="L64" i="87"/>
  <c r="B64" i="87"/>
  <c r="Z63" i="87"/>
  <c r="X63" i="87"/>
  <c r="N63" i="87"/>
  <c r="L63" i="87"/>
  <c r="B63" i="87"/>
  <c r="Z62" i="87"/>
  <c r="X62" i="87"/>
  <c r="L62" i="87"/>
  <c r="N62" i="87" s="1"/>
  <c r="B62" i="87"/>
  <c r="X61" i="87"/>
  <c r="Z61" i="87" s="1"/>
  <c r="L61" i="87"/>
  <c r="N61" i="87" s="1"/>
  <c r="B61" i="87"/>
  <c r="X60" i="87"/>
  <c r="Z60" i="87" s="1"/>
  <c r="N60" i="87"/>
  <c r="L60" i="87"/>
  <c r="B60" i="87"/>
  <c r="T59" i="87"/>
  <c r="P59" i="87"/>
  <c r="X59" i="87" s="1"/>
  <c r="Z59" i="87" s="1"/>
  <c r="H59" i="87"/>
  <c r="D59" i="87"/>
  <c r="B59" i="87"/>
  <c r="X58" i="87"/>
  <c r="Z58" i="87" s="1"/>
  <c r="L58" i="87"/>
  <c r="N58" i="87" s="1"/>
  <c r="B58" i="87"/>
  <c r="X57" i="87"/>
  <c r="Z57" i="87" s="1"/>
  <c r="N57" i="87"/>
  <c r="L57" i="87"/>
  <c r="B57" i="87"/>
  <c r="Z56" i="87"/>
  <c r="X56" i="87"/>
  <c r="N56" i="87"/>
  <c r="L56" i="87"/>
  <c r="B56" i="87"/>
  <c r="T55" i="87"/>
  <c r="Z55" i="87" s="1"/>
  <c r="P55" i="87"/>
  <c r="X55" i="87" s="1"/>
  <c r="L55" i="87"/>
  <c r="N55" i="87" s="1"/>
  <c r="H55" i="87"/>
  <c r="D55" i="87"/>
  <c r="B55" i="87"/>
  <c r="X54" i="87"/>
  <c r="Z54" i="87" s="1"/>
  <c r="N54" i="87"/>
  <c r="L54" i="87"/>
  <c r="B54" i="87"/>
  <c r="T53" i="87"/>
  <c r="P53" i="87"/>
  <c r="X53" i="87" s="1"/>
  <c r="L53" i="87"/>
  <c r="H53" i="87"/>
  <c r="D53" i="87"/>
  <c r="B53" i="87"/>
  <c r="X52" i="87"/>
  <c r="Z52" i="87" s="1"/>
  <c r="N52" i="87"/>
  <c r="L52" i="87"/>
  <c r="J52" i="87"/>
  <c r="B52" i="87"/>
  <c r="Z51" i="87"/>
  <c r="X51" i="87"/>
  <c r="N51" i="87"/>
  <c r="L51" i="87"/>
  <c r="B51" i="87"/>
  <c r="Z50" i="87"/>
  <c r="X50" i="87"/>
  <c r="T50" i="87"/>
  <c r="P50" i="87"/>
  <c r="H50" i="87"/>
  <c r="D50" i="87"/>
  <c r="B50" i="87"/>
  <c r="X49" i="87"/>
  <c r="Z49" i="87" s="1"/>
  <c r="N49" i="87"/>
  <c r="L49" i="87"/>
  <c r="B49" i="87"/>
  <c r="T48" i="87"/>
  <c r="P48" i="87"/>
  <c r="X48" i="87" s="1"/>
  <c r="Z48" i="87" s="1"/>
  <c r="H48" i="87"/>
  <c r="D48" i="87"/>
  <c r="L48" i="87" s="1"/>
  <c r="B48" i="87"/>
  <c r="X47" i="87"/>
  <c r="Z47" i="87" s="1"/>
  <c r="N47" i="87"/>
  <c r="L47" i="87"/>
  <c r="B47" i="87"/>
  <c r="X46" i="87"/>
  <c r="Z46" i="87" s="1"/>
  <c r="T46" i="87"/>
  <c r="P46" i="87"/>
  <c r="N46" i="87"/>
  <c r="H46" i="87"/>
  <c r="D46" i="87"/>
  <c r="L46" i="87" s="1"/>
  <c r="B46" i="87"/>
  <c r="X45" i="87"/>
  <c r="Z45" i="87" s="1"/>
  <c r="L45" i="87"/>
  <c r="N45" i="87" s="1"/>
  <c r="B45" i="87"/>
  <c r="T44" i="87"/>
  <c r="P44" i="87"/>
  <c r="N44" i="87"/>
  <c r="L44" i="87"/>
  <c r="J44" i="87"/>
  <c r="H44" i="87"/>
  <c r="D44" i="87"/>
  <c r="B44" i="87"/>
  <c r="Z43" i="87"/>
  <c r="X43" i="87"/>
  <c r="L43" i="87"/>
  <c r="N43" i="87" s="1"/>
  <c r="B43" i="87"/>
  <c r="X42" i="87"/>
  <c r="Z42" i="87" s="1"/>
  <c r="L42" i="87"/>
  <c r="N42" i="87" s="1"/>
  <c r="J42" i="87"/>
  <c r="B42" i="87"/>
  <c r="X41" i="87"/>
  <c r="Z41" i="87" s="1"/>
  <c r="T41" i="87"/>
  <c r="P41" i="87"/>
  <c r="H41" i="87"/>
  <c r="D41" i="87"/>
  <c r="B41" i="87"/>
  <c r="Z40" i="87"/>
  <c r="X40" i="87"/>
  <c r="L40" i="87"/>
  <c r="N40" i="87" s="1"/>
  <c r="B40" i="87"/>
  <c r="X39" i="87"/>
  <c r="T39" i="87"/>
  <c r="P39" i="87"/>
  <c r="H39" i="87"/>
  <c r="D39" i="87"/>
  <c r="L39" i="87" s="1"/>
  <c r="B39" i="87"/>
  <c r="Z38" i="87"/>
  <c r="X38" i="87"/>
  <c r="L38" i="87"/>
  <c r="N38" i="87" s="1"/>
  <c r="B38" i="87"/>
  <c r="T37" i="87"/>
  <c r="P37" i="87"/>
  <c r="H37" i="87"/>
  <c r="D37" i="87"/>
  <c r="L37" i="87" s="1"/>
  <c r="N37" i="87" s="1"/>
  <c r="B37" i="87"/>
  <c r="Z36" i="87"/>
  <c r="X36" i="87"/>
  <c r="N36" i="87"/>
  <c r="L36" i="87"/>
  <c r="B36" i="87"/>
  <c r="T35" i="87"/>
  <c r="P35" i="87"/>
  <c r="X35" i="87" s="1"/>
  <c r="L35" i="87"/>
  <c r="N35" i="87" s="1"/>
  <c r="H35" i="87"/>
  <c r="D35" i="87"/>
  <c r="B35" i="87"/>
  <c r="X34" i="87"/>
  <c r="Z34" i="87" s="1"/>
  <c r="N34" i="87"/>
  <c r="L34" i="87"/>
  <c r="B34" i="87"/>
  <c r="Z33" i="87"/>
  <c r="X33" i="87"/>
  <c r="L33" i="87"/>
  <c r="N33" i="87" s="1"/>
  <c r="F33" i="87"/>
  <c r="B33" i="87"/>
  <c r="Z32" i="87"/>
  <c r="T32" i="87"/>
  <c r="P32" i="87"/>
  <c r="X32" i="87" s="1"/>
  <c r="L32" i="87"/>
  <c r="N32" i="87" s="1"/>
  <c r="J32" i="87"/>
  <c r="H32" i="87"/>
  <c r="D32" i="87"/>
  <c r="B32" i="87"/>
  <c r="Z31" i="87"/>
  <c r="X31" i="87"/>
  <c r="N31" i="87"/>
  <c r="L31" i="87"/>
  <c r="B31" i="87"/>
  <c r="Z30" i="87"/>
  <c r="X30" i="87"/>
  <c r="L30" i="87"/>
  <c r="N30" i="87" s="1"/>
  <c r="B30" i="87"/>
  <c r="X29" i="87"/>
  <c r="Z29" i="87" s="1"/>
  <c r="L29" i="87"/>
  <c r="N29" i="87" s="1"/>
  <c r="B29" i="87"/>
  <c r="X28" i="87"/>
  <c r="Z28" i="87" s="1"/>
  <c r="N28" i="87"/>
  <c r="L28" i="87"/>
  <c r="B28" i="87"/>
  <c r="Z27" i="87"/>
  <c r="X27" i="87"/>
  <c r="N27" i="87"/>
  <c r="L27" i="87"/>
  <c r="B27" i="87"/>
  <c r="Z26" i="87"/>
  <c r="X26" i="87"/>
  <c r="L26" i="87"/>
  <c r="N26" i="87" s="1"/>
  <c r="B26" i="87"/>
  <c r="X25" i="87"/>
  <c r="Z25" i="87" s="1"/>
  <c r="L25" i="87"/>
  <c r="N25" i="87" s="1"/>
  <c r="B25" i="87"/>
  <c r="X24" i="87"/>
  <c r="Z24" i="87" s="1"/>
  <c r="N24" i="87"/>
  <c r="L24" i="87"/>
  <c r="B24" i="87"/>
  <c r="T23" i="87"/>
  <c r="P23" i="87"/>
  <c r="X23" i="87" s="1"/>
  <c r="Z23" i="87" s="1"/>
  <c r="H23" i="87"/>
  <c r="D23" i="87"/>
  <c r="B23" i="87"/>
  <c r="T22" i="87"/>
  <c r="P22" i="87"/>
  <c r="X22" i="87" s="1"/>
  <c r="N22" i="87"/>
  <c r="J22" i="87"/>
  <c r="H22" i="87"/>
  <c r="D22" i="87"/>
  <c r="L22" i="87" s="1"/>
  <c r="X18" i="87"/>
  <c r="Z18" i="87" s="1"/>
  <c r="L18" i="87"/>
  <c r="N18" i="87" s="1"/>
  <c r="J18" i="87"/>
  <c r="B18" i="87"/>
  <c r="X17" i="87"/>
  <c r="Z17" i="87" s="1"/>
  <c r="N17" i="87"/>
  <c r="L17" i="87"/>
  <c r="B17" i="87"/>
  <c r="T16" i="87"/>
  <c r="P16" i="87"/>
  <c r="X16" i="87" s="1"/>
  <c r="Z16" i="87" s="1"/>
  <c r="H16" i="87"/>
  <c r="D16" i="87"/>
  <c r="L16" i="87" s="1"/>
  <c r="T14" i="87"/>
  <c r="P14" i="87"/>
  <c r="N14" i="87"/>
  <c r="L14" i="87"/>
  <c r="H14" i="87"/>
  <c r="D14" i="87"/>
  <c r="B14" i="87"/>
  <c r="T13" i="87"/>
  <c r="P13" i="87"/>
  <c r="L13" i="87"/>
  <c r="H13" i="87"/>
  <c r="N13" i="87" s="1"/>
  <c r="D13" i="87"/>
  <c r="D12" i="87" s="1"/>
  <c r="B13" i="87"/>
  <c r="H12" i="87"/>
  <c r="J28" i="87" s="1"/>
  <c r="D6" i="87"/>
  <c r="D4" i="87"/>
  <c r="R30" i="85"/>
  <c r="X28" i="85"/>
  <c r="Z28" i="85" s="1"/>
  <c r="N28" i="85"/>
  <c r="L28" i="85"/>
  <c r="F26" i="85"/>
  <c r="T24" i="85"/>
  <c r="Z24" i="85" s="1"/>
  <c r="P24" i="85"/>
  <c r="X24" i="85" s="1"/>
  <c r="N24" i="85"/>
  <c r="J24" i="85"/>
  <c r="H24" i="85"/>
  <c r="F24" i="85"/>
  <c r="D24" i="85"/>
  <c r="L24" i="85" s="1"/>
  <c r="X22" i="85"/>
  <c r="Z22" i="85" s="1"/>
  <c r="L22" i="85"/>
  <c r="N22" i="85" s="1"/>
  <c r="B22" i="85"/>
  <c r="X21" i="85"/>
  <c r="Z21" i="85" s="1"/>
  <c r="T21" i="85"/>
  <c r="P21" i="85"/>
  <c r="H21" i="85"/>
  <c r="D21" i="85"/>
  <c r="B21" i="85"/>
  <c r="T20" i="85"/>
  <c r="P20" i="85"/>
  <c r="X20" i="85" s="1"/>
  <c r="Z20" i="85" s="1"/>
  <c r="L20" i="85"/>
  <c r="N20" i="85" s="1"/>
  <c r="H20" i="85"/>
  <c r="F20" i="85"/>
  <c r="D20" i="85"/>
  <c r="P18" i="85"/>
  <c r="F18" i="85"/>
  <c r="Z16" i="85"/>
  <c r="X16" i="85"/>
  <c r="L16" i="85"/>
  <c r="N16" i="85" s="1"/>
  <c r="F16" i="85"/>
  <c r="B16" i="85"/>
  <c r="T15" i="85"/>
  <c r="P15" i="85"/>
  <c r="J15" i="85"/>
  <c r="H15" i="85"/>
  <c r="F15" i="85"/>
  <c r="D15" i="85"/>
  <c r="X13" i="85"/>
  <c r="T13" i="85"/>
  <c r="P13" i="85"/>
  <c r="P12" i="85" s="1"/>
  <c r="H13" i="85"/>
  <c r="D13" i="85"/>
  <c r="L13" i="85" s="1"/>
  <c r="N13" i="85" s="1"/>
  <c r="B13" i="85"/>
  <c r="T12" i="85"/>
  <c r="V28" i="85" s="1"/>
  <c r="H12" i="85"/>
  <c r="D12" i="85"/>
  <c r="F28" i="85" s="1"/>
  <c r="D6" i="85"/>
  <c r="D4" i="85"/>
  <c r="X99" i="84"/>
  <c r="Z99" i="84" s="1"/>
  <c r="N99" i="84"/>
  <c r="L99" i="84"/>
  <c r="Z95" i="84"/>
  <c r="T95" i="84"/>
  <c r="P95" i="84"/>
  <c r="X95" i="84" s="1"/>
  <c r="N95" i="84"/>
  <c r="L95" i="84"/>
  <c r="H95" i="84"/>
  <c r="D95" i="84"/>
  <c r="Z93" i="84"/>
  <c r="X93" i="84"/>
  <c r="L93" i="84"/>
  <c r="N93" i="84" s="1"/>
  <c r="B93" i="84"/>
  <c r="T92" i="84"/>
  <c r="P92" i="84"/>
  <c r="H92" i="84"/>
  <c r="N92" i="84" s="1"/>
  <c r="D92" i="84"/>
  <c r="L92" i="84" s="1"/>
  <c r="B92" i="84"/>
  <c r="Z91" i="84"/>
  <c r="X91" i="84"/>
  <c r="N91" i="84"/>
  <c r="L91" i="84"/>
  <c r="B91" i="84"/>
  <c r="Z90" i="84"/>
  <c r="T90" i="84"/>
  <c r="P90" i="84"/>
  <c r="X90" i="84" s="1"/>
  <c r="N90" i="84"/>
  <c r="H90" i="84"/>
  <c r="D90" i="84"/>
  <c r="L90" i="84" s="1"/>
  <c r="B90" i="84"/>
  <c r="Z89" i="84"/>
  <c r="X89" i="84"/>
  <c r="N89" i="84"/>
  <c r="L89" i="84"/>
  <c r="B89" i="84"/>
  <c r="T88" i="84"/>
  <c r="P88" i="84"/>
  <c r="L88" i="84"/>
  <c r="N88" i="84" s="1"/>
  <c r="H88" i="84"/>
  <c r="D88" i="84"/>
  <c r="B88" i="84"/>
  <c r="X87" i="84"/>
  <c r="Z87" i="84" s="1"/>
  <c r="L87" i="84"/>
  <c r="N87" i="84" s="1"/>
  <c r="B87" i="84"/>
  <c r="Z86" i="84"/>
  <c r="X86" i="84"/>
  <c r="N86" i="84"/>
  <c r="L86" i="84"/>
  <c r="B86" i="84"/>
  <c r="T85" i="84"/>
  <c r="P85" i="84"/>
  <c r="X85" i="84" s="1"/>
  <c r="Z85" i="84" s="1"/>
  <c r="L85" i="84"/>
  <c r="N85" i="84" s="1"/>
  <c r="H85" i="84"/>
  <c r="D85" i="84"/>
  <c r="B85" i="84"/>
  <c r="Z84" i="84"/>
  <c r="X84" i="84"/>
  <c r="N84" i="84"/>
  <c r="L84" i="84"/>
  <c r="B84" i="84"/>
  <c r="Z83" i="84"/>
  <c r="X83" i="84"/>
  <c r="T83" i="84"/>
  <c r="P83" i="84"/>
  <c r="H83" i="84"/>
  <c r="D83" i="84"/>
  <c r="B83" i="84"/>
  <c r="Z82" i="84"/>
  <c r="X82" i="84"/>
  <c r="N82" i="84"/>
  <c r="L82" i="84"/>
  <c r="B82" i="84"/>
  <c r="Z81" i="84"/>
  <c r="X81" i="84"/>
  <c r="N81" i="84"/>
  <c r="L81" i="84"/>
  <c r="B81" i="84"/>
  <c r="Z80" i="84"/>
  <c r="X80" i="84"/>
  <c r="L80" i="84"/>
  <c r="N80" i="84" s="1"/>
  <c r="B80" i="84"/>
  <c r="T79" i="84"/>
  <c r="P79" i="84"/>
  <c r="X79" i="84" s="1"/>
  <c r="H79" i="84"/>
  <c r="D79" i="84"/>
  <c r="B79" i="84"/>
  <c r="Z78" i="84"/>
  <c r="X78" i="84"/>
  <c r="N78" i="84"/>
  <c r="L78" i="84"/>
  <c r="B78" i="84"/>
  <c r="Z77" i="84"/>
  <c r="T77" i="84"/>
  <c r="P77" i="84"/>
  <c r="X77" i="84" s="1"/>
  <c r="H77" i="84"/>
  <c r="D77" i="84"/>
  <c r="L77" i="84" s="1"/>
  <c r="N77" i="84" s="1"/>
  <c r="B77" i="84"/>
  <c r="Z76" i="84"/>
  <c r="X76" i="84"/>
  <c r="N76" i="84"/>
  <c r="L76" i="84"/>
  <c r="B76" i="84"/>
  <c r="X75" i="84"/>
  <c r="Z75" i="84" s="1"/>
  <c r="T75" i="84"/>
  <c r="P75" i="84"/>
  <c r="H75" i="84"/>
  <c r="D75" i="84"/>
  <c r="B75" i="84"/>
  <c r="Z74" i="84"/>
  <c r="X74" i="84"/>
  <c r="N74" i="84"/>
  <c r="L74" i="84"/>
  <c r="B74" i="84"/>
  <c r="T73" i="84"/>
  <c r="P73" i="84"/>
  <c r="H73" i="84"/>
  <c r="D73" i="84"/>
  <c r="B73" i="84"/>
  <c r="X72" i="84"/>
  <c r="Z72" i="84" s="1"/>
  <c r="N72" i="84"/>
  <c r="L72" i="84"/>
  <c r="B72" i="84"/>
  <c r="X71" i="84"/>
  <c r="Z71" i="84" s="1"/>
  <c r="T71" i="84"/>
  <c r="P71" i="84"/>
  <c r="L71" i="84"/>
  <c r="N71" i="84" s="1"/>
  <c r="H71" i="84"/>
  <c r="D71" i="84"/>
  <c r="B71" i="84"/>
  <c r="X70" i="84"/>
  <c r="Z70" i="84" s="1"/>
  <c r="N70" i="84"/>
  <c r="L70" i="84"/>
  <c r="B70" i="84"/>
  <c r="T69" i="84"/>
  <c r="P69" i="84"/>
  <c r="H69" i="84"/>
  <c r="L69" i="84" s="1"/>
  <c r="N69" i="84" s="1"/>
  <c r="D69" i="84"/>
  <c r="B69" i="84"/>
  <c r="Z68" i="84"/>
  <c r="X68" i="84"/>
  <c r="L68" i="84"/>
  <c r="N68" i="84" s="1"/>
  <c r="B68" i="84"/>
  <c r="T67" i="84"/>
  <c r="P67" i="84"/>
  <c r="X67" i="84" s="1"/>
  <c r="N67" i="84"/>
  <c r="H67" i="84"/>
  <c r="D67" i="84"/>
  <c r="L67" i="84" s="1"/>
  <c r="B67" i="84"/>
  <c r="Z66" i="84"/>
  <c r="X66" i="84"/>
  <c r="L66" i="84"/>
  <c r="N66" i="84" s="1"/>
  <c r="B66" i="84"/>
  <c r="X65" i="84"/>
  <c r="Z65" i="84" s="1"/>
  <c r="T65" i="84"/>
  <c r="P65" i="84"/>
  <c r="H65" i="84"/>
  <c r="D65" i="84"/>
  <c r="L65" i="84" s="1"/>
  <c r="N65" i="84" s="1"/>
  <c r="B65" i="84"/>
  <c r="Z64" i="84"/>
  <c r="X64" i="84"/>
  <c r="L64" i="84"/>
  <c r="N64" i="84" s="1"/>
  <c r="B64" i="84"/>
  <c r="T63" i="84"/>
  <c r="P63" i="84"/>
  <c r="L63" i="84"/>
  <c r="H63" i="84"/>
  <c r="D63" i="84"/>
  <c r="B63" i="84"/>
  <c r="Z62" i="84"/>
  <c r="X62" i="84"/>
  <c r="N62" i="84"/>
  <c r="L62" i="84"/>
  <c r="B62" i="84"/>
  <c r="X61" i="84"/>
  <c r="Z61" i="84" s="1"/>
  <c r="N61" i="84"/>
  <c r="L61" i="84"/>
  <c r="B61" i="84"/>
  <c r="Z60" i="84"/>
  <c r="X60" i="84"/>
  <c r="N60" i="84"/>
  <c r="L60" i="84"/>
  <c r="B60" i="84"/>
  <c r="X59" i="84"/>
  <c r="Z59" i="84" s="1"/>
  <c r="L59" i="84"/>
  <c r="N59" i="84" s="1"/>
  <c r="B59" i="84"/>
  <c r="X58" i="84"/>
  <c r="Z58" i="84" s="1"/>
  <c r="T58" i="84"/>
  <c r="P58" i="84"/>
  <c r="N58" i="84"/>
  <c r="H58" i="84"/>
  <c r="D58" i="84"/>
  <c r="L58" i="84" s="1"/>
  <c r="B58" i="84"/>
  <c r="Z57" i="84"/>
  <c r="X57" i="84"/>
  <c r="N57" i="84"/>
  <c r="L57" i="84"/>
  <c r="B57" i="84"/>
  <c r="X56" i="84"/>
  <c r="Z56" i="84" s="1"/>
  <c r="N56" i="84"/>
  <c r="L56" i="84"/>
  <c r="B56" i="84"/>
  <c r="Z55" i="84"/>
  <c r="X55" i="84"/>
  <c r="L55" i="84"/>
  <c r="N55" i="84" s="1"/>
  <c r="B55" i="84"/>
  <c r="Z54" i="84"/>
  <c r="X54" i="84"/>
  <c r="L54" i="84"/>
  <c r="N54" i="84" s="1"/>
  <c r="B54" i="84"/>
  <c r="X53" i="84"/>
  <c r="Z53" i="84" s="1"/>
  <c r="L53" i="84"/>
  <c r="N53" i="84" s="1"/>
  <c r="B53" i="84"/>
  <c r="Z52" i="84"/>
  <c r="X52" i="84"/>
  <c r="N52" i="84"/>
  <c r="L52" i="84"/>
  <c r="B52" i="84"/>
  <c r="Z51" i="84"/>
  <c r="X51" i="84"/>
  <c r="L51" i="84"/>
  <c r="N51" i="84" s="1"/>
  <c r="B51" i="84"/>
  <c r="Z50" i="84"/>
  <c r="X50" i="84"/>
  <c r="L50" i="84"/>
  <c r="N50" i="84" s="1"/>
  <c r="B50" i="84"/>
  <c r="X49" i="84"/>
  <c r="Z49" i="84" s="1"/>
  <c r="T49" i="84"/>
  <c r="P49" i="84"/>
  <c r="L49" i="84"/>
  <c r="H49" i="84"/>
  <c r="D49" i="84"/>
  <c r="B49" i="84"/>
  <c r="T48" i="84"/>
  <c r="P48" i="84"/>
  <c r="X48" i="84" s="1"/>
  <c r="Z48" i="84" s="1"/>
  <c r="H48" i="84"/>
  <c r="D48" i="84"/>
  <c r="L48" i="84" s="1"/>
  <c r="Z44" i="84"/>
  <c r="X44" i="84"/>
  <c r="L44" i="84"/>
  <c r="N44" i="84" s="1"/>
  <c r="B44" i="84"/>
  <c r="Z43" i="84"/>
  <c r="X43" i="84"/>
  <c r="L43" i="84"/>
  <c r="N43" i="84" s="1"/>
  <c r="B43" i="84"/>
  <c r="Z42" i="84"/>
  <c r="X42" i="84"/>
  <c r="N42" i="84"/>
  <c r="L42" i="84"/>
  <c r="B42" i="84"/>
  <c r="Z41" i="84"/>
  <c r="X41" i="84"/>
  <c r="L41" i="84"/>
  <c r="N41" i="84" s="1"/>
  <c r="B41" i="84"/>
  <c r="Z40" i="84"/>
  <c r="X40" i="84"/>
  <c r="L40" i="84"/>
  <c r="N40" i="84" s="1"/>
  <c r="B40" i="84"/>
  <c r="Z39" i="84"/>
  <c r="X39" i="84"/>
  <c r="L39" i="84"/>
  <c r="N39" i="84" s="1"/>
  <c r="B39" i="84"/>
  <c r="Z38" i="84"/>
  <c r="X38" i="84"/>
  <c r="N38" i="84"/>
  <c r="L38" i="84"/>
  <c r="B38" i="84"/>
  <c r="Z37" i="84"/>
  <c r="X37" i="84"/>
  <c r="L37" i="84"/>
  <c r="N37" i="84" s="1"/>
  <c r="B37" i="84"/>
  <c r="Z36" i="84"/>
  <c r="X36" i="84"/>
  <c r="L36" i="84"/>
  <c r="N36" i="84" s="1"/>
  <c r="B36" i="84"/>
  <c r="Z35" i="84"/>
  <c r="X35" i="84"/>
  <c r="L35" i="84"/>
  <c r="N35" i="84" s="1"/>
  <c r="B35" i="84"/>
  <c r="Z34" i="84"/>
  <c r="X34" i="84"/>
  <c r="N34" i="84"/>
  <c r="L34" i="84"/>
  <c r="B34" i="84"/>
  <c r="T33" i="84"/>
  <c r="P33" i="84"/>
  <c r="H33" i="84"/>
  <c r="D33" i="84"/>
  <c r="Z31" i="84"/>
  <c r="T31" i="84"/>
  <c r="P31" i="84"/>
  <c r="X31" i="84" s="1"/>
  <c r="H31" i="84"/>
  <c r="N31" i="84" s="1"/>
  <c r="D31" i="84"/>
  <c r="B31" i="84"/>
  <c r="Z30" i="84"/>
  <c r="T30" i="84"/>
  <c r="P30" i="84"/>
  <c r="X30" i="84" s="1"/>
  <c r="H30" i="84"/>
  <c r="D30" i="84"/>
  <c r="B30" i="84"/>
  <c r="T29" i="84"/>
  <c r="P29" i="84"/>
  <c r="X29" i="84" s="1"/>
  <c r="Z29" i="84" s="1"/>
  <c r="L29" i="84"/>
  <c r="H29" i="84"/>
  <c r="N29" i="84" s="1"/>
  <c r="D29" i="84"/>
  <c r="B29" i="84"/>
  <c r="T28" i="84"/>
  <c r="P28" i="84"/>
  <c r="X28" i="84" s="1"/>
  <c r="Z28" i="84" s="1"/>
  <c r="H28" i="84"/>
  <c r="L28" i="84" s="1"/>
  <c r="D28" i="84"/>
  <c r="B28" i="84"/>
  <c r="Z27" i="84"/>
  <c r="T27" i="84"/>
  <c r="P27" i="84"/>
  <c r="X27" i="84" s="1"/>
  <c r="H27" i="84"/>
  <c r="N27" i="84" s="1"/>
  <c r="D27" i="84"/>
  <c r="B27" i="84"/>
  <c r="Z26" i="84"/>
  <c r="T26" i="84"/>
  <c r="P26" i="84"/>
  <c r="X26" i="84" s="1"/>
  <c r="H26" i="84"/>
  <c r="D26" i="84"/>
  <c r="B26" i="84"/>
  <c r="T25" i="84"/>
  <c r="P25" i="84"/>
  <c r="X25" i="84" s="1"/>
  <c r="Z25" i="84" s="1"/>
  <c r="L25" i="84"/>
  <c r="H25" i="84"/>
  <c r="N25" i="84" s="1"/>
  <c r="D25" i="84"/>
  <c r="B25" i="84"/>
  <c r="Z24" i="84"/>
  <c r="T24" i="84"/>
  <c r="P24" i="84"/>
  <c r="X24" i="84" s="1"/>
  <c r="H24" i="84"/>
  <c r="L24" i="84" s="1"/>
  <c r="D24" i="84"/>
  <c r="B24" i="84"/>
  <c r="T23" i="84"/>
  <c r="P23" i="84"/>
  <c r="X23" i="84" s="1"/>
  <c r="Z23" i="84" s="1"/>
  <c r="H23" i="84"/>
  <c r="D23" i="84"/>
  <c r="L23" i="84" s="1"/>
  <c r="B23" i="84"/>
  <c r="Z22" i="84"/>
  <c r="T22" i="84"/>
  <c r="P22" i="84"/>
  <c r="X22" i="84" s="1"/>
  <c r="H22" i="84"/>
  <c r="D22" i="84"/>
  <c r="B22" i="84"/>
  <c r="X21" i="84"/>
  <c r="Z21" i="84" s="1"/>
  <c r="T21" i="84"/>
  <c r="P21" i="84"/>
  <c r="L21" i="84"/>
  <c r="H21" i="84"/>
  <c r="N21" i="84" s="1"/>
  <c r="D21" i="84"/>
  <c r="B21" i="84"/>
  <c r="T20" i="84"/>
  <c r="P20" i="84"/>
  <c r="X20" i="84" s="1"/>
  <c r="Z20" i="84" s="1"/>
  <c r="H20" i="84"/>
  <c r="L20" i="84" s="1"/>
  <c r="D20" i="84"/>
  <c r="B20" i="84"/>
  <c r="T19" i="84"/>
  <c r="P19" i="84"/>
  <c r="X19" i="84" s="1"/>
  <c r="Z19" i="84" s="1"/>
  <c r="H19" i="84"/>
  <c r="D19" i="84"/>
  <c r="B19" i="84"/>
  <c r="Z18" i="84"/>
  <c r="T18" i="84"/>
  <c r="P18" i="84"/>
  <c r="X18" i="84" s="1"/>
  <c r="H18" i="84"/>
  <c r="D18" i="84"/>
  <c r="B18" i="84"/>
  <c r="T17" i="84"/>
  <c r="Z17" i="84" s="1"/>
  <c r="P17" i="84"/>
  <c r="X17" i="84" s="1"/>
  <c r="L17" i="84"/>
  <c r="H17" i="84"/>
  <c r="N17" i="84" s="1"/>
  <c r="D17" i="84"/>
  <c r="B17" i="84"/>
  <c r="Z16" i="84"/>
  <c r="T16" i="84"/>
  <c r="P16" i="84"/>
  <c r="X16" i="84" s="1"/>
  <c r="H16" i="84"/>
  <c r="L16" i="84" s="1"/>
  <c r="N16" i="84" s="1"/>
  <c r="D16" i="84"/>
  <c r="B16" i="84"/>
  <c r="T15" i="84"/>
  <c r="P15" i="84"/>
  <c r="X15" i="84" s="1"/>
  <c r="Z15" i="84" s="1"/>
  <c r="H15" i="84"/>
  <c r="D15" i="84"/>
  <c r="L15" i="84" s="1"/>
  <c r="B15" i="84"/>
  <c r="T14" i="84"/>
  <c r="P14" i="84"/>
  <c r="X14" i="84" s="1"/>
  <c r="Z14" i="84" s="1"/>
  <c r="H14" i="84"/>
  <c r="D14" i="84"/>
  <c r="B14" i="84"/>
  <c r="Z13" i="84"/>
  <c r="T13" i="84"/>
  <c r="X13" i="84" s="1"/>
  <c r="P13" i="84"/>
  <c r="L13" i="84"/>
  <c r="H13" i="84"/>
  <c r="N13" i="84" s="1"/>
  <c r="D13" i="84"/>
  <c r="B13" i="84"/>
  <c r="D6" i="84"/>
  <c r="D4" i="84"/>
  <c r="X69" i="83"/>
  <c r="Z69" i="83" s="1"/>
  <c r="N69" i="83"/>
  <c r="L69" i="83"/>
  <c r="Z65" i="83"/>
  <c r="T65" i="83"/>
  <c r="P65" i="83"/>
  <c r="X65" i="83" s="1"/>
  <c r="N65" i="83"/>
  <c r="H65" i="83"/>
  <c r="D65" i="83"/>
  <c r="Z63" i="83"/>
  <c r="X63" i="83"/>
  <c r="L63" i="83"/>
  <c r="N63" i="83" s="1"/>
  <c r="B63" i="83"/>
  <c r="T62" i="83"/>
  <c r="P62" i="83"/>
  <c r="X62" i="83" s="1"/>
  <c r="Z62" i="83" s="1"/>
  <c r="H62" i="83"/>
  <c r="D62" i="83"/>
  <c r="L62" i="83" s="1"/>
  <c r="B62" i="83"/>
  <c r="X61" i="83"/>
  <c r="Z61" i="83" s="1"/>
  <c r="N61" i="83"/>
  <c r="L61" i="83"/>
  <c r="B61" i="83"/>
  <c r="X60" i="83"/>
  <c r="T60" i="83"/>
  <c r="P60" i="83"/>
  <c r="L60" i="83"/>
  <c r="H60" i="83"/>
  <c r="D60" i="83"/>
  <c r="B60" i="83"/>
  <c r="X59" i="83"/>
  <c r="Z59" i="83" s="1"/>
  <c r="N59" i="83"/>
  <c r="L59" i="83"/>
  <c r="B59" i="83"/>
  <c r="T58" i="83"/>
  <c r="P58" i="83"/>
  <c r="X58" i="83" s="1"/>
  <c r="H58" i="83"/>
  <c r="D58" i="83"/>
  <c r="B58" i="83"/>
  <c r="Z57" i="83"/>
  <c r="X57" i="83"/>
  <c r="L57" i="83"/>
  <c r="N57" i="83" s="1"/>
  <c r="B57" i="83"/>
  <c r="T56" i="83"/>
  <c r="Z56" i="83" s="1"/>
  <c r="P56" i="83"/>
  <c r="X56" i="83" s="1"/>
  <c r="L56" i="83"/>
  <c r="H56" i="83"/>
  <c r="N56" i="83" s="1"/>
  <c r="D56" i="83"/>
  <c r="B56" i="83"/>
  <c r="X55" i="83"/>
  <c r="Z55" i="83" s="1"/>
  <c r="L55" i="83"/>
  <c r="N55" i="83" s="1"/>
  <c r="B55" i="83"/>
  <c r="X54" i="83"/>
  <c r="Z54" i="83" s="1"/>
  <c r="L54" i="83"/>
  <c r="N54" i="83" s="1"/>
  <c r="B54" i="83"/>
  <c r="X53" i="83"/>
  <c r="Z53" i="83" s="1"/>
  <c r="L53" i="83"/>
  <c r="N53" i="83" s="1"/>
  <c r="B53" i="83"/>
  <c r="T52" i="83"/>
  <c r="P52" i="83"/>
  <c r="X52" i="83" s="1"/>
  <c r="H52" i="83"/>
  <c r="D52" i="83"/>
  <c r="L52" i="83" s="1"/>
  <c r="B52" i="83"/>
  <c r="X51" i="83"/>
  <c r="Z51" i="83" s="1"/>
  <c r="N51" i="83"/>
  <c r="L51" i="83"/>
  <c r="B51" i="83"/>
  <c r="X50" i="83"/>
  <c r="T50" i="83"/>
  <c r="P50" i="83"/>
  <c r="H50" i="83"/>
  <c r="L50" i="83" s="1"/>
  <c r="N50" i="83" s="1"/>
  <c r="D50" i="83"/>
  <c r="B50" i="83"/>
  <c r="Z49" i="83"/>
  <c r="X49" i="83"/>
  <c r="L49" i="83"/>
  <c r="N49" i="83" s="1"/>
  <c r="B49" i="83"/>
  <c r="Z48" i="83"/>
  <c r="T48" i="83"/>
  <c r="P48" i="83"/>
  <c r="X48" i="83" s="1"/>
  <c r="H48" i="83"/>
  <c r="D48" i="83"/>
  <c r="L48" i="83" s="1"/>
  <c r="B48" i="83"/>
  <c r="X47" i="83"/>
  <c r="Z47" i="83" s="1"/>
  <c r="L47" i="83"/>
  <c r="N47" i="83" s="1"/>
  <c r="B47" i="83"/>
  <c r="T46" i="83"/>
  <c r="P46" i="83"/>
  <c r="X46" i="83" s="1"/>
  <c r="L46" i="83"/>
  <c r="H46" i="83"/>
  <c r="D46" i="83"/>
  <c r="B46" i="83"/>
  <c r="Z45" i="83"/>
  <c r="X45" i="83"/>
  <c r="N45" i="83"/>
  <c r="L45" i="83"/>
  <c r="B45" i="83"/>
  <c r="X44" i="83"/>
  <c r="Z44" i="83" s="1"/>
  <c r="T44" i="83"/>
  <c r="P44" i="83"/>
  <c r="H44" i="83"/>
  <c r="N44" i="83" s="1"/>
  <c r="D44" i="83"/>
  <c r="L44" i="83" s="1"/>
  <c r="B44" i="83"/>
  <c r="Z43" i="83"/>
  <c r="X43" i="83"/>
  <c r="L43" i="83"/>
  <c r="N43" i="83" s="1"/>
  <c r="B43" i="83"/>
  <c r="X42" i="83"/>
  <c r="Z42" i="83" s="1"/>
  <c r="L42" i="83"/>
  <c r="N42" i="83" s="1"/>
  <c r="B42" i="83"/>
  <c r="T41" i="83"/>
  <c r="P41" i="83"/>
  <c r="H41" i="83"/>
  <c r="N41" i="83" s="1"/>
  <c r="D41" i="83"/>
  <c r="L41" i="83" s="1"/>
  <c r="B41" i="83"/>
  <c r="X40" i="83"/>
  <c r="Z40" i="83" s="1"/>
  <c r="L40" i="83"/>
  <c r="N40" i="83" s="1"/>
  <c r="B40" i="83"/>
  <c r="T39" i="83"/>
  <c r="P39" i="83"/>
  <c r="X39" i="83" s="1"/>
  <c r="Z39" i="83" s="1"/>
  <c r="N39" i="83"/>
  <c r="H39" i="83"/>
  <c r="D39" i="83"/>
  <c r="L39" i="83" s="1"/>
  <c r="B39" i="83"/>
  <c r="X38" i="83"/>
  <c r="Z38" i="83" s="1"/>
  <c r="L38" i="83"/>
  <c r="N38" i="83" s="1"/>
  <c r="B38" i="83"/>
  <c r="T37" i="83"/>
  <c r="P37" i="83"/>
  <c r="H37" i="83"/>
  <c r="L37" i="83" s="1"/>
  <c r="N37" i="83" s="1"/>
  <c r="D37" i="83"/>
  <c r="B37" i="83"/>
  <c r="Z36" i="83"/>
  <c r="X36" i="83"/>
  <c r="L36" i="83"/>
  <c r="N36" i="83" s="1"/>
  <c r="B36" i="83"/>
  <c r="Z35" i="83"/>
  <c r="X35" i="83"/>
  <c r="L35" i="83"/>
  <c r="N35" i="83" s="1"/>
  <c r="B35" i="83"/>
  <c r="X34" i="83"/>
  <c r="Z34" i="83" s="1"/>
  <c r="L34" i="83"/>
  <c r="N34" i="83" s="1"/>
  <c r="B34" i="83"/>
  <c r="Z33" i="83"/>
  <c r="X33" i="83"/>
  <c r="N33" i="83"/>
  <c r="L33" i="83"/>
  <c r="B33" i="83"/>
  <c r="T32" i="83"/>
  <c r="Z32" i="83" s="1"/>
  <c r="P32" i="83"/>
  <c r="X32" i="83" s="1"/>
  <c r="L32" i="83"/>
  <c r="H32" i="83"/>
  <c r="N32" i="83" s="1"/>
  <c r="D32" i="83"/>
  <c r="B32" i="83"/>
  <c r="X31" i="83"/>
  <c r="Z31" i="83" s="1"/>
  <c r="L31" i="83"/>
  <c r="N31" i="83" s="1"/>
  <c r="B31" i="83"/>
  <c r="X30" i="83"/>
  <c r="Z30" i="83" s="1"/>
  <c r="N30" i="83"/>
  <c r="L30" i="83"/>
  <c r="B30" i="83"/>
  <c r="X29" i="83"/>
  <c r="Z29" i="83" s="1"/>
  <c r="N29" i="83"/>
  <c r="L29" i="83"/>
  <c r="B29" i="83"/>
  <c r="X28" i="83"/>
  <c r="Z28" i="83" s="1"/>
  <c r="N28" i="83"/>
  <c r="L28" i="83"/>
  <c r="B28" i="83"/>
  <c r="Z27" i="83"/>
  <c r="X27" i="83"/>
  <c r="L27" i="83"/>
  <c r="N27" i="83" s="1"/>
  <c r="B27" i="83"/>
  <c r="X26" i="83"/>
  <c r="Z26" i="83" s="1"/>
  <c r="L26" i="83"/>
  <c r="N26" i="83" s="1"/>
  <c r="B26" i="83"/>
  <c r="X25" i="83"/>
  <c r="Z25" i="83" s="1"/>
  <c r="L25" i="83"/>
  <c r="N25" i="83" s="1"/>
  <c r="B25" i="83"/>
  <c r="X24" i="83"/>
  <c r="Z24" i="83" s="1"/>
  <c r="N24" i="83"/>
  <c r="L24" i="83"/>
  <c r="B24" i="83"/>
  <c r="T23" i="83"/>
  <c r="P23" i="83"/>
  <c r="X23" i="83" s="1"/>
  <c r="Z23" i="83" s="1"/>
  <c r="N23" i="83"/>
  <c r="H23" i="83"/>
  <c r="D23" i="83"/>
  <c r="L23" i="83" s="1"/>
  <c r="B23" i="83"/>
  <c r="X22" i="83"/>
  <c r="T22" i="83"/>
  <c r="Z22" i="83" s="1"/>
  <c r="P22" i="83"/>
  <c r="H22" i="83"/>
  <c r="D22" i="83"/>
  <c r="L22" i="83" s="1"/>
  <c r="N22" i="83" s="1"/>
  <c r="X18" i="83"/>
  <c r="Z18" i="83" s="1"/>
  <c r="L18" i="83"/>
  <c r="N18" i="83" s="1"/>
  <c r="B18" i="83"/>
  <c r="Z17" i="83"/>
  <c r="X17" i="83"/>
  <c r="N17" i="83"/>
  <c r="L17" i="83"/>
  <c r="B17" i="83"/>
  <c r="T16" i="83"/>
  <c r="P16" i="83"/>
  <c r="X16" i="83" s="1"/>
  <c r="Z16" i="83" s="1"/>
  <c r="L16" i="83"/>
  <c r="N16" i="83" s="1"/>
  <c r="H16" i="83"/>
  <c r="D16" i="83"/>
  <c r="T14" i="83"/>
  <c r="P14" i="83"/>
  <c r="X14" i="83" s="1"/>
  <c r="Z14" i="83" s="1"/>
  <c r="L14" i="83"/>
  <c r="H14" i="83"/>
  <c r="D14" i="83"/>
  <c r="B14" i="83"/>
  <c r="T13" i="83"/>
  <c r="T12" i="83" s="1"/>
  <c r="P13" i="83"/>
  <c r="H13" i="83"/>
  <c r="D13" i="83"/>
  <c r="B13" i="83"/>
  <c r="P12" i="83"/>
  <c r="R20" i="83" s="1"/>
  <c r="D6" i="83"/>
  <c r="D4" i="83"/>
  <c r="X29" i="82"/>
  <c r="Z29" i="82" s="1"/>
  <c r="V29" i="82"/>
  <c r="L29" i="82"/>
  <c r="N29" i="82" s="1"/>
  <c r="T25" i="82"/>
  <c r="Z25" i="82" s="1"/>
  <c r="P25" i="82"/>
  <c r="L25" i="82"/>
  <c r="H25" i="82"/>
  <c r="N25" i="82" s="1"/>
  <c r="D25" i="82"/>
  <c r="T23" i="82"/>
  <c r="Z23" i="82" s="1"/>
  <c r="P23" i="82"/>
  <c r="H23" i="82"/>
  <c r="D23" i="82"/>
  <c r="T21" i="82"/>
  <c r="Z19" i="82"/>
  <c r="X19" i="82"/>
  <c r="L19" i="82"/>
  <c r="N19" i="82" s="1"/>
  <c r="J19" i="82"/>
  <c r="B19" i="82"/>
  <c r="Z18" i="82"/>
  <c r="X18" i="82"/>
  <c r="L18" i="82"/>
  <c r="N18" i="82" s="1"/>
  <c r="B18" i="82"/>
  <c r="X17" i="82"/>
  <c r="T17" i="82"/>
  <c r="Z17" i="82" s="1"/>
  <c r="P17" i="82"/>
  <c r="H17" i="82"/>
  <c r="D17" i="82"/>
  <c r="Z15" i="82"/>
  <c r="X15" i="82"/>
  <c r="T15" i="82"/>
  <c r="P15" i="82"/>
  <c r="H15" i="82"/>
  <c r="D15" i="82"/>
  <c r="B15" i="82"/>
  <c r="Z14" i="82"/>
  <c r="T14" i="82"/>
  <c r="T12" i="82" s="1"/>
  <c r="P14" i="82"/>
  <c r="X14" i="82" s="1"/>
  <c r="N14" i="82"/>
  <c r="H14" i="82"/>
  <c r="L14" i="82" s="1"/>
  <c r="D14" i="82"/>
  <c r="B14" i="82"/>
  <c r="T13" i="82"/>
  <c r="P13" i="82"/>
  <c r="H13" i="82"/>
  <c r="D13" i="82"/>
  <c r="B13" i="82"/>
  <c r="H12" i="82"/>
  <c r="D6" i="82"/>
  <c r="D4" i="82"/>
  <c r="V29" i="81"/>
  <c r="J29" i="81"/>
  <c r="F29" i="81"/>
  <c r="V26" i="81"/>
  <c r="J26" i="81"/>
  <c r="F26" i="81"/>
  <c r="Z24" i="81"/>
  <c r="X24" i="81"/>
  <c r="V24" i="81"/>
  <c r="N24" i="81"/>
  <c r="L24" i="81"/>
  <c r="F24" i="81"/>
  <c r="T20" i="81"/>
  <c r="X20" i="81" s="1"/>
  <c r="P20" i="81"/>
  <c r="H20" i="81"/>
  <c r="N20" i="81" s="1"/>
  <c r="D20" i="81"/>
  <c r="T18" i="81"/>
  <c r="X18" i="81" s="1"/>
  <c r="P18" i="81"/>
  <c r="N18" i="81"/>
  <c r="H18" i="81"/>
  <c r="D18" i="81"/>
  <c r="L18" i="81" s="1"/>
  <c r="T16" i="81"/>
  <c r="T14" i="81"/>
  <c r="X14" i="81" s="1"/>
  <c r="P14" i="81"/>
  <c r="N14" i="81"/>
  <c r="H14" i="81"/>
  <c r="F14" i="81"/>
  <c r="D14" i="81"/>
  <c r="L14" i="81" s="1"/>
  <c r="Z12" i="81"/>
  <c r="T12" i="81"/>
  <c r="V22" i="81" s="1"/>
  <c r="P12" i="81"/>
  <c r="H12" i="81"/>
  <c r="D12" i="81"/>
  <c r="F22" i="81" s="1"/>
  <c r="D6" i="81"/>
  <c r="D4" i="81"/>
  <c r="X65" i="80"/>
  <c r="Z65" i="80" s="1"/>
  <c r="L65" i="80"/>
  <c r="N65" i="80" s="1"/>
  <c r="T61" i="80"/>
  <c r="Z61" i="80" s="1"/>
  <c r="P61" i="80"/>
  <c r="X61" i="80" s="1"/>
  <c r="H61" i="80"/>
  <c r="L61" i="80" s="1"/>
  <c r="D61" i="80"/>
  <c r="Z59" i="80"/>
  <c r="X59" i="80"/>
  <c r="L59" i="80"/>
  <c r="N59" i="80" s="1"/>
  <c r="B59" i="80"/>
  <c r="X58" i="80"/>
  <c r="T58" i="80"/>
  <c r="Z58" i="80" s="1"/>
  <c r="P58" i="80"/>
  <c r="H58" i="80"/>
  <c r="D58" i="80"/>
  <c r="L58" i="80" s="1"/>
  <c r="N58" i="80" s="1"/>
  <c r="B58" i="80"/>
  <c r="Z57" i="80"/>
  <c r="X57" i="80"/>
  <c r="L57" i="80"/>
  <c r="N57" i="80" s="1"/>
  <c r="B57" i="80"/>
  <c r="T56" i="80"/>
  <c r="P56" i="80"/>
  <c r="X56" i="80" s="1"/>
  <c r="H56" i="80"/>
  <c r="N56" i="80" s="1"/>
  <c r="D56" i="80"/>
  <c r="L56" i="80" s="1"/>
  <c r="B56" i="80"/>
  <c r="X55" i="80"/>
  <c r="Z55" i="80" s="1"/>
  <c r="N55" i="80"/>
  <c r="L55" i="80"/>
  <c r="B55" i="80"/>
  <c r="X54" i="80"/>
  <c r="Z54" i="80" s="1"/>
  <c r="N54" i="80"/>
  <c r="L54" i="80"/>
  <c r="B54" i="80"/>
  <c r="X53" i="80"/>
  <c r="Z53" i="80" s="1"/>
  <c r="N53" i="80"/>
  <c r="L53" i="80"/>
  <c r="B53" i="80"/>
  <c r="X52" i="80"/>
  <c r="T52" i="80"/>
  <c r="P52" i="80"/>
  <c r="L52" i="80"/>
  <c r="H52" i="80"/>
  <c r="D52" i="80"/>
  <c r="B52" i="80"/>
  <c r="Z51" i="80"/>
  <c r="X51" i="80"/>
  <c r="L51" i="80"/>
  <c r="N51" i="80" s="1"/>
  <c r="B51" i="80"/>
  <c r="Z50" i="80"/>
  <c r="X50" i="80"/>
  <c r="N50" i="80"/>
  <c r="L50" i="80"/>
  <c r="B50" i="80"/>
  <c r="Z49" i="80"/>
  <c r="X49" i="80"/>
  <c r="N49" i="80"/>
  <c r="L49" i="80"/>
  <c r="B49" i="80"/>
  <c r="Z48" i="80"/>
  <c r="T48" i="80"/>
  <c r="P48" i="80"/>
  <c r="X48" i="80" s="1"/>
  <c r="H48" i="80"/>
  <c r="D48" i="80"/>
  <c r="B48" i="80"/>
  <c r="X47" i="80"/>
  <c r="Z47" i="80" s="1"/>
  <c r="N47" i="80"/>
  <c r="L47" i="80"/>
  <c r="B47" i="80"/>
  <c r="T46" i="80"/>
  <c r="Z46" i="80" s="1"/>
  <c r="P46" i="80"/>
  <c r="X46" i="80" s="1"/>
  <c r="H46" i="80"/>
  <c r="D46" i="80"/>
  <c r="L46" i="80" s="1"/>
  <c r="B46" i="80"/>
  <c r="X45" i="80"/>
  <c r="Z45" i="80" s="1"/>
  <c r="N45" i="80"/>
  <c r="L45" i="80"/>
  <c r="B45" i="80"/>
  <c r="X44" i="80"/>
  <c r="T44" i="80"/>
  <c r="Z44" i="80" s="1"/>
  <c r="P44" i="80"/>
  <c r="L44" i="80"/>
  <c r="H44" i="80"/>
  <c r="D44" i="80"/>
  <c r="B44" i="80"/>
  <c r="Z43" i="80"/>
  <c r="X43" i="80"/>
  <c r="L43" i="80"/>
  <c r="N43" i="80" s="1"/>
  <c r="B43" i="80"/>
  <c r="X42" i="80"/>
  <c r="T42" i="80"/>
  <c r="Z42" i="80" s="1"/>
  <c r="P42" i="80"/>
  <c r="H42" i="80"/>
  <c r="D42" i="80"/>
  <c r="B42" i="80"/>
  <c r="Z41" i="80"/>
  <c r="X41" i="80"/>
  <c r="L41" i="80"/>
  <c r="N41" i="80" s="1"/>
  <c r="B41" i="80"/>
  <c r="T40" i="80"/>
  <c r="P40" i="80"/>
  <c r="L40" i="80"/>
  <c r="H40" i="80"/>
  <c r="D40" i="80"/>
  <c r="B40" i="80"/>
  <c r="X39" i="80"/>
  <c r="Z39" i="80" s="1"/>
  <c r="N39" i="80"/>
  <c r="L39" i="80"/>
  <c r="B39" i="80"/>
  <c r="T38" i="80"/>
  <c r="P38" i="80"/>
  <c r="X38" i="80" s="1"/>
  <c r="H38" i="80"/>
  <c r="D38" i="80"/>
  <c r="B38" i="80"/>
  <c r="Z37" i="80"/>
  <c r="X37" i="80"/>
  <c r="N37" i="80"/>
  <c r="L37" i="80"/>
  <c r="B37" i="80"/>
  <c r="T36" i="80"/>
  <c r="P36" i="80"/>
  <c r="X36" i="80" s="1"/>
  <c r="Z36" i="80" s="1"/>
  <c r="L36" i="80"/>
  <c r="N36" i="80" s="1"/>
  <c r="H36" i="80"/>
  <c r="D36" i="80"/>
  <c r="B36" i="80"/>
  <c r="X35" i="80"/>
  <c r="Z35" i="80" s="1"/>
  <c r="L35" i="80"/>
  <c r="N35" i="80" s="1"/>
  <c r="B35" i="80"/>
  <c r="X34" i="80"/>
  <c r="Z34" i="80" s="1"/>
  <c r="L34" i="80"/>
  <c r="N34" i="80" s="1"/>
  <c r="B34" i="80"/>
  <c r="Z33" i="80"/>
  <c r="X33" i="80"/>
  <c r="L33" i="80"/>
  <c r="N33" i="80" s="1"/>
  <c r="B33" i="80"/>
  <c r="T32" i="80"/>
  <c r="P32" i="80"/>
  <c r="L32" i="80"/>
  <c r="H32" i="80"/>
  <c r="D32" i="80"/>
  <c r="B32" i="80"/>
  <c r="X31" i="80"/>
  <c r="Z31" i="80" s="1"/>
  <c r="N31" i="80"/>
  <c r="L31" i="80"/>
  <c r="B31" i="80"/>
  <c r="X30" i="80"/>
  <c r="Z30" i="80" s="1"/>
  <c r="L30" i="80"/>
  <c r="N30" i="80" s="1"/>
  <c r="B30" i="80"/>
  <c r="Z29" i="80"/>
  <c r="X29" i="80"/>
  <c r="N29" i="80"/>
  <c r="L29" i="80"/>
  <c r="B29" i="80"/>
  <c r="X28" i="80"/>
  <c r="Z28" i="80" s="1"/>
  <c r="N28" i="80"/>
  <c r="L28" i="80"/>
  <c r="B28" i="80"/>
  <c r="X27" i="80"/>
  <c r="Z27" i="80" s="1"/>
  <c r="N27" i="80"/>
  <c r="L27" i="80"/>
  <c r="B27" i="80"/>
  <c r="X26" i="80"/>
  <c r="Z26" i="80" s="1"/>
  <c r="N26" i="80"/>
  <c r="L26" i="80"/>
  <c r="B26" i="80"/>
  <c r="Z25" i="80"/>
  <c r="X25" i="80"/>
  <c r="L25" i="80"/>
  <c r="N25" i="80" s="1"/>
  <c r="B25" i="80"/>
  <c r="X24" i="80"/>
  <c r="Z24" i="80" s="1"/>
  <c r="N24" i="80"/>
  <c r="L24" i="80"/>
  <c r="B24" i="80"/>
  <c r="X23" i="80"/>
  <c r="Z23" i="80" s="1"/>
  <c r="T23" i="80"/>
  <c r="P23" i="80"/>
  <c r="L23" i="80"/>
  <c r="N23" i="80" s="1"/>
  <c r="H23" i="80"/>
  <c r="D23" i="80"/>
  <c r="B23" i="80"/>
  <c r="T22" i="80"/>
  <c r="P22" i="80"/>
  <c r="X22" i="80" s="1"/>
  <c r="H22" i="80"/>
  <c r="N22" i="80" s="1"/>
  <c r="D22" i="80"/>
  <c r="L22" i="80" s="1"/>
  <c r="X18" i="80"/>
  <c r="Z18" i="80" s="1"/>
  <c r="L18" i="80"/>
  <c r="N18" i="80" s="1"/>
  <c r="B18" i="80"/>
  <c r="X17" i="80"/>
  <c r="Z17" i="80" s="1"/>
  <c r="N17" i="80"/>
  <c r="L17" i="80"/>
  <c r="B17" i="80"/>
  <c r="T16" i="80"/>
  <c r="Z16" i="80" s="1"/>
  <c r="P16" i="80"/>
  <c r="X16" i="80" s="1"/>
  <c r="L16" i="80"/>
  <c r="N16" i="80" s="1"/>
  <c r="H16" i="80"/>
  <c r="D16" i="80"/>
  <c r="Z14" i="80"/>
  <c r="T14" i="80"/>
  <c r="P14" i="80"/>
  <c r="X14" i="80" s="1"/>
  <c r="H14" i="80"/>
  <c r="N14" i="80" s="1"/>
  <c r="D14" i="80"/>
  <c r="L14" i="80" s="1"/>
  <c r="B14" i="80"/>
  <c r="T13" i="80"/>
  <c r="P13" i="80"/>
  <c r="H13" i="80"/>
  <c r="D13" i="80"/>
  <c r="B13" i="80"/>
  <c r="D6" i="80"/>
  <c r="D4" i="80"/>
  <c r="Z60" i="79"/>
  <c r="X60" i="79"/>
  <c r="L60" i="79"/>
  <c r="N60" i="79" s="1"/>
  <c r="Z56" i="79"/>
  <c r="T56" i="79"/>
  <c r="P56" i="79"/>
  <c r="L56" i="79"/>
  <c r="H56" i="79"/>
  <c r="N56" i="79" s="1"/>
  <c r="D56" i="79"/>
  <c r="Z54" i="79"/>
  <c r="X54" i="79"/>
  <c r="N54" i="79"/>
  <c r="L54" i="79"/>
  <c r="J54" i="79"/>
  <c r="B54" i="79"/>
  <c r="T53" i="79"/>
  <c r="Z53" i="79" s="1"/>
  <c r="P53" i="79"/>
  <c r="X53" i="79" s="1"/>
  <c r="H53" i="79"/>
  <c r="D53" i="79"/>
  <c r="B53" i="79"/>
  <c r="X52" i="79"/>
  <c r="Z52" i="79" s="1"/>
  <c r="L52" i="79"/>
  <c r="N52" i="79" s="1"/>
  <c r="B52" i="79"/>
  <c r="Z51" i="79"/>
  <c r="T51" i="79"/>
  <c r="P51" i="79"/>
  <c r="X51" i="79" s="1"/>
  <c r="H51" i="79"/>
  <c r="D51" i="79"/>
  <c r="L51" i="79" s="1"/>
  <c r="B51" i="79"/>
  <c r="Z50" i="79"/>
  <c r="X50" i="79"/>
  <c r="N50" i="79"/>
  <c r="L50" i="79"/>
  <c r="B50" i="79"/>
  <c r="X49" i="79"/>
  <c r="Z49" i="79" s="1"/>
  <c r="N49" i="79"/>
  <c r="L49" i="79"/>
  <c r="B49" i="79"/>
  <c r="Z48" i="79"/>
  <c r="X48" i="79"/>
  <c r="N48" i="79"/>
  <c r="L48" i="79"/>
  <c r="B48" i="79"/>
  <c r="T47" i="79"/>
  <c r="P47" i="79"/>
  <c r="H47" i="79"/>
  <c r="D47" i="79"/>
  <c r="B47" i="79"/>
  <c r="Z46" i="79"/>
  <c r="X46" i="79"/>
  <c r="L46" i="79"/>
  <c r="N46" i="79" s="1"/>
  <c r="B46" i="79"/>
  <c r="Z45" i="79"/>
  <c r="X45" i="79"/>
  <c r="R45" i="79"/>
  <c r="L45" i="79"/>
  <c r="N45" i="79" s="1"/>
  <c r="B45" i="79"/>
  <c r="T44" i="79"/>
  <c r="P44" i="79"/>
  <c r="X44" i="79" s="1"/>
  <c r="L44" i="79"/>
  <c r="H44" i="79"/>
  <c r="D44" i="79"/>
  <c r="B44" i="79"/>
  <c r="X43" i="79"/>
  <c r="Z43" i="79" s="1"/>
  <c r="N43" i="79"/>
  <c r="L43" i="79"/>
  <c r="J43" i="79"/>
  <c r="B43" i="79"/>
  <c r="T42" i="79"/>
  <c r="Z42" i="79" s="1"/>
  <c r="P42" i="79"/>
  <c r="X42" i="79" s="1"/>
  <c r="H42" i="79"/>
  <c r="D42" i="79"/>
  <c r="B42" i="79"/>
  <c r="X41" i="79"/>
  <c r="Z41" i="79" s="1"/>
  <c r="N41" i="79"/>
  <c r="L41" i="79"/>
  <c r="B41" i="79"/>
  <c r="X40" i="79"/>
  <c r="T40" i="79"/>
  <c r="Z40" i="79" s="1"/>
  <c r="P40" i="79"/>
  <c r="H40" i="79"/>
  <c r="N40" i="79" s="1"/>
  <c r="D40" i="79"/>
  <c r="L40" i="79" s="1"/>
  <c r="B40" i="79"/>
  <c r="Z39" i="79"/>
  <c r="X39" i="79"/>
  <c r="L39" i="79"/>
  <c r="N39" i="79" s="1"/>
  <c r="B39" i="79"/>
  <c r="X38" i="79"/>
  <c r="T38" i="79"/>
  <c r="P38" i="79"/>
  <c r="H38" i="79"/>
  <c r="N38" i="79" s="1"/>
  <c r="D38" i="79"/>
  <c r="L38" i="79" s="1"/>
  <c r="B38" i="79"/>
  <c r="Z37" i="79"/>
  <c r="X37" i="79"/>
  <c r="L37" i="79"/>
  <c r="N37" i="79" s="1"/>
  <c r="B37" i="79"/>
  <c r="T36" i="79"/>
  <c r="P36" i="79"/>
  <c r="H36" i="79"/>
  <c r="D36" i="79"/>
  <c r="L36" i="79" s="1"/>
  <c r="B36" i="79"/>
  <c r="Z35" i="79"/>
  <c r="X35" i="79"/>
  <c r="N35" i="79"/>
  <c r="L35" i="79"/>
  <c r="B35" i="79"/>
  <c r="T34" i="79"/>
  <c r="Z34" i="79" s="1"/>
  <c r="P34" i="79"/>
  <c r="X34" i="79" s="1"/>
  <c r="L34" i="79"/>
  <c r="H34" i="79"/>
  <c r="D34" i="79"/>
  <c r="B34" i="79"/>
  <c r="Z33" i="79"/>
  <c r="X33" i="79"/>
  <c r="N33" i="79"/>
  <c r="L33" i="79"/>
  <c r="B33" i="79"/>
  <c r="Z32" i="79"/>
  <c r="X32" i="79"/>
  <c r="L32" i="79"/>
  <c r="N32" i="79" s="1"/>
  <c r="B32" i="79"/>
  <c r="Z31" i="79"/>
  <c r="X31" i="79"/>
  <c r="L31" i="79"/>
  <c r="N31" i="79" s="1"/>
  <c r="B31" i="79"/>
  <c r="X30" i="79"/>
  <c r="Z30" i="79" s="1"/>
  <c r="L30" i="79"/>
  <c r="N30" i="79" s="1"/>
  <c r="B30" i="79"/>
  <c r="T29" i="79"/>
  <c r="P29" i="79"/>
  <c r="X29" i="79" s="1"/>
  <c r="Z29" i="79" s="1"/>
  <c r="N29" i="79"/>
  <c r="H29" i="79"/>
  <c r="D29" i="79"/>
  <c r="L29" i="79" s="1"/>
  <c r="B29" i="79"/>
  <c r="X28" i="79"/>
  <c r="Z28" i="79" s="1"/>
  <c r="L28" i="79"/>
  <c r="N28" i="79" s="1"/>
  <c r="B28" i="79"/>
  <c r="X27" i="79"/>
  <c r="Z27" i="79" s="1"/>
  <c r="N27" i="79"/>
  <c r="L27" i="79"/>
  <c r="J27" i="79"/>
  <c r="B27" i="79"/>
  <c r="X26" i="79"/>
  <c r="Z26" i="79" s="1"/>
  <c r="L26" i="79"/>
  <c r="N26" i="79" s="1"/>
  <c r="B26" i="79"/>
  <c r="Z25" i="79"/>
  <c r="X25" i="79"/>
  <c r="L25" i="79"/>
  <c r="N25" i="79" s="1"/>
  <c r="B25" i="79"/>
  <c r="X24" i="79"/>
  <c r="Z24" i="79" s="1"/>
  <c r="L24" i="79"/>
  <c r="N24" i="79" s="1"/>
  <c r="B24" i="79"/>
  <c r="X23" i="79"/>
  <c r="Z23" i="79" s="1"/>
  <c r="T23" i="79"/>
  <c r="P23" i="79"/>
  <c r="N23" i="79"/>
  <c r="J23" i="79"/>
  <c r="H23" i="79"/>
  <c r="D23" i="79"/>
  <c r="L23" i="79" s="1"/>
  <c r="B23" i="79"/>
  <c r="T22" i="79"/>
  <c r="P22" i="79"/>
  <c r="X22" i="79" s="1"/>
  <c r="L22" i="79"/>
  <c r="H22" i="79"/>
  <c r="N22" i="79" s="1"/>
  <c r="D22" i="79"/>
  <c r="X18" i="79"/>
  <c r="Z18" i="79" s="1"/>
  <c r="L18" i="79"/>
  <c r="N18" i="79" s="1"/>
  <c r="F18" i="79"/>
  <c r="B18" i="79"/>
  <c r="X17" i="79"/>
  <c r="Z17" i="79" s="1"/>
  <c r="N17" i="79"/>
  <c r="L17" i="79"/>
  <c r="J17" i="79"/>
  <c r="B17" i="79"/>
  <c r="X16" i="79"/>
  <c r="T16" i="79"/>
  <c r="P16" i="79"/>
  <c r="H16" i="79"/>
  <c r="D16" i="79"/>
  <c r="X14" i="79"/>
  <c r="Z14" i="79" s="1"/>
  <c r="T14" i="79"/>
  <c r="P14" i="79"/>
  <c r="H14" i="79"/>
  <c r="D14" i="79"/>
  <c r="L14" i="79" s="1"/>
  <c r="N14" i="79" s="1"/>
  <c r="B14" i="79"/>
  <c r="T13" i="79"/>
  <c r="P13" i="79"/>
  <c r="N13" i="79"/>
  <c r="H13" i="79"/>
  <c r="H12" i="79" s="1"/>
  <c r="D13" i="79"/>
  <c r="L13" i="79" s="1"/>
  <c r="B13" i="79"/>
  <c r="P12" i="79"/>
  <c r="R29" i="79" s="1"/>
  <c r="L12" i="79"/>
  <c r="D12" i="79"/>
  <c r="D6" i="79"/>
  <c r="D4" i="79"/>
  <c r="Z53" i="78"/>
  <c r="X53" i="78"/>
  <c r="L53" i="78"/>
  <c r="N53" i="78" s="1"/>
  <c r="X49" i="78"/>
  <c r="T49" i="78"/>
  <c r="P49" i="78"/>
  <c r="H49" i="78"/>
  <c r="H47" i="78" s="1"/>
  <c r="D49" i="78"/>
  <c r="B49" i="78"/>
  <c r="Z48" i="78"/>
  <c r="T48" i="78"/>
  <c r="T47" i="78" s="1"/>
  <c r="P48" i="78"/>
  <c r="X48" i="78" s="1"/>
  <c r="J48" i="78"/>
  <c r="H48" i="78"/>
  <c r="D48" i="78"/>
  <c r="L48" i="78" s="1"/>
  <c r="N48" i="78" s="1"/>
  <c r="B48" i="78"/>
  <c r="P47" i="78"/>
  <c r="D47" i="78"/>
  <c r="X45" i="78"/>
  <c r="Z45" i="78" s="1"/>
  <c r="L45" i="78"/>
  <c r="N45" i="78" s="1"/>
  <c r="B45" i="78"/>
  <c r="Z44" i="78"/>
  <c r="T44" i="78"/>
  <c r="P44" i="78"/>
  <c r="X44" i="78" s="1"/>
  <c r="L44" i="78"/>
  <c r="N44" i="78" s="1"/>
  <c r="H44" i="78"/>
  <c r="D44" i="78"/>
  <c r="B44" i="78"/>
  <c r="X43" i="78"/>
  <c r="Z43" i="78" s="1"/>
  <c r="N43" i="78"/>
  <c r="L43" i="78"/>
  <c r="B43" i="78"/>
  <c r="Z42" i="78"/>
  <c r="X42" i="78"/>
  <c r="T42" i="78"/>
  <c r="P42" i="78"/>
  <c r="L42" i="78"/>
  <c r="H42" i="78"/>
  <c r="N42" i="78" s="1"/>
  <c r="D42" i="78"/>
  <c r="B42" i="78"/>
  <c r="X41" i="78"/>
  <c r="Z41" i="78" s="1"/>
  <c r="R41" i="78"/>
  <c r="L41" i="78"/>
  <c r="N41" i="78" s="1"/>
  <c r="B41" i="78"/>
  <c r="Z40" i="78"/>
  <c r="X40" i="78"/>
  <c r="N40" i="78"/>
  <c r="L40" i="78"/>
  <c r="B40" i="78"/>
  <c r="T39" i="78"/>
  <c r="P39" i="78"/>
  <c r="X39" i="78" s="1"/>
  <c r="L39" i="78"/>
  <c r="H39" i="78"/>
  <c r="D39" i="78"/>
  <c r="B39" i="78"/>
  <c r="X38" i="78"/>
  <c r="Z38" i="78" s="1"/>
  <c r="N38" i="78"/>
  <c r="L38" i="78"/>
  <c r="B38" i="78"/>
  <c r="T37" i="78"/>
  <c r="P37" i="78"/>
  <c r="X37" i="78" s="1"/>
  <c r="L37" i="78"/>
  <c r="H37" i="78"/>
  <c r="D37" i="78"/>
  <c r="B37" i="78"/>
  <c r="X36" i="78"/>
  <c r="Z36" i="78" s="1"/>
  <c r="N36" i="78"/>
  <c r="L36" i="78"/>
  <c r="B36" i="78"/>
  <c r="X35" i="78"/>
  <c r="Z35" i="78" s="1"/>
  <c r="N35" i="78"/>
  <c r="L35" i="78"/>
  <c r="F35" i="78"/>
  <c r="B35" i="78"/>
  <c r="Z34" i="78"/>
  <c r="X34" i="78"/>
  <c r="T34" i="78"/>
  <c r="P34" i="78"/>
  <c r="L34" i="78"/>
  <c r="H34" i="78"/>
  <c r="N34" i="78" s="1"/>
  <c r="D34" i="78"/>
  <c r="B34" i="78"/>
  <c r="X33" i="78"/>
  <c r="Z33" i="78" s="1"/>
  <c r="L33" i="78"/>
  <c r="N33" i="78" s="1"/>
  <c r="B33" i="78"/>
  <c r="Z32" i="78"/>
  <c r="X32" i="78"/>
  <c r="N32" i="78"/>
  <c r="L32" i="78"/>
  <c r="B32" i="78"/>
  <c r="Z31" i="78"/>
  <c r="X31" i="78"/>
  <c r="L31" i="78"/>
  <c r="N31" i="78" s="1"/>
  <c r="B31" i="78"/>
  <c r="Z30" i="78"/>
  <c r="X30" i="78"/>
  <c r="L30" i="78"/>
  <c r="N30" i="78" s="1"/>
  <c r="B30" i="78"/>
  <c r="X29" i="78"/>
  <c r="Z29" i="78" s="1"/>
  <c r="R29" i="78"/>
  <c r="L29" i="78"/>
  <c r="N29" i="78" s="1"/>
  <c r="B29" i="78"/>
  <c r="Z28" i="78"/>
  <c r="X28" i="78"/>
  <c r="N28" i="78"/>
  <c r="L28" i="78"/>
  <c r="B28" i="78"/>
  <c r="Z27" i="78"/>
  <c r="X27" i="78"/>
  <c r="R27" i="78"/>
  <c r="L27" i="78"/>
  <c r="N27" i="78" s="1"/>
  <c r="B27" i="78"/>
  <c r="Z26" i="78"/>
  <c r="T26" i="78"/>
  <c r="P26" i="78"/>
  <c r="X26" i="78" s="1"/>
  <c r="H26" i="78"/>
  <c r="D26" i="78"/>
  <c r="L26" i="78" s="1"/>
  <c r="N26" i="78" s="1"/>
  <c r="B26" i="78"/>
  <c r="T25" i="78"/>
  <c r="P25" i="78"/>
  <c r="X25" i="78" s="1"/>
  <c r="H25" i="78"/>
  <c r="D25" i="78"/>
  <c r="L25" i="78" s="1"/>
  <c r="X21" i="78"/>
  <c r="Z21" i="78" s="1"/>
  <c r="L21" i="78"/>
  <c r="N21" i="78" s="1"/>
  <c r="F21" i="78"/>
  <c r="B21" i="78"/>
  <c r="Z20" i="78"/>
  <c r="X20" i="78"/>
  <c r="L20" i="78"/>
  <c r="N20" i="78" s="1"/>
  <c r="B20" i="78"/>
  <c r="X19" i="78"/>
  <c r="Z19" i="78" s="1"/>
  <c r="R19" i="78"/>
  <c r="L19" i="78"/>
  <c r="N19" i="78" s="1"/>
  <c r="B19" i="78"/>
  <c r="X18" i="78"/>
  <c r="Z18" i="78" s="1"/>
  <c r="N18" i="78"/>
  <c r="L18" i="78"/>
  <c r="B18" i="78"/>
  <c r="T17" i="78"/>
  <c r="Z17" i="78" s="1"/>
  <c r="P17" i="78"/>
  <c r="X17" i="78" s="1"/>
  <c r="L17" i="78"/>
  <c r="H17" i="78"/>
  <c r="D17" i="78"/>
  <c r="D23" i="78" s="1"/>
  <c r="T15" i="78"/>
  <c r="P15" i="78"/>
  <c r="L15" i="78"/>
  <c r="N15" i="78" s="1"/>
  <c r="H15" i="78"/>
  <c r="D15" i="78"/>
  <c r="B15" i="78"/>
  <c r="Z14" i="78"/>
  <c r="T14" i="78"/>
  <c r="X14" i="78" s="1"/>
  <c r="P14" i="78"/>
  <c r="L14" i="78"/>
  <c r="N14" i="78" s="1"/>
  <c r="H14" i="78"/>
  <c r="D14" i="78"/>
  <c r="B14" i="78"/>
  <c r="X13" i="78"/>
  <c r="T13" i="78"/>
  <c r="P13" i="78"/>
  <c r="P12" i="78" s="1"/>
  <c r="R33" i="78" s="1"/>
  <c r="L13" i="78"/>
  <c r="N13" i="78" s="1"/>
  <c r="H13" i="78"/>
  <c r="D13" i="78"/>
  <c r="D12" i="78" s="1"/>
  <c r="F44" i="78" s="1"/>
  <c r="B13" i="78"/>
  <c r="H12" i="78"/>
  <c r="J30" i="78" s="1"/>
  <c r="D6" i="78"/>
  <c r="D4" i="78"/>
  <c r="Z92" i="76"/>
  <c r="X92" i="76"/>
  <c r="N92" i="76"/>
  <c r="L92" i="76"/>
  <c r="X88" i="76"/>
  <c r="Z88" i="76" s="1"/>
  <c r="T88" i="76"/>
  <c r="P88" i="76"/>
  <c r="N88" i="76"/>
  <c r="H88" i="76"/>
  <c r="D88" i="76"/>
  <c r="L88" i="76" s="1"/>
  <c r="B88" i="76"/>
  <c r="X87" i="76"/>
  <c r="T87" i="76"/>
  <c r="P87" i="76"/>
  <c r="P85" i="76" s="1"/>
  <c r="L87" i="76"/>
  <c r="H87" i="76"/>
  <c r="N87" i="76" s="1"/>
  <c r="D87" i="76"/>
  <c r="B87" i="76"/>
  <c r="Z86" i="76"/>
  <c r="X86" i="76"/>
  <c r="T86" i="76"/>
  <c r="P86" i="76"/>
  <c r="H86" i="76"/>
  <c r="H85" i="76" s="1"/>
  <c r="D86" i="76"/>
  <c r="L86" i="76" s="1"/>
  <c r="N86" i="76" s="1"/>
  <c r="B86" i="76"/>
  <c r="D85" i="76"/>
  <c r="L85" i="76" s="1"/>
  <c r="X83" i="76"/>
  <c r="Z83" i="76" s="1"/>
  <c r="L83" i="76"/>
  <c r="N83" i="76" s="1"/>
  <c r="B83" i="76"/>
  <c r="X82" i="76"/>
  <c r="Z82" i="76" s="1"/>
  <c r="T82" i="76"/>
  <c r="P82" i="76"/>
  <c r="H82" i="76"/>
  <c r="D82" i="76"/>
  <c r="L82" i="76" s="1"/>
  <c r="N82" i="76" s="1"/>
  <c r="B82" i="76"/>
  <c r="X81" i="76"/>
  <c r="Z81" i="76" s="1"/>
  <c r="L81" i="76"/>
  <c r="N81" i="76" s="1"/>
  <c r="B81" i="76"/>
  <c r="X80" i="76"/>
  <c r="Z80" i="76" s="1"/>
  <c r="N80" i="76"/>
  <c r="L80" i="76"/>
  <c r="B80" i="76"/>
  <c r="Z79" i="76"/>
  <c r="X79" i="76"/>
  <c r="N79" i="76"/>
  <c r="L79" i="76"/>
  <c r="B79" i="76"/>
  <c r="Z78" i="76"/>
  <c r="T78" i="76"/>
  <c r="X78" i="76" s="1"/>
  <c r="P78" i="76"/>
  <c r="L78" i="76"/>
  <c r="H78" i="76"/>
  <c r="N78" i="76" s="1"/>
  <c r="D78" i="76"/>
  <c r="B78" i="76"/>
  <c r="Z77" i="76"/>
  <c r="X77" i="76"/>
  <c r="N77" i="76"/>
  <c r="L77" i="76"/>
  <c r="B77" i="76"/>
  <c r="Z76" i="76"/>
  <c r="X76" i="76"/>
  <c r="T76" i="76"/>
  <c r="P76" i="76"/>
  <c r="N76" i="76"/>
  <c r="H76" i="76"/>
  <c r="D76" i="76"/>
  <c r="L76" i="76" s="1"/>
  <c r="B76" i="76"/>
  <c r="Z75" i="76"/>
  <c r="X75" i="76"/>
  <c r="N75" i="76"/>
  <c r="L75" i="76"/>
  <c r="B75" i="76"/>
  <c r="Z74" i="76"/>
  <c r="X74" i="76"/>
  <c r="T74" i="76"/>
  <c r="P74" i="76"/>
  <c r="N74" i="76"/>
  <c r="H74" i="76"/>
  <c r="D74" i="76"/>
  <c r="L74" i="76" s="1"/>
  <c r="B74" i="76"/>
  <c r="Z73" i="76"/>
  <c r="X73" i="76"/>
  <c r="N73" i="76"/>
  <c r="L73" i="76"/>
  <c r="B73" i="76"/>
  <c r="Z72" i="76"/>
  <c r="X72" i="76"/>
  <c r="N72" i="76"/>
  <c r="L72" i="76"/>
  <c r="B72" i="76"/>
  <c r="X71" i="76"/>
  <c r="T71" i="76"/>
  <c r="Z71" i="76" s="1"/>
  <c r="P71" i="76"/>
  <c r="H71" i="76"/>
  <c r="N71" i="76" s="1"/>
  <c r="D71" i="76"/>
  <c r="L71" i="76" s="1"/>
  <c r="B71" i="76"/>
  <c r="Z70" i="76"/>
  <c r="X70" i="76"/>
  <c r="L70" i="76"/>
  <c r="N70" i="76" s="1"/>
  <c r="B70" i="76"/>
  <c r="X69" i="76"/>
  <c r="T69" i="76"/>
  <c r="P69" i="76"/>
  <c r="H69" i="76"/>
  <c r="D69" i="76"/>
  <c r="L69" i="76" s="1"/>
  <c r="B69" i="76"/>
  <c r="Z68" i="76"/>
  <c r="X68" i="76"/>
  <c r="L68" i="76"/>
  <c r="N68" i="76" s="1"/>
  <c r="B68" i="76"/>
  <c r="T67" i="76"/>
  <c r="P67" i="76"/>
  <c r="X67" i="76" s="1"/>
  <c r="H67" i="76"/>
  <c r="N67" i="76" s="1"/>
  <c r="D67" i="76"/>
  <c r="L67" i="76" s="1"/>
  <c r="B67" i="76"/>
  <c r="Z66" i="76"/>
  <c r="X66" i="76"/>
  <c r="N66" i="76"/>
  <c r="L66" i="76"/>
  <c r="B66" i="76"/>
  <c r="T65" i="76"/>
  <c r="P65" i="76"/>
  <c r="X65" i="76" s="1"/>
  <c r="L65" i="76"/>
  <c r="H65" i="76"/>
  <c r="D65" i="76"/>
  <c r="B65" i="76"/>
  <c r="Z64" i="76"/>
  <c r="X64" i="76"/>
  <c r="N64" i="76"/>
  <c r="L64" i="76"/>
  <c r="B64" i="76"/>
  <c r="Z63" i="76"/>
  <c r="X63" i="76"/>
  <c r="L63" i="76"/>
  <c r="N63" i="76" s="1"/>
  <c r="B63" i="76"/>
  <c r="Z62" i="76"/>
  <c r="X62" i="76"/>
  <c r="L62" i="76"/>
  <c r="N62" i="76" s="1"/>
  <c r="B62" i="76"/>
  <c r="Z61" i="76"/>
  <c r="X61" i="76"/>
  <c r="N61" i="76"/>
  <c r="L61" i="76"/>
  <c r="B61" i="76"/>
  <c r="Z60" i="76"/>
  <c r="X60" i="76"/>
  <c r="N60" i="76"/>
  <c r="L60" i="76"/>
  <c r="B60" i="76"/>
  <c r="T59" i="76"/>
  <c r="P59" i="76"/>
  <c r="H59" i="76"/>
  <c r="D59" i="76"/>
  <c r="B59" i="76"/>
  <c r="X58" i="76"/>
  <c r="Z58" i="76" s="1"/>
  <c r="N58" i="76"/>
  <c r="L58" i="76"/>
  <c r="B58" i="76"/>
  <c r="X57" i="76"/>
  <c r="Z57" i="76" s="1"/>
  <c r="L57" i="76"/>
  <c r="N57" i="76" s="1"/>
  <c r="B57" i="76"/>
  <c r="Z56" i="76"/>
  <c r="X56" i="76"/>
  <c r="L56" i="76"/>
  <c r="N56" i="76" s="1"/>
  <c r="B56" i="76"/>
  <c r="X55" i="76"/>
  <c r="Z55" i="76" s="1"/>
  <c r="L55" i="76"/>
  <c r="N55" i="76" s="1"/>
  <c r="B55" i="76"/>
  <c r="X54" i="76"/>
  <c r="Z54" i="76" s="1"/>
  <c r="N54" i="76"/>
  <c r="L54" i="76"/>
  <c r="B54" i="76"/>
  <c r="X53" i="76"/>
  <c r="Z53" i="76" s="1"/>
  <c r="L53" i="76"/>
  <c r="N53" i="76" s="1"/>
  <c r="B53" i="76"/>
  <c r="Z52" i="76"/>
  <c r="X52" i="76"/>
  <c r="L52" i="76"/>
  <c r="N52" i="76" s="1"/>
  <c r="B52" i="76"/>
  <c r="X51" i="76"/>
  <c r="Z51" i="76" s="1"/>
  <c r="L51" i="76"/>
  <c r="N51" i="76" s="1"/>
  <c r="B51" i="76"/>
  <c r="X50" i="76"/>
  <c r="Z50" i="76" s="1"/>
  <c r="N50" i="76"/>
  <c r="L50" i="76"/>
  <c r="B50" i="76"/>
  <c r="T49" i="76"/>
  <c r="P49" i="76"/>
  <c r="X49" i="76" s="1"/>
  <c r="H49" i="76"/>
  <c r="D49" i="76"/>
  <c r="L49" i="76" s="1"/>
  <c r="B49" i="76"/>
  <c r="T48" i="76"/>
  <c r="P48" i="76"/>
  <c r="H48" i="76"/>
  <c r="D48" i="76"/>
  <c r="L48" i="76" s="1"/>
  <c r="N48" i="76" s="1"/>
  <c r="X44" i="76"/>
  <c r="Z44" i="76" s="1"/>
  <c r="N44" i="76"/>
  <c r="L44" i="76"/>
  <c r="B44" i="76"/>
  <c r="X43" i="76"/>
  <c r="Z43" i="76" s="1"/>
  <c r="N43" i="76"/>
  <c r="L43" i="76"/>
  <c r="B43" i="76"/>
  <c r="Z42" i="76"/>
  <c r="X42" i="76"/>
  <c r="N42" i="76"/>
  <c r="L42" i="76"/>
  <c r="B42" i="76"/>
  <c r="X41" i="76"/>
  <c r="Z41" i="76" s="1"/>
  <c r="L41" i="76"/>
  <c r="N41" i="76" s="1"/>
  <c r="B41" i="76"/>
  <c r="X40" i="76"/>
  <c r="Z40" i="76" s="1"/>
  <c r="N40" i="76"/>
  <c r="L40" i="76"/>
  <c r="B40" i="76"/>
  <c r="X39" i="76"/>
  <c r="Z39" i="76" s="1"/>
  <c r="L39" i="76"/>
  <c r="N39" i="76" s="1"/>
  <c r="B39" i="76"/>
  <c r="Z38" i="76"/>
  <c r="X38" i="76"/>
  <c r="N38" i="76"/>
  <c r="L38" i="76"/>
  <c r="B38" i="76"/>
  <c r="X37" i="76"/>
  <c r="Z37" i="76" s="1"/>
  <c r="L37" i="76"/>
  <c r="N37" i="76" s="1"/>
  <c r="B37" i="76"/>
  <c r="X36" i="76"/>
  <c r="Z36" i="76" s="1"/>
  <c r="N36" i="76"/>
  <c r="L36" i="76"/>
  <c r="B36" i="76"/>
  <c r="X35" i="76"/>
  <c r="Z35" i="76" s="1"/>
  <c r="L35" i="76"/>
  <c r="N35" i="76" s="1"/>
  <c r="B35" i="76"/>
  <c r="T34" i="76"/>
  <c r="P34" i="76"/>
  <c r="X34" i="76" s="1"/>
  <c r="Z34" i="76" s="1"/>
  <c r="H34" i="76"/>
  <c r="D34" i="76"/>
  <c r="L34" i="76" s="1"/>
  <c r="T32" i="76"/>
  <c r="Z32" i="76" s="1"/>
  <c r="P32" i="76"/>
  <c r="N32" i="76"/>
  <c r="H32" i="76"/>
  <c r="D32" i="76"/>
  <c r="L32" i="76" s="1"/>
  <c r="B32" i="76"/>
  <c r="T31" i="76"/>
  <c r="P31" i="76"/>
  <c r="X31" i="76" s="1"/>
  <c r="Z31" i="76" s="1"/>
  <c r="H31" i="76"/>
  <c r="D31" i="76"/>
  <c r="L31" i="76" s="1"/>
  <c r="B31" i="76"/>
  <c r="T30" i="76"/>
  <c r="P30" i="76"/>
  <c r="X30" i="76" s="1"/>
  <c r="H30" i="76"/>
  <c r="L30" i="76" s="1"/>
  <c r="N30" i="76" s="1"/>
  <c r="D30" i="76"/>
  <c r="B30" i="76"/>
  <c r="X29" i="76"/>
  <c r="T29" i="76"/>
  <c r="P29" i="76"/>
  <c r="H29" i="76"/>
  <c r="D29" i="76"/>
  <c r="L29" i="76" s="1"/>
  <c r="N29" i="76" s="1"/>
  <c r="B29" i="76"/>
  <c r="T28" i="76"/>
  <c r="P28" i="76"/>
  <c r="N28" i="76"/>
  <c r="H28" i="76"/>
  <c r="D28" i="76"/>
  <c r="L28" i="76" s="1"/>
  <c r="B28" i="76"/>
  <c r="T27" i="76"/>
  <c r="P27" i="76"/>
  <c r="X27" i="76" s="1"/>
  <c r="Z27" i="76" s="1"/>
  <c r="L27" i="76"/>
  <c r="H27" i="76"/>
  <c r="D27" i="76"/>
  <c r="B27" i="76"/>
  <c r="X26" i="76"/>
  <c r="T26" i="76"/>
  <c r="P26" i="76"/>
  <c r="N26" i="76"/>
  <c r="L26" i="76"/>
  <c r="H26" i="76"/>
  <c r="D26" i="76"/>
  <c r="B26" i="76"/>
  <c r="X25" i="76"/>
  <c r="T25" i="76"/>
  <c r="P25" i="76"/>
  <c r="L25" i="76"/>
  <c r="H25" i="76"/>
  <c r="N25" i="76" s="1"/>
  <c r="D25" i="76"/>
  <c r="B25" i="76"/>
  <c r="T24" i="76"/>
  <c r="P24" i="76"/>
  <c r="L24" i="76"/>
  <c r="N24" i="76" s="1"/>
  <c r="H24" i="76"/>
  <c r="D24" i="76"/>
  <c r="B24" i="76"/>
  <c r="T23" i="76"/>
  <c r="P23" i="76"/>
  <c r="X23" i="76" s="1"/>
  <c r="Z23" i="76" s="1"/>
  <c r="L23" i="76"/>
  <c r="H23" i="76"/>
  <c r="D23" i="76"/>
  <c r="B23" i="76"/>
  <c r="X22" i="76"/>
  <c r="T22" i="76"/>
  <c r="P22" i="76"/>
  <c r="L22" i="76"/>
  <c r="H22" i="76"/>
  <c r="N22" i="76" s="1"/>
  <c r="D22" i="76"/>
  <c r="B22" i="76"/>
  <c r="T21" i="76"/>
  <c r="P21" i="76"/>
  <c r="X21" i="76" s="1"/>
  <c r="Z21" i="76" s="1"/>
  <c r="N21" i="76"/>
  <c r="H21" i="76"/>
  <c r="L21" i="76" s="1"/>
  <c r="D21" i="76"/>
  <c r="B21" i="76"/>
  <c r="T20" i="76"/>
  <c r="P20" i="76"/>
  <c r="X20" i="76" s="1"/>
  <c r="Z20" i="76" s="1"/>
  <c r="H20" i="76"/>
  <c r="D20" i="76"/>
  <c r="L20" i="76" s="1"/>
  <c r="N20" i="76" s="1"/>
  <c r="B20" i="76"/>
  <c r="T19" i="76"/>
  <c r="P19" i="76"/>
  <c r="X19" i="76" s="1"/>
  <c r="Z19" i="76" s="1"/>
  <c r="H19" i="76"/>
  <c r="D19" i="76"/>
  <c r="L19" i="76" s="1"/>
  <c r="B19" i="76"/>
  <c r="T18" i="76"/>
  <c r="P18" i="76"/>
  <c r="L18" i="76"/>
  <c r="N18" i="76" s="1"/>
  <c r="H18" i="76"/>
  <c r="D18" i="76"/>
  <c r="B18" i="76"/>
  <c r="X17" i="76"/>
  <c r="T17" i="76"/>
  <c r="Z17" i="76" s="1"/>
  <c r="P17" i="76"/>
  <c r="L17" i="76"/>
  <c r="H17" i="76"/>
  <c r="D17" i="76"/>
  <c r="B17" i="76"/>
  <c r="T16" i="76"/>
  <c r="P16" i="76"/>
  <c r="L16" i="76"/>
  <c r="H16" i="76"/>
  <c r="N16" i="76" s="1"/>
  <c r="D16" i="76"/>
  <c r="B16" i="76"/>
  <c r="Z15" i="76"/>
  <c r="X15" i="76"/>
  <c r="T15" i="76"/>
  <c r="P15" i="76"/>
  <c r="H15" i="76"/>
  <c r="D15" i="76"/>
  <c r="L15" i="76" s="1"/>
  <c r="B15" i="76"/>
  <c r="Z14" i="76"/>
  <c r="X14" i="76"/>
  <c r="T14" i="76"/>
  <c r="P14" i="76"/>
  <c r="L14" i="76"/>
  <c r="N14" i="76" s="1"/>
  <c r="H14" i="76"/>
  <c r="D14" i="76"/>
  <c r="B14" i="76"/>
  <c r="Z13" i="76"/>
  <c r="T13" i="76"/>
  <c r="P13" i="76"/>
  <c r="N13" i="76"/>
  <c r="H13" i="76"/>
  <c r="D13" i="76"/>
  <c r="B13" i="76"/>
  <c r="D6" i="76"/>
  <c r="D4" i="76"/>
  <c r="Z69" i="75"/>
  <c r="X69" i="75"/>
  <c r="L69" i="75"/>
  <c r="N69" i="75" s="1"/>
  <c r="T65" i="75"/>
  <c r="P65" i="75"/>
  <c r="X65" i="75" s="1"/>
  <c r="H65" i="75"/>
  <c r="D65" i="75"/>
  <c r="B65" i="75"/>
  <c r="D64" i="75"/>
  <c r="X62" i="75"/>
  <c r="Z62" i="75" s="1"/>
  <c r="N62" i="75"/>
  <c r="L62" i="75"/>
  <c r="B62" i="75"/>
  <c r="T61" i="75"/>
  <c r="P61" i="75"/>
  <c r="X61" i="75" s="1"/>
  <c r="Z61" i="75" s="1"/>
  <c r="H61" i="75"/>
  <c r="N61" i="75" s="1"/>
  <c r="D61" i="75"/>
  <c r="L61" i="75" s="1"/>
  <c r="B61" i="75"/>
  <c r="X60" i="75"/>
  <c r="Z60" i="75" s="1"/>
  <c r="N60" i="75"/>
  <c r="L60" i="75"/>
  <c r="B60" i="75"/>
  <c r="Z59" i="75"/>
  <c r="X59" i="75"/>
  <c r="N59" i="75"/>
  <c r="L59" i="75"/>
  <c r="B59" i="75"/>
  <c r="Z58" i="75"/>
  <c r="X58" i="75"/>
  <c r="L58" i="75"/>
  <c r="N58" i="75" s="1"/>
  <c r="B58" i="75"/>
  <c r="Z57" i="75"/>
  <c r="X57" i="75"/>
  <c r="N57" i="75"/>
  <c r="L57" i="75"/>
  <c r="B57" i="75"/>
  <c r="X56" i="75"/>
  <c r="Z56" i="75" s="1"/>
  <c r="N56" i="75"/>
  <c r="L56" i="75"/>
  <c r="B56" i="75"/>
  <c r="X55" i="75"/>
  <c r="Z55" i="75" s="1"/>
  <c r="T55" i="75"/>
  <c r="P55" i="75"/>
  <c r="H55" i="75"/>
  <c r="D55" i="75"/>
  <c r="L55" i="75" s="1"/>
  <c r="B55" i="75"/>
  <c r="X54" i="75"/>
  <c r="Z54" i="75" s="1"/>
  <c r="L54" i="75"/>
  <c r="N54" i="75" s="1"/>
  <c r="B54" i="75"/>
  <c r="T53" i="75"/>
  <c r="P53" i="75"/>
  <c r="H53" i="75"/>
  <c r="D53" i="75"/>
  <c r="L53" i="75" s="1"/>
  <c r="B53" i="75"/>
  <c r="Z52" i="75"/>
  <c r="X52" i="75"/>
  <c r="L52" i="75"/>
  <c r="N52" i="75" s="1"/>
  <c r="B52" i="75"/>
  <c r="T51" i="75"/>
  <c r="P51" i="75"/>
  <c r="X51" i="75" s="1"/>
  <c r="H51" i="75"/>
  <c r="D51" i="75"/>
  <c r="L51" i="75" s="1"/>
  <c r="N51" i="75" s="1"/>
  <c r="B51" i="75"/>
  <c r="Z50" i="75"/>
  <c r="X50" i="75"/>
  <c r="N50" i="75"/>
  <c r="L50" i="75"/>
  <c r="B50" i="75"/>
  <c r="Z49" i="75"/>
  <c r="X49" i="75"/>
  <c r="N49" i="75"/>
  <c r="L49" i="75"/>
  <c r="B49" i="75"/>
  <c r="T48" i="75"/>
  <c r="Z48" i="75" s="1"/>
  <c r="P48" i="75"/>
  <c r="N48" i="75"/>
  <c r="H48" i="75"/>
  <c r="D48" i="75"/>
  <c r="L48" i="75" s="1"/>
  <c r="B48" i="75"/>
  <c r="Z47" i="75"/>
  <c r="X47" i="75"/>
  <c r="L47" i="75"/>
  <c r="N47" i="75" s="1"/>
  <c r="B47" i="75"/>
  <c r="Z46" i="75"/>
  <c r="X46" i="75"/>
  <c r="T46" i="75"/>
  <c r="P46" i="75"/>
  <c r="H46" i="75"/>
  <c r="D46" i="75"/>
  <c r="L46" i="75" s="1"/>
  <c r="B46" i="75"/>
  <c r="Z45" i="75"/>
  <c r="X45" i="75"/>
  <c r="N45" i="75"/>
  <c r="L45" i="75"/>
  <c r="B45" i="75"/>
  <c r="T44" i="75"/>
  <c r="P44" i="75"/>
  <c r="H44" i="75"/>
  <c r="D44" i="75"/>
  <c r="L44" i="75" s="1"/>
  <c r="B44" i="75"/>
  <c r="Z43" i="75"/>
  <c r="X43" i="75"/>
  <c r="N43" i="75"/>
  <c r="L43" i="75"/>
  <c r="B43" i="75"/>
  <c r="Z42" i="75"/>
  <c r="T42" i="75"/>
  <c r="P42" i="75"/>
  <c r="X42" i="75" s="1"/>
  <c r="H42" i="75"/>
  <c r="N42" i="75" s="1"/>
  <c r="D42" i="75"/>
  <c r="B42" i="75"/>
  <c r="Z41" i="75"/>
  <c r="X41" i="75"/>
  <c r="N41" i="75"/>
  <c r="L41" i="75"/>
  <c r="B41" i="75"/>
  <c r="Z40" i="75"/>
  <c r="X40" i="75"/>
  <c r="N40" i="75"/>
  <c r="L40" i="75"/>
  <c r="J40" i="75"/>
  <c r="B40" i="75"/>
  <c r="Z39" i="75"/>
  <c r="X39" i="75"/>
  <c r="L39" i="75"/>
  <c r="N39" i="75" s="1"/>
  <c r="B39" i="75"/>
  <c r="Z38" i="75"/>
  <c r="X38" i="75"/>
  <c r="T38" i="75"/>
  <c r="P38" i="75"/>
  <c r="H38" i="75"/>
  <c r="D38" i="75"/>
  <c r="L38" i="75" s="1"/>
  <c r="B38" i="75"/>
  <c r="Z37" i="75"/>
  <c r="X37" i="75"/>
  <c r="N37" i="75"/>
  <c r="L37" i="75"/>
  <c r="B37" i="75"/>
  <c r="Z36" i="75"/>
  <c r="X36" i="75"/>
  <c r="L36" i="75"/>
  <c r="N36" i="75" s="1"/>
  <c r="B36" i="75"/>
  <c r="X35" i="75"/>
  <c r="Z35" i="75" s="1"/>
  <c r="L35" i="75"/>
  <c r="N35" i="75" s="1"/>
  <c r="B35" i="75"/>
  <c r="X34" i="75"/>
  <c r="Z34" i="75" s="1"/>
  <c r="N34" i="75"/>
  <c r="L34" i="75"/>
  <c r="B34" i="75"/>
  <c r="Z33" i="75"/>
  <c r="X33" i="75"/>
  <c r="N33" i="75"/>
  <c r="L33" i="75"/>
  <c r="B33" i="75"/>
  <c r="Z32" i="75"/>
  <c r="X32" i="75"/>
  <c r="L32" i="75"/>
  <c r="N32" i="75" s="1"/>
  <c r="B32" i="75"/>
  <c r="X31" i="75"/>
  <c r="Z31" i="75" s="1"/>
  <c r="L31" i="75"/>
  <c r="N31" i="75" s="1"/>
  <c r="B31" i="75"/>
  <c r="X30" i="75"/>
  <c r="Z30" i="75" s="1"/>
  <c r="N30" i="75"/>
  <c r="L30" i="75"/>
  <c r="B30" i="75"/>
  <c r="Z29" i="75"/>
  <c r="T29" i="75"/>
  <c r="P29" i="75"/>
  <c r="X29" i="75" s="1"/>
  <c r="H29" i="75"/>
  <c r="N29" i="75" s="1"/>
  <c r="D29" i="75"/>
  <c r="L29" i="75" s="1"/>
  <c r="B29" i="75"/>
  <c r="T28" i="75"/>
  <c r="P28" i="75"/>
  <c r="H28" i="75"/>
  <c r="D28" i="75"/>
  <c r="L28" i="75" s="1"/>
  <c r="N28" i="75" s="1"/>
  <c r="T24" i="75"/>
  <c r="Z24" i="75" s="1"/>
  <c r="P24" i="75"/>
  <c r="N24" i="75"/>
  <c r="H24" i="75"/>
  <c r="D24" i="75"/>
  <c r="L24" i="75" s="1"/>
  <c r="T22" i="75"/>
  <c r="P22" i="75"/>
  <c r="X22" i="75" s="1"/>
  <c r="Z22" i="75" s="1"/>
  <c r="H22" i="75"/>
  <c r="D22" i="75"/>
  <c r="L22" i="75" s="1"/>
  <c r="B22" i="75"/>
  <c r="T21" i="75"/>
  <c r="P21" i="75"/>
  <c r="H21" i="75"/>
  <c r="N21" i="75" s="1"/>
  <c r="D21" i="75"/>
  <c r="L21" i="75" s="1"/>
  <c r="B21" i="75"/>
  <c r="Z20" i="75"/>
  <c r="X20" i="75"/>
  <c r="T20" i="75"/>
  <c r="P20" i="75"/>
  <c r="N20" i="75"/>
  <c r="L20" i="75"/>
  <c r="H20" i="75"/>
  <c r="D20" i="75"/>
  <c r="B20" i="75"/>
  <c r="T19" i="75"/>
  <c r="P19" i="75"/>
  <c r="X19" i="75" s="1"/>
  <c r="Z19" i="75" s="1"/>
  <c r="H19" i="75"/>
  <c r="D19" i="75"/>
  <c r="L19" i="75" s="1"/>
  <c r="N19" i="75" s="1"/>
  <c r="B19" i="75"/>
  <c r="T18" i="75"/>
  <c r="P18" i="75"/>
  <c r="X18" i="75" s="1"/>
  <c r="Z18" i="75" s="1"/>
  <c r="H18" i="75"/>
  <c r="N18" i="75" s="1"/>
  <c r="D18" i="75"/>
  <c r="L18" i="75" s="1"/>
  <c r="B18" i="75"/>
  <c r="X17" i="75"/>
  <c r="T17" i="75"/>
  <c r="P17" i="75"/>
  <c r="H17" i="75"/>
  <c r="D17" i="75"/>
  <c r="L17" i="75" s="1"/>
  <c r="B17" i="75"/>
  <c r="Z16" i="75"/>
  <c r="X16" i="75"/>
  <c r="T16" i="75"/>
  <c r="P16" i="75"/>
  <c r="L16" i="75"/>
  <c r="N16" i="75" s="1"/>
  <c r="H16" i="75"/>
  <c r="D16" i="75"/>
  <c r="B16" i="75"/>
  <c r="T15" i="75"/>
  <c r="P15" i="75"/>
  <c r="X15" i="75" s="1"/>
  <c r="Z15" i="75" s="1"/>
  <c r="H15" i="75"/>
  <c r="D15" i="75"/>
  <c r="L15" i="75" s="1"/>
  <c r="N15" i="75" s="1"/>
  <c r="B15" i="75"/>
  <c r="T14" i="75"/>
  <c r="P14" i="75"/>
  <c r="X14" i="75" s="1"/>
  <c r="Z14" i="75" s="1"/>
  <c r="H14" i="75"/>
  <c r="D14" i="75"/>
  <c r="B14" i="75"/>
  <c r="T13" i="75"/>
  <c r="P13" i="75"/>
  <c r="H13" i="75"/>
  <c r="H12" i="75" s="1"/>
  <c r="J31" i="75" s="1"/>
  <c r="D13" i="75"/>
  <c r="L13" i="75" s="1"/>
  <c r="B13" i="75"/>
  <c r="D6" i="75"/>
  <c r="D4" i="75"/>
  <c r="Z109" i="74"/>
  <c r="X109" i="74"/>
  <c r="N109" i="74"/>
  <c r="L109" i="74"/>
  <c r="T105" i="74"/>
  <c r="Z105" i="74" s="1"/>
  <c r="P105" i="74"/>
  <c r="N105" i="74"/>
  <c r="H105" i="74"/>
  <c r="D105" i="74"/>
  <c r="B105" i="74"/>
  <c r="T104" i="74"/>
  <c r="Z104" i="74" s="1"/>
  <c r="P104" i="74"/>
  <c r="X104" i="74" s="1"/>
  <c r="H104" i="74"/>
  <c r="H103" i="74" s="1"/>
  <c r="D104" i="74"/>
  <c r="B104" i="74"/>
  <c r="X101" i="74"/>
  <c r="Z101" i="74" s="1"/>
  <c r="N101" i="74"/>
  <c r="L101" i="74"/>
  <c r="B101" i="74"/>
  <c r="Z100" i="74"/>
  <c r="T100" i="74"/>
  <c r="P100" i="74"/>
  <c r="X100" i="74" s="1"/>
  <c r="H100" i="74"/>
  <c r="N100" i="74" s="1"/>
  <c r="D100" i="74"/>
  <c r="L100" i="74" s="1"/>
  <c r="B100" i="74"/>
  <c r="X99" i="74"/>
  <c r="Z99" i="74" s="1"/>
  <c r="N99" i="74"/>
  <c r="L99" i="74"/>
  <c r="B99" i="74"/>
  <c r="X98" i="74"/>
  <c r="Z98" i="74" s="1"/>
  <c r="T98" i="74"/>
  <c r="P98" i="74"/>
  <c r="H98" i="74"/>
  <c r="D98" i="74"/>
  <c r="L98" i="74" s="1"/>
  <c r="B98" i="74"/>
  <c r="X97" i="74"/>
  <c r="Z97" i="74" s="1"/>
  <c r="L97" i="74"/>
  <c r="N97" i="74" s="1"/>
  <c r="B97" i="74"/>
  <c r="Z96" i="74"/>
  <c r="X96" i="74"/>
  <c r="N96" i="74"/>
  <c r="L96" i="74"/>
  <c r="B96" i="74"/>
  <c r="Z95" i="74"/>
  <c r="X95" i="74"/>
  <c r="N95" i="74"/>
  <c r="L95" i="74"/>
  <c r="B95" i="74"/>
  <c r="T94" i="74"/>
  <c r="P94" i="74"/>
  <c r="X94" i="74" s="1"/>
  <c r="H94" i="74"/>
  <c r="D94" i="74"/>
  <c r="B94" i="74"/>
  <c r="X93" i="74"/>
  <c r="Z93" i="74" s="1"/>
  <c r="N93" i="74"/>
  <c r="L93" i="74"/>
  <c r="B93" i="74"/>
  <c r="Z92" i="74"/>
  <c r="X92" i="74"/>
  <c r="N92" i="74"/>
  <c r="L92" i="74"/>
  <c r="B92" i="74"/>
  <c r="T91" i="74"/>
  <c r="P91" i="74"/>
  <c r="H91" i="74"/>
  <c r="D91" i="74"/>
  <c r="L91" i="74" s="1"/>
  <c r="B91" i="74"/>
  <c r="X90" i="74"/>
  <c r="Z90" i="74" s="1"/>
  <c r="N90" i="74"/>
  <c r="L90" i="74"/>
  <c r="B90" i="74"/>
  <c r="Z89" i="74"/>
  <c r="T89" i="74"/>
  <c r="P89" i="74"/>
  <c r="X89" i="74" s="1"/>
  <c r="H89" i="74"/>
  <c r="D89" i="74"/>
  <c r="B89" i="74"/>
  <c r="Z88" i="74"/>
  <c r="X88" i="74"/>
  <c r="N88" i="74"/>
  <c r="L88" i="74"/>
  <c r="B88" i="74"/>
  <c r="T87" i="74"/>
  <c r="Z87" i="74" s="1"/>
  <c r="P87" i="74"/>
  <c r="X87" i="74" s="1"/>
  <c r="N87" i="74"/>
  <c r="L87" i="74"/>
  <c r="H87" i="74"/>
  <c r="D87" i="74"/>
  <c r="B87" i="74"/>
  <c r="X86" i="74"/>
  <c r="Z86" i="74" s="1"/>
  <c r="L86" i="74"/>
  <c r="N86" i="74" s="1"/>
  <c r="B86" i="74"/>
  <c r="T85" i="74"/>
  <c r="P85" i="74"/>
  <c r="X85" i="74" s="1"/>
  <c r="H85" i="74"/>
  <c r="D85" i="74"/>
  <c r="B85" i="74"/>
  <c r="Z84" i="74"/>
  <c r="X84" i="74"/>
  <c r="N84" i="74"/>
  <c r="L84" i="74"/>
  <c r="B84" i="74"/>
  <c r="T83" i="74"/>
  <c r="P83" i="74"/>
  <c r="N83" i="74"/>
  <c r="H83" i="74"/>
  <c r="D83" i="74"/>
  <c r="L83" i="74" s="1"/>
  <c r="B83" i="74"/>
  <c r="Z82" i="74"/>
  <c r="X82" i="74"/>
  <c r="L82" i="74"/>
  <c r="N82" i="74" s="1"/>
  <c r="B82" i="74"/>
  <c r="Z81" i="74"/>
  <c r="X81" i="74"/>
  <c r="T81" i="74"/>
  <c r="P81" i="74"/>
  <c r="H81" i="74"/>
  <c r="D81" i="74"/>
  <c r="L81" i="74" s="1"/>
  <c r="B81" i="74"/>
  <c r="Z80" i="74"/>
  <c r="X80" i="74"/>
  <c r="N80" i="74"/>
  <c r="L80" i="74"/>
  <c r="B80" i="74"/>
  <c r="Z79" i="74"/>
  <c r="X79" i="74"/>
  <c r="L79" i="74"/>
  <c r="N79" i="74" s="1"/>
  <c r="B79" i="74"/>
  <c r="Z78" i="74"/>
  <c r="X78" i="74"/>
  <c r="N78" i="74"/>
  <c r="L78" i="74"/>
  <c r="B78" i="74"/>
  <c r="X77" i="74"/>
  <c r="Z77" i="74" s="1"/>
  <c r="N77" i="74"/>
  <c r="L77" i="74"/>
  <c r="B77" i="74"/>
  <c r="Z76" i="74"/>
  <c r="T76" i="74"/>
  <c r="P76" i="74"/>
  <c r="X76" i="74" s="1"/>
  <c r="L76" i="74"/>
  <c r="H76" i="74"/>
  <c r="N76" i="74" s="1"/>
  <c r="D76" i="74"/>
  <c r="B76" i="74"/>
  <c r="X75" i="74"/>
  <c r="Z75" i="74" s="1"/>
  <c r="N75" i="74"/>
  <c r="L75" i="74"/>
  <c r="B75" i="74"/>
  <c r="X74" i="74"/>
  <c r="Z74" i="74" s="1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X71" i="74"/>
  <c r="Z71" i="74" s="1"/>
  <c r="N71" i="74"/>
  <c r="L71" i="74"/>
  <c r="B71" i="74"/>
  <c r="X70" i="74"/>
  <c r="Z70" i="74" s="1"/>
  <c r="N70" i="74"/>
  <c r="L70" i="74"/>
  <c r="B70" i="74"/>
  <c r="X69" i="74"/>
  <c r="Z69" i="74" s="1"/>
  <c r="L69" i="74"/>
  <c r="N69" i="74" s="1"/>
  <c r="B69" i="74"/>
  <c r="Z68" i="74"/>
  <c r="X68" i="74"/>
  <c r="N68" i="74"/>
  <c r="L68" i="74"/>
  <c r="B68" i="74"/>
  <c r="T67" i="74"/>
  <c r="P67" i="74"/>
  <c r="H67" i="74"/>
  <c r="D67" i="74"/>
  <c r="L67" i="74" s="1"/>
  <c r="N67" i="74" s="1"/>
  <c r="B67" i="74"/>
  <c r="T66" i="74"/>
  <c r="Z66" i="74" s="1"/>
  <c r="P66" i="74"/>
  <c r="X66" i="74" s="1"/>
  <c r="H66" i="74"/>
  <c r="L66" i="74" s="1"/>
  <c r="D66" i="74"/>
  <c r="Z62" i="74"/>
  <c r="X62" i="74"/>
  <c r="L62" i="74"/>
  <c r="N62" i="74" s="1"/>
  <c r="B62" i="74"/>
  <c r="Z61" i="74"/>
  <c r="X61" i="74"/>
  <c r="L61" i="74"/>
  <c r="N61" i="74" s="1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L58" i="74"/>
  <c r="N58" i="74" s="1"/>
  <c r="B58" i="74"/>
  <c r="Z57" i="74"/>
  <c r="X57" i="74"/>
  <c r="L57" i="74"/>
  <c r="N57" i="74" s="1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L54" i="74"/>
  <c r="N54" i="74" s="1"/>
  <c r="B54" i="74"/>
  <c r="Z53" i="74"/>
  <c r="X53" i="74"/>
  <c r="L53" i="74"/>
  <c r="N53" i="74" s="1"/>
  <c r="B53" i="74"/>
  <c r="Z52" i="74"/>
  <c r="X52" i="74"/>
  <c r="N52" i="74"/>
  <c r="L52" i="74"/>
  <c r="B52" i="74"/>
  <c r="Z51" i="74"/>
  <c r="X51" i="74"/>
  <c r="N51" i="74"/>
  <c r="L51" i="74"/>
  <c r="B51" i="74"/>
  <c r="Z50" i="74"/>
  <c r="X50" i="74"/>
  <c r="L50" i="74"/>
  <c r="N50" i="74" s="1"/>
  <c r="B50" i="74"/>
  <c r="Z49" i="74"/>
  <c r="X49" i="74"/>
  <c r="N49" i="74"/>
  <c r="L49" i="74"/>
  <c r="B49" i="74"/>
  <c r="T48" i="74"/>
  <c r="P48" i="74"/>
  <c r="H48" i="74"/>
  <c r="N48" i="74" s="1"/>
  <c r="D48" i="74"/>
  <c r="L48" i="74" s="1"/>
  <c r="Z46" i="74"/>
  <c r="T46" i="74"/>
  <c r="P46" i="74"/>
  <c r="X46" i="74" s="1"/>
  <c r="N46" i="74"/>
  <c r="L46" i="74"/>
  <c r="H46" i="74"/>
  <c r="D46" i="74"/>
  <c r="B46" i="74"/>
  <c r="T45" i="74"/>
  <c r="Z45" i="74" s="1"/>
  <c r="P45" i="74"/>
  <c r="H45" i="74"/>
  <c r="N45" i="74" s="1"/>
  <c r="D45" i="74"/>
  <c r="B45" i="74"/>
  <c r="T44" i="74"/>
  <c r="Z44" i="74" s="1"/>
  <c r="P44" i="74"/>
  <c r="X44" i="74" s="1"/>
  <c r="L44" i="74"/>
  <c r="H44" i="74"/>
  <c r="D44" i="74"/>
  <c r="B44" i="74"/>
  <c r="Z43" i="74"/>
  <c r="X43" i="74"/>
  <c r="T43" i="74"/>
  <c r="P43" i="74"/>
  <c r="L43" i="74"/>
  <c r="H43" i="74"/>
  <c r="N43" i="74" s="1"/>
  <c r="D43" i="74"/>
  <c r="B43" i="74"/>
  <c r="Z42" i="74"/>
  <c r="T42" i="74"/>
  <c r="P42" i="74"/>
  <c r="X42" i="74" s="1"/>
  <c r="N42" i="74"/>
  <c r="L42" i="74"/>
  <c r="H42" i="74"/>
  <c r="D42" i="74"/>
  <c r="B42" i="74"/>
  <c r="T41" i="74"/>
  <c r="P41" i="74"/>
  <c r="X41" i="74" s="1"/>
  <c r="H41" i="74"/>
  <c r="D41" i="74"/>
  <c r="B41" i="74"/>
  <c r="T40" i="74"/>
  <c r="P40" i="74"/>
  <c r="X40" i="74" s="1"/>
  <c r="H40" i="74"/>
  <c r="D40" i="74"/>
  <c r="B40" i="74"/>
  <c r="Z39" i="74"/>
  <c r="X39" i="74"/>
  <c r="T39" i="74"/>
  <c r="P39" i="74"/>
  <c r="L39" i="74"/>
  <c r="H39" i="74"/>
  <c r="N39" i="74" s="1"/>
  <c r="D39" i="74"/>
  <c r="B39" i="74"/>
  <c r="Z38" i="74"/>
  <c r="T38" i="74"/>
  <c r="P38" i="74"/>
  <c r="X38" i="74" s="1"/>
  <c r="N38" i="74"/>
  <c r="L38" i="74"/>
  <c r="H38" i="74"/>
  <c r="D38" i="74"/>
  <c r="B38" i="74"/>
  <c r="T37" i="74"/>
  <c r="Z37" i="74" s="1"/>
  <c r="P37" i="74"/>
  <c r="X37" i="74" s="1"/>
  <c r="H37" i="74"/>
  <c r="N37" i="74" s="1"/>
  <c r="D37" i="74"/>
  <c r="L37" i="74" s="1"/>
  <c r="B37" i="74"/>
  <c r="T36" i="74"/>
  <c r="Z36" i="74" s="1"/>
  <c r="P36" i="74"/>
  <c r="X36" i="74" s="1"/>
  <c r="H36" i="74"/>
  <c r="N36" i="74" s="1"/>
  <c r="D36" i="74"/>
  <c r="B36" i="74"/>
  <c r="Z35" i="74"/>
  <c r="X35" i="74"/>
  <c r="T35" i="74"/>
  <c r="P35" i="74"/>
  <c r="L35" i="74"/>
  <c r="H35" i="74"/>
  <c r="N35" i="74" s="1"/>
  <c r="D35" i="74"/>
  <c r="B35" i="74"/>
  <c r="Z34" i="74"/>
  <c r="T34" i="74"/>
  <c r="P34" i="74"/>
  <c r="X34" i="74" s="1"/>
  <c r="N34" i="74"/>
  <c r="L34" i="74"/>
  <c r="H34" i="74"/>
  <c r="D34" i="74"/>
  <c r="B34" i="74"/>
  <c r="T33" i="74"/>
  <c r="P33" i="74"/>
  <c r="H33" i="74"/>
  <c r="D33" i="74"/>
  <c r="B33" i="74"/>
  <c r="T32" i="74"/>
  <c r="Z32" i="74" s="1"/>
  <c r="P32" i="74"/>
  <c r="X32" i="74" s="1"/>
  <c r="H32" i="74"/>
  <c r="D32" i="74"/>
  <c r="B32" i="74"/>
  <c r="Z31" i="74"/>
  <c r="X31" i="74"/>
  <c r="T31" i="74"/>
  <c r="P31" i="74"/>
  <c r="L31" i="74"/>
  <c r="H31" i="74"/>
  <c r="N31" i="74" s="1"/>
  <c r="D31" i="74"/>
  <c r="B31" i="74"/>
  <c r="Z30" i="74"/>
  <c r="T30" i="74"/>
  <c r="P30" i="74"/>
  <c r="X30" i="74" s="1"/>
  <c r="N30" i="74"/>
  <c r="L30" i="74"/>
  <c r="H30" i="74"/>
  <c r="D30" i="74"/>
  <c r="B30" i="74"/>
  <c r="T29" i="74"/>
  <c r="Z29" i="74" s="1"/>
  <c r="P29" i="74"/>
  <c r="H29" i="74"/>
  <c r="N29" i="74" s="1"/>
  <c r="D29" i="74"/>
  <c r="B29" i="74"/>
  <c r="T28" i="74"/>
  <c r="Z28" i="74" s="1"/>
  <c r="P28" i="74"/>
  <c r="X28" i="74" s="1"/>
  <c r="L28" i="74"/>
  <c r="H28" i="74"/>
  <c r="N28" i="74" s="1"/>
  <c r="D28" i="74"/>
  <c r="B28" i="74"/>
  <c r="Z27" i="74"/>
  <c r="X27" i="74"/>
  <c r="T27" i="74"/>
  <c r="P27" i="74"/>
  <c r="L27" i="74"/>
  <c r="H27" i="74"/>
  <c r="N27" i="74" s="1"/>
  <c r="D27" i="74"/>
  <c r="B27" i="74"/>
  <c r="Z26" i="74"/>
  <c r="T26" i="74"/>
  <c r="P26" i="74"/>
  <c r="X26" i="74" s="1"/>
  <c r="N26" i="74"/>
  <c r="L26" i="74"/>
  <c r="H26" i="74"/>
  <c r="D26" i="74"/>
  <c r="B26" i="74"/>
  <c r="T25" i="74"/>
  <c r="Z25" i="74" s="1"/>
  <c r="P25" i="74"/>
  <c r="X25" i="74" s="1"/>
  <c r="H25" i="74"/>
  <c r="N25" i="74" s="1"/>
  <c r="D25" i="74"/>
  <c r="B25" i="74"/>
  <c r="T24" i="74"/>
  <c r="P24" i="74"/>
  <c r="X24" i="74" s="1"/>
  <c r="H24" i="74"/>
  <c r="D24" i="74"/>
  <c r="B24" i="74"/>
  <c r="Z23" i="74"/>
  <c r="X23" i="74"/>
  <c r="T23" i="74"/>
  <c r="P23" i="74"/>
  <c r="L23" i="74"/>
  <c r="H23" i="74"/>
  <c r="N23" i="74" s="1"/>
  <c r="D23" i="74"/>
  <c r="B23" i="74"/>
  <c r="T22" i="74"/>
  <c r="P22" i="74"/>
  <c r="X22" i="74" s="1"/>
  <c r="Z22" i="74" s="1"/>
  <c r="N22" i="74"/>
  <c r="L22" i="74"/>
  <c r="H22" i="74"/>
  <c r="D22" i="74"/>
  <c r="B22" i="74"/>
  <c r="T21" i="74"/>
  <c r="P21" i="74"/>
  <c r="X21" i="74" s="1"/>
  <c r="H21" i="74"/>
  <c r="D21" i="74"/>
  <c r="L21" i="74" s="1"/>
  <c r="B21" i="74"/>
  <c r="T20" i="74"/>
  <c r="P20" i="74"/>
  <c r="X20" i="74" s="1"/>
  <c r="H20" i="74"/>
  <c r="D20" i="74"/>
  <c r="B20" i="74"/>
  <c r="Z19" i="74"/>
  <c r="X19" i="74"/>
  <c r="T19" i="74"/>
  <c r="P19" i="74"/>
  <c r="L19" i="74"/>
  <c r="H19" i="74"/>
  <c r="N19" i="74" s="1"/>
  <c r="D19" i="74"/>
  <c r="B19" i="74"/>
  <c r="Z18" i="74"/>
  <c r="T18" i="74"/>
  <c r="P18" i="74"/>
  <c r="X18" i="74" s="1"/>
  <c r="N18" i="74"/>
  <c r="L18" i="74"/>
  <c r="H18" i="74"/>
  <c r="D18" i="74"/>
  <c r="B18" i="74"/>
  <c r="T17" i="74"/>
  <c r="Z17" i="74" s="1"/>
  <c r="P17" i="74"/>
  <c r="H17" i="74"/>
  <c r="N17" i="74" s="1"/>
  <c r="D17" i="74"/>
  <c r="L17" i="74" s="1"/>
  <c r="B17" i="74"/>
  <c r="T16" i="74"/>
  <c r="Z16" i="74" s="1"/>
  <c r="P16" i="74"/>
  <c r="X16" i="74" s="1"/>
  <c r="H16" i="74"/>
  <c r="N16" i="74" s="1"/>
  <c r="D16" i="74"/>
  <c r="B16" i="74"/>
  <c r="Z15" i="74"/>
  <c r="X15" i="74"/>
  <c r="T15" i="74"/>
  <c r="P15" i="74"/>
  <c r="L15" i="74"/>
  <c r="H15" i="74"/>
  <c r="N15" i="74" s="1"/>
  <c r="D15" i="74"/>
  <c r="B15" i="74"/>
  <c r="Z14" i="74"/>
  <c r="T14" i="74"/>
  <c r="P14" i="74"/>
  <c r="X14" i="74" s="1"/>
  <c r="N14" i="74"/>
  <c r="L14" i="74"/>
  <c r="H14" i="74"/>
  <c r="D14" i="74"/>
  <c r="B14" i="74"/>
  <c r="T13" i="74"/>
  <c r="P13" i="74"/>
  <c r="H13" i="74"/>
  <c r="N13" i="74" s="1"/>
  <c r="D13" i="74"/>
  <c r="B13" i="74"/>
  <c r="D6" i="74"/>
  <c r="D4" i="74"/>
  <c r="Z65" i="73"/>
  <c r="X65" i="73"/>
  <c r="N65" i="73"/>
  <c r="L65" i="73"/>
  <c r="R63" i="73"/>
  <c r="Z61" i="73"/>
  <c r="T61" i="73"/>
  <c r="X61" i="73" s="1"/>
  <c r="P61" i="73"/>
  <c r="H61" i="73"/>
  <c r="N61" i="73" s="1"/>
  <c r="D61" i="73"/>
  <c r="L61" i="73" s="1"/>
  <c r="Z59" i="73"/>
  <c r="X59" i="73"/>
  <c r="N59" i="73"/>
  <c r="L59" i="73"/>
  <c r="B59" i="73"/>
  <c r="T58" i="73"/>
  <c r="P58" i="73"/>
  <c r="X58" i="73" s="1"/>
  <c r="H58" i="73"/>
  <c r="D58" i="73"/>
  <c r="L58" i="73" s="1"/>
  <c r="N58" i="73" s="1"/>
  <c r="B58" i="73"/>
  <c r="X57" i="73"/>
  <c r="Z57" i="73" s="1"/>
  <c r="L57" i="73"/>
  <c r="N57" i="73" s="1"/>
  <c r="B57" i="73"/>
  <c r="X56" i="73"/>
  <c r="T56" i="73"/>
  <c r="Z56" i="73" s="1"/>
  <c r="P56" i="73"/>
  <c r="H56" i="73"/>
  <c r="D56" i="73"/>
  <c r="B56" i="73"/>
  <c r="Z55" i="73"/>
  <c r="X55" i="73"/>
  <c r="N55" i="73"/>
  <c r="L55" i="73"/>
  <c r="B55" i="73"/>
  <c r="Z54" i="73"/>
  <c r="X54" i="73"/>
  <c r="N54" i="73"/>
  <c r="L54" i="73"/>
  <c r="B54" i="73"/>
  <c r="X53" i="73"/>
  <c r="Z53" i="73" s="1"/>
  <c r="T53" i="73"/>
  <c r="P53" i="73"/>
  <c r="H53" i="73"/>
  <c r="D53" i="73"/>
  <c r="B53" i="73"/>
  <c r="X52" i="73"/>
  <c r="Z52" i="73" s="1"/>
  <c r="L52" i="73"/>
  <c r="N52" i="73" s="1"/>
  <c r="B52" i="73"/>
  <c r="Z51" i="73"/>
  <c r="X51" i="73"/>
  <c r="N51" i="73"/>
  <c r="L51" i="73"/>
  <c r="B51" i="73"/>
  <c r="Z50" i="73"/>
  <c r="X50" i="73"/>
  <c r="N50" i="73"/>
  <c r="L50" i="73"/>
  <c r="B50" i="73"/>
  <c r="Z49" i="73"/>
  <c r="X49" i="73"/>
  <c r="L49" i="73"/>
  <c r="N49" i="73" s="1"/>
  <c r="B49" i="73"/>
  <c r="Z48" i="73"/>
  <c r="X48" i="73"/>
  <c r="L48" i="73"/>
  <c r="N48" i="73" s="1"/>
  <c r="B48" i="73"/>
  <c r="Z47" i="73"/>
  <c r="X47" i="73"/>
  <c r="N47" i="73"/>
  <c r="L47" i="73"/>
  <c r="B47" i="73"/>
  <c r="Z46" i="73"/>
  <c r="X46" i="73"/>
  <c r="N46" i="73"/>
  <c r="L46" i="73"/>
  <c r="B46" i="73"/>
  <c r="T45" i="73"/>
  <c r="P45" i="73"/>
  <c r="X45" i="73" s="1"/>
  <c r="L45" i="73"/>
  <c r="H45" i="73"/>
  <c r="D45" i="73"/>
  <c r="B45" i="73"/>
  <c r="T44" i="73"/>
  <c r="P44" i="73"/>
  <c r="X44" i="73" s="1"/>
  <c r="N44" i="73"/>
  <c r="H44" i="73"/>
  <c r="L44" i="73" s="1"/>
  <c r="D44" i="73"/>
  <c r="X40" i="73"/>
  <c r="Z40" i="73" s="1"/>
  <c r="N40" i="73"/>
  <c r="L40" i="73"/>
  <c r="B40" i="73"/>
  <c r="Z39" i="73"/>
  <c r="X39" i="73"/>
  <c r="N39" i="73"/>
  <c r="L39" i="73"/>
  <c r="B39" i="73"/>
  <c r="Z38" i="73"/>
  <c r="X38" i="73"/>
  <c r="N38" i="73"/>
  <c r="L38" i="73"/>
  <c r="B38" i="73"/>
  <c r="X37" i="73"/>
  <c r="Z37" i="73" s="1"/>
  <c r="L37" i="73"/>
  <c r="N37" i="73" s="1"/>
  <c r="B37" i="73"/>
  <c r="X36" i="73"/>
  <c r="Z36" i="73" s="1"/>
  <c r="L36" i="73"/>
  <c r="N36" i="73" s="1"/>
  <c r="B36" i="73"/>
  <c r="Z35" i="73"/>
  <c r="X35" i="73"/>
  <c r="N35" i="73"/>
  <c r="L35" i="73"/>
  <c r="B35" i="73"/>
  <c r="Z34" i="73"/>
  <c r="X34" i="73"/>
  <c r="N34" i="73"/>
  <c r="L34" i="73"/>
  <c r="B34" i="73"/>
  <c r="X33" i="73"/>
  <c r="Z33" i="73" s="1"/>
  <c r="L33" i="73"/>
  <c r="N33" i="73" s="1"/>
  <c r="B33" i="73"/>
  <c r="X32" i="73"/>
  <c r="Z32" i="73" s="1"/>
  <c r="N32" i="73"/>
  <c r="L32" i="73"/>
  <c r="B32" i="73"/>
  <c r="Z31" i="73"/>
  <c r="X31" i="73"/>
  <c r="N31" i="73"/>
  <c r="L31" i="73"/>
  <c r="B31" i="73"/>
  <c r="X30" i="73"/>
  <c r="T30" i="73"/>
  <c r="Z30" i="73" s="1"/>
  <c r="P30" i="73"/>
  <c r="L30" i="73"/>
  <c r="H30" i="73"/>
  <c r="N30" i="73" s="1"/>
  <c r="D30" i="73"/>
  <c r="T28" i="73"/>
  <c r="X28" i="73" s="1"/>
  <c r="Z28" i="73" s="1"/>
  <c r="P28" i="73"/>
  <c r="H28" i="73"/>
  <c r="D28" i="73"/>
  <c r="L28" i="73" s="1"/>
  <c r="N28" i="73" s="1"/>
  <c r="B28" i="73"/>
  <c r="X27" i="73"/>
  <c r="T27" i="73"/>
  <c r="P27" i="73"/>
  <c r="H27" i="73"/>
  <c r="D27" i="73"/>
  <c r="B27" i="73"/>
  <c r="X26" i="73"/>
  <c r="T26" i="73"/>
  <c r="Z26" i="73" s="1"/>
  <c r="P26" i="73"/>
  <c r="L26" i="73"/>
  <c r="N26" i="73" s="1"/>
  <c r="H26" i="73"/>
  <c r="D26" i="73"/>
  <c r="B26" i="73"/>
  <c r="Z25" i="73"/>
  <c r="X25" i="73"/>
  <c r="T25" i="73"/>
  <c r="P25" i="73"/>
  <c r="H25" i="73"/>
  <c r="D25" i="73"/>
  <c r="L25" i="73" s="1"/>
  <c r="N25" i="73" s="1"/>
  <c r="B25" i="73"/>
  <c r="T24" i="73"/>
  <c r="P24" i="73"/>
  <c r="X24" i="73" s="1"/>
  <c r="Z24" i="73" s="1"/>
  <c r="H24" i="73"/>
  <c r="D24" i="73"/>
  <c r="L24" i="73" s="1"/>
  <c r="N24" i="73" s="1"/>
  <c r="B24" i="73"/>
  <c r="T23" i="73"/>
  <c r="P23" i="73"/>
  <c r="X23" i="73" s="1"/>
  <c r="H23" i="73"/>
  <c r="L23" i="73" s="1"/>
  <c r="N23" i="73" s="1"/>
  <c r="D23" i="73"/>
  <c r="B23" i="73"/>
  <c r="X22" i="73"/>
  <c r="T22" i="73"/>
  <c r="P22" i="73"/>
  <c r="H22" i="73"/>
  <c r="D22" i="73"/>
  <c r="L22" i="73" s="1"/>
  <c r="N22" i="73" s="1"/>
  <c r="B22" i="73"/>
  <c r="Z21" i="73"/>
  <c r="X21" i="73"/>
  <c r="T21" i="73"/>
  <c r="P21" i="73"/>
  <c r="H21" i="73"/>
  <c r="D21" i="73"/>
  <c r="L21" i="73" s="1"/>
  <c r="N21" i="73" s="1"/>
  <c r="B21" i="73"/>
  <c r="T20" i="73"/>
  <c r="P20" i="73"/>
  <c r="X20" i="73" s="1"/>
  <c r="H20" i="73"/>
  <c r="D20" i="73"/>
  <c r="L20" i="73" s="1"/>
  <c r="N20" i="73" s="1"/>
  <c r="B20" i="73"/>
  <c r="T19" i="73"/>
  <c r="P19" i="73"/>
  <c r="H19" i="73"/>
  <c r="L19" i="73" s="1"/>
  <c r="N19" i="73" s="1"/>
  <c r="D19" i="73"/>
  <c r="B19" i="73"/>
  <c r="X18" i="73"/>
  <c r="T18" i="73"/>
  <c r="P18" i="73"/>
  <c r="H18" i="73"/>
  <c r="D18" i="73"/>
  <c r="B18" i="73"/>
  <c r="Z17" i="73"/>
  <c r="X17" i="73"/>
  <c r="T17" i="73"/>
  <c r="P17" i="73"/>
  <c r="N17" i="73"/>
  <c r="H17" i="73"/>
  <c r="D17" i="73"/>
  <c r="L17" i="73" s="1"/>
  <c r="B17" i="73"/>
  <c r="T16" i="73"/>
  <c r="P16" i="73"/>
  <c r="P12" i="73" s="1"/>
  <c r="H16" i="73"/>
  <c r="D16" i="73"/>
  <c r="L16" i="73" s="1"/>
  <c r="N16" i="73" s="1"/>
  <c r="B16" i="73"/>
  <c r="T15" i="73"/>
  <c r="P15" i="73"/>
  <c r="H15" i="73"/>
  <c r="L15" i="73" s="1"/>
  <c r="N15" i="73" s="1"/>
  <c r="D15" i="73"/>
  <c r="B15" i="73"/>
  <c r="X14" i="73"/>
  <c r="T14" i="73"/>
  <c r="P14" i="73"/>
  <c r="H14" i="73"/>
  <c r="D14" i="73"/>
  <c r="B14" i="73"/>
  <c r="Z13" i="73"/>
  <c r="X13" i="73"/>
  <c r="T13" i="73"/>
  <c r="P13" i="73"/>
  <c r="N13" i="73"/>
  <c r="H13" i="73"/>
  <c r="D13" i="73"/>
  <c r="L13" i="73" s="1"/>
  <c r="B13" i="73"/>
  <c r="D6" i="73"/>
  <c r="D4" i="73"/>
  <c r="X66" i="72"/>
  <c r="Z66" i="72" s="1"/>
  <c r="N66" i="72"/>
  <c r="L66" i="72"/>
  <c r="T62" i="72"/>
  <c r="Z62" i="72" s="1"/>
  <c r="P62" i="72"/>
  <c r="X62" i="72" s="1"/>
  <c r="N62" i="72"/>
  <c r="H62" i="72"/>
  <c r="L62" i="72" s="1"/>
  <c r="D62" i="72"/>
  <c r="X60" i="72"/>
  <c r="Z60" i="72" s="1"/>
  <c r="N60" i="72"/>
  <c r="L60" i="72"/>
  <c r="B60" i="72"/>
  <c r="Z59" i="72"/>
  <c r="X59" i="72"/>
  <c r="T59" i="72"/>
  <c r="P59" i="72"/>
  <c r="H59" i="72"/>
  <c r="D59" i="72"/>
  <c r="L59" i="72" s="1"/>
  <c r="B59" i="72"/>
  <c r="Z58" i="72"/>
  <c r="X58" i="72"/>
  <c r="N58" i="72"/>
  <c r="L58" i="72"/>
  <c r="B58" i="72"/>
  <c r="Z57" i="72"/>
  <c r="X57" i="72"/>
  <c r="N57" i="72"/>
  <c r="L57" i="72"/>
  <c r="B57" i="72"/>
  <c r="Z56" i="72"/>
  <c r="X56" i="72"/>
  <c r="N56" i="72"/>
  <c r="L56" i="72"/>
  <c r="B56" i="72"/>
  <c r="T55" i="72"/>
  <c r="P55" i="72"/>
  <c r="H55" i="72"/>
  <c r="L55" i="72" s="1"/>
  <c r="N55" i="72" s="1"/>
  <c r="D55" i="72"/>
  <c r="B55" i="72"/>
  <c r="Z54" i="72"/>
  <c r="X54" i="72"/>
  <c r="L54" i="72"/>
  <c r="N54" i="72" s="1"/>
  <c r="B54" i="72"/>
  <c r="T53" i="72"/>
  <c r="Z53" i="72" s="1"/>
  <c r="P53" i="72"/>
  <c r="X53" i="72" s="1"/>
  <c r="L53" i="72"/>
  <c r="N53" i="72" s="1"/>
  <c r="H53" i="72"/>
  <c r="D53" i="72"/>
  <c r="B53" i="72"/>
  <c r="X52" i="72"/>
  <c r="Z52" i="72" s="1"/>
  <c r="N52" i="72"/>
  <c r="L52" i="72"/>
  <c r="B52" i="72"/>
  <c r="Z51" i="72"/>
  <c r="X51" i="72"/>
  <c r="T51" i="72"/>
  <c r="P51" i="72"/>
  <c r="H51" i="72"/>
  <c r="D51" i="72"/>
  <c r="L51" i="72" s="1"/>
  <c r="B51" i="72"/>
  <c r="Z50" i="72"/>
  <c r="X50" i="72"/>
  <c r="N50" i="72"/>
  <c r="L50" i="72"/>
  <c r="B50" i="72"/>
  <c r="Z49" i="72"/>
  <c r="X49" i="72"/>
  <c r="T49" i="72"/>
  <c r="P49" i="72"/>
  <c r="H49" i="72"/>
  <c r="D49" i="72"/>
  <c r="B49" i="72"/>
  <c r="Z48" i="72"/>
  <c r="X48" i="72"/>
  <c r="L48" i="72"/>
  <c r="N48" i="72" s="1"/>
  <c r="B48" i="72"/>
  <c r="X47" i="72"/>
  <c r="T47" i="72"/>
  <c r="P47" i="72"/>
  <c r="H47" i="72"/>
  <c r="N47" i="72" s="1"/>
  <c r="D47" i="72"/>
  <c r="L47" i="72" s="1"/>
  <c r="B47" i="72"/>
  <c r="X46" i="72"/>
  <c r="Z46" i="72" s="1"/>
  <c r="N46" i="72"/>
  <c r="L46" i="72"/>
  <c r="B46" i="72"/>
  <c r="T45" i="72"/>
  <c r="P45" i="72"/>
  <c r="X45" i="72" s="1"/>
  <c r="H45" i="72"/>
  <c r="F45" i="72"/>
  <c r="D45" i="72"/>
  <c r="L45" i="72" s="1"/>
  <c r="N45" i="72" s="1"/>
  <c r="B45" i="72"/>
  <c r="X44" i="72"/>
  <c r="Z44" i="72" s="1"/>
  <c r="N44" i="72"/>
  <c r="L44" i="72"/>
  <c r="B44" i="72"/>
  <c r="X43" i="72"/>
  <c r="Z43" i="72" s="1"/>
  <c r="T43" i="72"/>
  <c r="P43" i="72"/>
  <c r="H43" i="72"/>
  <c r="D43" i="72"/>
  <c r="B43" i="72"/>
  <c r="Z42" i="72"/>
  <c r="X42" i="72"/>
  <c r="N42" i="72"/>
  <c r="L42" i="72"/>
  <c r="B42" i="72"/>
  <c r="T41" i="72"/>
  <c r="P41" i="72"/>
  <c r="N41" i="72"/>
  <c r="L41" i="72"/>
  <c r="H41" i="72"/>
  <c r="D41" i="72"/>
  <c r="B41" i="72"/>
  <c r="X40" i="72"/>
  <c r="Z40" i="72" s="1"/>
  <c r="L40" i="72"/>
  <c r="N40" i="72" s="1"/>
  <c r="B40" i="72"/>
  <c r="X39" i="72"/>
  <c r="Z39" i="72" s="1"/>
  <c r="T39" i="72"/>
  <c r="P39" i="72"/>
  <c r="H39" i="72"/>
  <c r="D39" i="72"/>
  <c r="L39" i="72" s="1"/>
  <c r="B39" i="72"/>
  <c r="X38" i="72"/>
  <c r="Z38" i="72" s="1"/>
  <c r="N38" i="72"/>
  <c r="L38" i="72"/>
  <c r="B38" i="72"/>
  <c r="Z37" i="72"/>
  <c r="X37" i="72"/>
  <c r="N37" i="72"/>
  <c r="L37" i="72"/>
  <c r="B37" i="72"/>
  <c r="X36" i="72"/>
  <c r="Z36" i="72" s="1"/>
  <c r="L36" i="72"/>
  <c r="N36" i="72" s="1"/>
  <c r="B36" i="72"/>
  <c r="T35" i="72"/>
  <c r="P35" i="72"/>
  <c r="X35" i="72" s="1"/>
  <c r="H35" i="72"/>
  <c r="D35" i="72"/>
  <c r="B35" i="72"/>
  <c r="Z34" i="72"/>
  <c r="X34" i="72"/>
  <c r="N34" i="72"/>
  <c r="L34" i="72"/>
  <c r="B34" i="72"/>
  <c r="Z33" i="72"/>
  <c r="X33" i="72"/>
  <c r="L33" i="72"/>
  <c r="N33" i="72" s="1"/>
  <c r="B33" i="72"/>
  <c r="X32" i="72"/>
  <c r="Z32" i="72" s="1"/>
  <c r="L32" i="72"/>
  <c r="N32" i="72" s="1"/>
  <c r="B32" i="72"/>
  <c r="X31" i="72"/>
  <c r="Z31" i="72" s="1"/>
  <c r="N31" i="72"/>
  <c r="L31" i="72"/>
  <c r="B31" i="72"/>
  <c r="Z30" i="72"/>
  <c r="X30" i="72"/>
  <c r="L30" i="72"/>
  <c r="N30" i="72" s="1"/>
  <c r="B30" i="72"/>
  <c r="Z29" i="72"/>
  <c r="X29" i="72"/>
  <c r="L29" i="72"/>
  <c r="N29" i="72" s="1"/>
  <c r="B29" i="72"/>
  <c r="X28" i="72"/>
  <c r="Z28" i="72" s="1"/>
  <c r="L28" i="72"/>
  <c r="N28" i="72" s="1"/>
  <c r="B28" i="72"/>
  <c r="Z27" i="72"/>
  <c r="X27" i="72"/>
  <c r="L27" i="72"/>
  <c r="N27" i="72" s="1"/>
  <c r="B27" i="72"/>
  <c r="T26" i="72"/>
  <c r="P26" i="72"/>
  <c r="X26" i="72" s="1"/>
  <c r="Z26" i="72" s="1"/>
  <c r="N26" i="72"/>
  <c r="L26" i="72"/>
  <c r="H26" i="72"/>
  <c r="D26" i="72"/>
  <c r="B26" i="72"/>
  <c r="T25" i="72"/>
  <c r="P25" i="72"/>
  <c r="X25" i="72" s="1"/>
  <c r="L25" i="72"/>
  <c r="N25" i="72" s="1"/>
  <c r="H25" i="72"/>
  <c r="D25" i="72"/>
  <c r="X21" i="72"/>
  <c r="Z21" i="72" s="1"/>
  <c r="N21" i="72"/>
  <c r="L21" i="72"/>
  <c r="B21" i="72"/>
  <c r="Z20" i="72"/>
  <c r="X20" i="72"/>
  <c r="L20" i="72"/>
  <c r="N20" i="72" s="1"/>
  <c r="B20" i="72"/>
  <c r="T19" i="72"/>
  <c r="P19" i="72"/>
  <c r="X19" i="72" s="1"/>
  <c r="H19" i="72"/>
  <c r="D19" i="72"/>
  <c r="L19" i="72" s="1"/>
  <c r="N19" i="72" s="1"/>
  <c r="T17" i="72"/>
  <c r="P17" i="72"/>
  <c r="X17" i="72" s="1"/>
  <c r="L17" i="72"/>
  <c r="N17" i="72" s="1"/>
  <c r="H17" i="72"/>
  <c r="D17" i="72"/>
  <c r="B17" i="72"/>
  <c r="X16" i="72"/>
  <c r="T16" i="72"/>
  <c r="Z16" i="72" s="1"/>
  <c r="P16" i="72"/>
  <c r="L16" i="72"/>
  <c r="H16" i="72"/>
  <c r="D16" i="72"/>
  <c r="B16" i="72"/>
  <c r="T15" i="72"/>
  <c r="P15" i="72"/>
  <c r="H15" i="72"/>
  <c r="L15" i="72" s="1"/>
  <c r="N15" i="72" s="1"/>
  <c r="D15" i="72"/>
  <c r="B15" i="72"/>
  <c r="T14" i="72"/>
  <c r="X14" i="72" s="1"/>
  <c r="Z14" i="72" s="1"/>
  <c r="P14" i="72"/>
  <c r="H14" i="72"/>
  <c r="D14" i="72"/>
  <c r="L14" i="72" s="1"/>
  <c r="N14" i="72" s="1"/>
  <c r="B14" i="72"/>
  <c r="T13" i="72"/>
  <c r="P13" i="72"/>
  <c r="L13" i="72"/>
  <c r="N13" i="72" s="1"/>
  <c r="H13" i="72"/>
  <c r="D13" i="72"/>
  <c r="D12" i="72" s="1"/>
  <c r="F40" i="72" s="1"/>
  <c r="B13" i="72"/>
  <c r="H12" i="72"/>
  <c r="J60" i="72" s="1"/>
  <c r="D6" i="72"/>
  <c r="D4" i="72"/>
  <c r="X103" i="70"/>
  <c r="Z103" i="70" s="1"/>
  <c r="N103" i="70"/>
  <c r="L103" i="70"/>
  <c r="X99" i="70"/>
  <c r="T99" i="70"/>
  <c r="Z99" i="70" s="1"/>
  <c r="P99" i="70"/>
  <c r="N99" i="70"/>
  <c r="H99" i="70"/>
  <c r="D99" i="70"/>
  <c r="L99" i="70" s="1"/>
  <c r="B99" i="70"/>
  <c r="T98" i="70"/>
  <c r="P98" i="70"/>
  <c r="L98" i="70"/>
  <c r="H98" i="70"/>
  <c r="N98" i="70" s="1"/>
  <c r="D98" i="70"/>
  <c r="B98" i="70"/>
  <c r="T97" i="70"/>
  <c r="H97" i="70"/>
  <c r="D97" i="70"/>
  <c r="L97" i="70" s="1"/>
  <c r="Z95" i="70"/>
  <c r="X95" i="70"/>
  <c r="N95" i="70"/>
  <c r="L95" i="70"/>
  <c r="B95" i="70"/>
  <c r="T94" i="70"/>
  <c r="Z94" i="70" s="1"/>
  <c r="P94" i="70"/>
  <c r="X94" i="70" s="1"/>
  <c r="N94" i="70"/>
  <c r="L94" i="70"/>
  <c r="H94" i="70"/>
  <c r="D94" i="70"/>
  <c r="B94" i="70"/>
  <c r="X93" i="70"/>
  <c r="Z93" i="70" s="1"/>
  <c r="L93" i="70"/>
  <c r="N93" i="70" s="1"/>
  <c r="B93" i="70"/>
  <c r="T92" i="70"/>
  <c r="Z92" i="70" s="1"/>
  <c r="P92" i="70"/>
  <c r="X92" i="70" s="1"/>
  <c r="H92" i="70"/>
  <c r="D92" i="70"/>
  <c r="L92" i="70" s="1"/>
  <c r="B92" i="70"/>
  <c r="X91" i="70"/>
  <c r="Z91" i="70" s="1"/>
  <c r="L91" i="70"/>
  <c r="N91" i="70" s="1"/>
  <c r="F91" i="70"/>
  <c r="B91" i="70"/>
  <c r="X90" i="70"/>
  <c r="Z90" i="70" s="1"/>
  <c r="N90" i="70"/>
  <c r="L90" i="70"/>
  <c r="B90" i="70"/>
  <c r="X89" i="70"/>
  <c r="T89" i="70"/>
  <c r="P89" i="70"/>
  <c r="H89" i="70"/>
  <c r="D89" i="70"/>
  <c r="B89" i="70"/>
  <c r="Z88" i="70"/>
  <c r="X88" i="70"/>
  <c r="L88" i="70"/>
  <c r="N88" i="70" s="1"/>
  <c r="B88" i="70"/>
  <c r="X87" i="70"/>
  <c r="Z87" i="70" s="1"/>
  <c r="N87" i="70"/>
  <c r="L87" i="70"/>
  <c r="B87" i="70"/>
  <c r="T86" i="70"/>
  <c r="Z86" i="70" s="1"/>
  <c r="P86" i="70"/>
  <c r="X86" i="70" s="1"/>
  <c r="N86" i="70"/>
  <c r="L86" i="70"/>
  <c r="H86" i="70"/>
  <c r="D86" i="70"/>
  <c r="B86" i="70"/>
  <c r="X85" i="70"/>
  <c r="Z85" i="70" s="1"/>
  <c r="L85" i="70"/>
  <c r="N85" i="70" s="1"/>
  <c r="B85" i="70"/>
  <c r="T84" i="70"/>
  <c r="Z84" i="70" s="1"/>
  <c r="P84" i="70"/>
  <c r="X84" i="70" s="1"/>
  <c r="H84" i="70"/>
  <c r="D84" i="70"/>
  <c r="B84" i="70"/>
  <c r="X83" i="70"/>
  <c r="Z83" i="70" s="1"/>
  <c r="L83" i="70"/>
  <c r="N83" i="70" s="1"/>
  <c r="F83" i="70"/>
  <c r="B83" i="70"/>
  <c r="X82" i="70"/>
  <c r="T82" i="70"/>
  <c r="Z82" i="70" s="1"/>
  <c r="P82" i="70"/>
  <c r="H82" i="70"/>
  <c r="D82" i="70"/>
  <c r="L82" i="70" s="1"/>
  <c r="N82" i="70" s="1"/>
  <c r="B82" i="70"/>
  <c r="Z81" i="70"/>
  <c r="X81" i="70"/>
  <c r="L81" i="70"/>
  <c r="N81" i="70" s="1"/>
  <c r="B81" i="70"/>
  <c r="X80" i="70"/>
  <c r="Z80" i="70" s="1"/>
  <c r="T80" i="70"/>
  <c r="P80" i="70"/>
  <c r="H80" i="70"/>
  <c r="N80" i="70" s="1"/>
  <c r="D80" i="70"/>
  <c r="L80" i="70" s="1"/>
  <c r="B80" i="70"/>
  <c r="Z79" i="70"/>
  <c r="X79" i="70"/>
  <c r="L79" i="70"/>
  <c r="N79" i="70" s="1"/>
  <c r="B79" i="70"/>
  <c r="T78" i="70"/>
  <c r="P78" i="70"/>
  <c r="H78" i="70"/>
  <c r="D78" i="70"/>
  <c r="L78" i="70" s="1"/>
  <c r="B78" i="70"/>
  <c r="X77" i="70"/>
  <c r="Z77" i="70" s="1"/>
  <c r="N77" i="70"/>
  <c r="L77" i="70"/>
  <c r="B77" i="70"/>
  <c r="T76" i="70"/>
  <c r="P76" i="70"/>
  <c r="X76" i="70" s="1"/>
  <c r="Z76" i="70" s="1"/>
  <c r="L76" i="70"/>
  <c r="H76" i="70"/>
  <c r="N76" i="70" s="1"/>
  <c r="D76" i="70"/>
  <c r="B76" i="70"/>
  <c r="X75" i="70"/>
  <c r="Z75" i="70" s="1"/>
  <c r="N75" i="70"/>
  <c r="L75" i="70"/>
  <c r="B75" i="70"/>
  <c r="T74" i="70"/>
  <c r="P74" i="70"/>
  <c r="X74" i="70" s="1"/>
  <c r="N74" i="70"/>
  <c r="L74" i="70"/>
  <c r="H74" i="70"/>
  <c r="D74" i="70"/>
  <c r="B74" i="70"/>
  <c r="Z73" i="70"/>
  <c r="X73" i="70"/>
  <c r="N73" i="70"/>
  <c r="L73" i="70"/>
  <c r="B73" i="70"/>
  <c r="T72" i="70"/>
  <c r="Z72" i="70" s="1"/>
  <c r="P72" i="70"/>
  <c r="X72" i="70" s="1"/>
  <c r="H72" i="70"/>
  <c r="N72" i="70" s="1"/>
  <c r="D72" i="70"/>
  <c r="B72" i="70"/>
  <c r="X71" i="70"/>
  <c r="Z71" i="70" s="1"/>
  <c r="L71" i="70"/>
  <c r="N71" i="70" s="1"/>
  <c r="F71" i="70"/>
  <c r="B71" i="70"/>
  <c r="X70" i="70"/>
  <c r="T70" i="70"/>
  <c r="Z70" i="70" s="1"/>
  <c r="P70" i="70"/>
  <c r="H70" i="70"/>
  <c r="D70" i="70"/>
  <c r="L70" i="70" s="1"/>
  <c r="N70" i="70" s="1"/>
  <c r="B70" i="70"/>
  <c r="Z69" i="70"/>
  <c r="X69" i="70"/>
  <c r="L69" i="70"/>
  <c r="N69" i="70" s="1"/>
  <c r="B69" i="70"/>
  <c r="X68" i="70"/>
  <c r="Z68" i="70" s="1"/>
  <c r="T68" i="70"/>
  <c r="P68" i="70"/>
  <c r="H68" i="70"/>
  <c r="N68" i="70" s="1"/>
  <c r="D68" i="70"/>
  <c r="L68" i="70" s="1"/>
  <c r="B68" i="70"/>
  <c r="Z67" i="70"/>
  <c r="X67" i="70"/>
  <c r="L67" i="70"/>
  <c r="N67" i="70" s="1"/>
  <c r="B67" i="70"/>
  <c r="Z66" i="70"/>
  <c r="X66" i="70"/>
  <c r="N66" i="70"/>
  <c r="L66" i="70"/>
  <c r="B66" i="70"/>
  <c r="X65" i="70"/>
  <c r="Z65" i="70" s="1"/>
  <c r="L65" i="70"/>
  <c r="N65" i="70" s="1"/>
  <c r="B65" i="70"/>
  <c r="X64" i="70"/>
  <c r="Z64" i="70" s="1"/>
  <c r="N64" i="70"/>
  <c r="L64" i="70"/>
  <c r="B64" i="70"/>
  <c r="Z63" i="70"/>
  <c r="X63" i="70"/>
  <c r="L63" i="70"/>
  <c r="N63" i="70" s="1"/>
  <c r="B63" i="70"/>
  <c r="Z62" i="70"/>
  <c r="X62" i="70"/>
  <c r="N62" i="70"/>
  <c r="L62" i="70"/>
  <c r="B62" i="70"/>
  <c r="T61" i="70"/>
  <c r="P61" i="70"/>
  <c r="N61" i="70"/>
  <c r="H61" i="70"/>
  <c r="D61" i="70"/>
  <c r="L61" i="70" s="1"/>
  <c r="B61" i="70"/>
  <c r="Z60" i="70"/>
  <c r="X60" i="70"/>
  <c r="L60" i="70"/>
  <c r="N60" i="70" s="1"/>
  <c r="B60" i="70"/>
  <c r="X59" i="70"/>
  <c r="Z59" i="70" s="1"/>
  <c r="L59" i="70"/>
  <c r="N59" i="70" s="1"/>
  <c r="B59" i="70"/>
  <c r="X58" i="70"/>
  <c r="Z58" i="70" s="1"/>
  <c r="N58" i="70"/>
  <c r="L58" i="70"/>
  <c r="B58" i="70"/>
  <c r="X57" i="70"/>
  <c r="Z57" i="70" s="1"/>
  <c r="N57" i="70"/>
  <c r="L57" i="70"/>
  <c r="B57" i="70"/>
  <c r="Z56" i="70"/>
  <c r="X56" i="70"/>
  <c r="N56" i="70"/>
  <c r="L56" i="70"/>
  <c r="B56" i="70"/>
  <c r="X55" i="70"/>
  <c r="Z55" i="70" s="1"/>
  <c r="L55" i="70"/>
  <c r="N55" i="70" s="1"/>
  <c r="F55" i="70"/>
  <c r="B55" i="70"/>
  <c r="X54" i="70"/>
  <c r="Z54" i="70" s="1"/>
  <c r="N54" i="70"/>
  <c r="L54" i="70"/>
  <c r="B54" i="70"/>
  <c r="X53" i="70"/>
  <c r="Z53" i="70" s="1"/>
  <c r="N53" i="70"/>
  <c r="L53" i="70"/>
  <c r="B53" i="70"/>
  <c r="Z52" i="70"/>
  <c r="X52" i="70"/>
  <c r="N52" i="70"/>
  <c r="L52" i="70"/>
  <c r="B52" i="70"/>
  <c r="T51" i="70"/>
  <c r="P51" i="70"/>
  <c r="L51" i="70"/>
  <c r="N51" i="70" s="1"/>
  <c r="H51" i="70"/>
  <c r="D51" i="70"/>
  <c r="B51" i="70"/>
  <c r="T50" i="70"/>
  <c r="Z50" i="70" s="1"/>
  <c r="P50" i="70"/>
  <c r="X50" i="70" s="1"/>
  <c r="L50" i="70"/>
  <c r="N50" i="70" s="1"/>
  <c r="H50" i="70"/>
  <c r="D50" i="70"/>
  <c r="Z46" i="70"/>
  <c r="X46" i="70"/>
  <c r="N46" i="70"/>
  <c r="L46" i="70"/>
  <c r="B46" i="70"/>
  <c r="Z45" i="70"/>
  <c r="X45" i="70"/>
  <c r="L45" i="70"/>
  <c r="N45" i="70" s="1"/>
  <c r="B45" i="70"/>
  <c r="X44" i="70"/>
  <c r="Z44" i="70" s="1"/>
  <c r="L44" i="70"/>
  <c r="N44" i="70" s="1"/>
  <c r="B44" i="70"/>
  <c r="Z43" i="70"/>
  <c r="X43" i="70"/>
  <c r="N43" i="70"/>
  <c r="L43" i="70"/>
  <c r="B43" i="70"/>
  <c r="Z42" i="70"/>
  <c r="X42" i="70"/>
  <c r="N42" i="70"/>
  <c r="L42" i="70"/>
  <c r="B42" i="70"/>
  <c r="Z41" i="70"/>
  <c r="X41" i="70"/>
  <c r="L41" i="70"/>
  <c r="N41" i="70" s="1"/>
  <c r="B41" i="70"/>
  <c r="X40" i="70"/>
  <c r="Z40" i="70" s="1"/>
  <c r="L40" i="70"/>
  <c r="N40" i="70" s="1"/>
  <c r="B40" i="70"/>
  <c r="X39" i="70"/>
  <c r="Z39" i="70" s="1"/>
  <c r="N39" i="70"/>
  <c r="L39" i="70"/>
  <c r="B39" i="70"/>
  <c r="Z38" i="70"/>
  <c r="X38" i="70"/>
  <c r="N38" i="70"/>
  <c r="L38" i="70"/>
  <c r="B38" i="70"/>
  <c r="Z37" i="70"/>
  <c r="X37" i="70"/>
  <c r="L37" i="70"/>
  <c r="N37" i="70" s="1"/>
  <c r="B37" i="70"/>
  <c r="Z36" i="70"/>
  <c r="X36" i="70"/>
  <c r="L36" i="70"/>
  <c r="N36" i="70" s="1"/>
  <c r="B36" i="70"/>
  <c r="Z35" i="70"/>
  <c r="X35" i="70"/>
  <c r="N35" i="70"/>
  <c r="L35" i="70"/>
  <c r="B35" i="70"/>
  <c r="T34" i="70"/>
  <c r="P34" i="70"/>
  <c r="N34" i="70"/>
  <c r="L34" i="70"/>
  <c r="H34" i="70"/>
  <c r="D34" i="70"/>
  <c r="T32" i="70"/>
  <c r="P32" i="70"/>
  <c r="H32" i="70"/>
  <c r="D32" i="70"/>
  <c r="B32" i="70"/>
  <c r="Z31" i="70"/>
  <c r="T31" i="70"/>
  <c r="P31" i="70"/>
  <c r="X31" i="70" s="1"/>
  <c r="H31" i="70"/>
  <c r="N31" i="70" s="1"/>
  <c r="D31" i="70"/>
  <c r="B31" i="70"/>
  <c r="Z30" i="70"/>
  <c r="X30" i="70"/>
  <c r="T30" i="70"/>
  <c r="P30" i="70"/>
  <c r="H30" i="70"/>
  <c r="N30" i="70" s="1"/>
  <c r="D30" i="70"/>
  <c r="B30" i="70"/>
  <c r="Z29" i="70"/>
  <c r="X29" i="70"/>
  <c r="T29" i="70"/>
  <c r="P29" i="70"/>
  <c r="H29" i="70"/>
  <c r="L29" i="70" s="1"/>
  <c r="N29" i="70" s="1"/>
  <c r="D29" i="70"/>
  <c r="B29" i="70"/>
  <c r="T28" i="70"/>
  <c r="P28" i="70"/>
  <c r="X28" i="70" s="1"/>
  <c r="H28" i="70"/>
  <c r="D28" i="70"/>
  <c r="L28" i="70" s="1"/>
  <c r="N28" i="70" s="1"/>
  <c r="B28" i="70"/>
  <c r="T27" i="70"/>
  <c r="P27" i="70"/>
  <c r="X27" i="70" s="1"/>
  <c r="Z27" i="70" s="1"/>
  <c r="H27" i="70"/>
  <c r="D27" i="70"/>
  <c r="B27" i="70"/>
  <c r="X26" i="70"/>
  <c r="Z26" i="70" s="1"/>
  <c r="T26" i="70"/>
  <c r="P26" i="70"/>
  <c r="H26" i="70"/>
  <c r="D26" i="70"/>
  <c r="B26" i="70"/>
  <c r="X25" i="70"/>
  <c r="Z25" i="70" s="1"/>
  <c r="T25" i="70"/>
  <c r="P25" i="70"/>
  <c r="N25" i="70"/>
  <c r="H25" i="70"/>
  <c r="L25" i="70" s="1"/>
  <c r="D25" i="70"/>
  <c r="B25" i="70"/>
  <c r="T24" i="70"/>
  <c r="P24" i="70"/>
  <c r="X24" i="70" s="1"/>
  <c r="H24" i="70"/>
  <c r="D24" i="70"/>
  <c r="B24" i="70"/>
  <c r="T23" i="70"/>
  <c r="P23" i="70"/>
  <c r="X23" i="70" s="1"/>
  <c r="Z23" i="70" s="1"/>
  <c r="L23" i="70"/>
  <c r="H23" i="70"/>
  <c r="D23" i="70"/>
  <c r="B23" i="70"/>
  <c r="X22" i="70"/>
  <c r="Z22" i="70" s="1"/>
  <c r="T22" i="70"/>
  <c r="P22" i="70"/>
  <c r="H22" i="70"/>
  <c r="D22" i="70"/>
  <c r="B22" i="70"/>
  <c r="X21" i="70"/>
  <c r="Z21" i="70" s="1"/>
  <c r="T21" i="70"/>
  <c r="P21" i="70"/>
  <c r="N21" i="70"/>
  <c r="H21" i="70"/>
  <c r="L21" i="70" s="1"/>
  <c r="D21" i="70"/>
  <c r="B21" i="70"/>
  <c r="T20" i="70"/>
  <c r="P20" i="70"/>
  <c r="H20" i="70"/>
  <c r="D20" i="70"/>
  <c r="B20" i="70"/>
  <c r="T19" i="70"/>
  <c r="P19" i="70"/>
  <c r="X19" i="70" s="1"/>
  <c r="Z19" i="70" s="1"/>
  <c r="H19" i="70"/>
  <c r="D19" i="70"/>
  <c r="L19" i="70" s="1"/>
  <c r="B19" i="70"/>
  <c r="Z18" i="70"/>
  <c r="X18" i="70"/>
  <c r="T18" i="70"/>
  <c r="P18" i="70"/>
  <c r="H18" i="70"/>
  <c r="D18" i="70"/>
  <c r="B18" i="70"/>
  <c r="T17" i="70"/>
  <c r="P17" i="70"/>
  <c r="H17" i="70"/>
  <c r="L17" i="70" s="1"/>
  <c r="N17" i="70" s="1"/>
  <c r="D17" i="70"/>
  <c r="B17" i="70"/>
  <c r="T16" i="70"/>
  <c r="P16" i="70"/>
  <c r="N16" i="70"/>
  <c r="H16" i="70"/>
  <c r="D16" i="70"/>
  <c r="L16" i="70" s="1"/>
  <c r="B16" i="70"/>
  <c r="T15" i="70"/>
  <c r="P15" i="70"/>
  <c r="X15" i="70" s="1"/>
  <c r="Z15" i="70" s="1"/>
  <c r="H15" i="70"/>
  <c r="D15" i="70"/>
  <c r="B15" i="70"/>
  <c r="Z14" i="70"/>
  <c r="X14" i="70"/>
  <c r="T14" i="70"/>
  <c r="P14" i="70"/>
  <c r="H14" i="70"/>
  <c r="D14" i="70"/>
  <c r="B14" i="70"/>
  <c r="Z13" i="70"/>
  <c r="X13" i="70"/>
  <c r="T13" i="70"/>
  <c r="P13" i="70"/>
  <c r="N13" i="70"/>
  <c r="H13" i="70"/>
  <c r="L13" i="70" s="1"/>
  <c r="D13" i="70"/>
  <c r="B13" i="70"/>
  <c r="D12" i="70"/>
  <c r="F42" i="70" s="1"/>
  <c r="D6" i="70"/>
  <c r="D4" i="70"/>
  <c r="X62" i="69"/>
  <c r="Z62" i="69" s="1"/>
  <c r="L62" i="69"/>
  <c r="N62" i="69" s="1"/>
  <c r="Z58" i="69"/>
  <c r="X58" i="69"/>
  <c r="T58" i="69"/>
  <c r="P58" i="69"/>
  <c r="J58" i="69"/>
  <c r="H58" i="69"/>
  <c r="N58" i="69" s="1"/>
  <c r="D58" i="69"/>
  <c r="X56" i="69"/>
  <c r="Z56" i="69" s="1"/>
  <c r="L56" i="69"/>
  <c r="N56" i="69" s="1"/>
  <c r="B56" i="69"/>
  <c r="T55" i="69"/>
  <c r="P55" i="69"/>
  <c r="N55" i="69"/>
  <c r="H55" i="69"/>
  <c r="D55" i="69"/>
  <c r="L55" i="69" s="1"/>
  <c r="B55" i="69"/>
  <c r="Z54" i="69"/>
  <c r="X54" i="69"/>
  <c r="L54" i="69"/>
  <c r="N54" i="69" s="1"/>
  <c r="B54" i="69"/>
  <c r="X53" i="69"/>
  <c r="Z53" i="69" s="1"/>
  <c r="L53" i="69"/>
  <c r="N53" i="69" s="1"/>
  <c r="B53" i="69"/>
  <c r="T52" i="69"/>
  <c r="P52" i="69"/>
  <c r="X52" i="69" s="1"/>
  <c r="H52" i="69"/>
  <c r="D52" i="69"/>
  <c r="L52" i="69" s="1"/>
  <c r="B52" i="69"/>
  <c r="Z51" i="69"/>
  <c r="X51" i="69"/>
  <c r="N51" i="69"/>
  <c r="L51" i="69"/>
  <c r="B51" i="69"/>
  <c r="X50" i="69"/>
  <c r="Z50" i="69" s="1"/>
  <c r="N50" i="69"/>
  <c r="L50" i="69"/>
  <c r="J50" i="69"/>
  <c r="B50" i="69"/>
  <c r="X49" i="69"/>
  <c r="Z49" i="69" s="1"/>
  <c r="T49" i="69"/>
  <c r="P49" i="69"/>
  <c r="H49" i="69"/>
  <c r="D49" i="69"/>
  <c r="B49" i="69"/>
  <c r="Z48" i="69"/>
  <c r="X48" i="69"/>
  <c r="L48" i="69"/>
  <c r="N48" i="69" s="1"/>
  <c r="B48" i="69"/>
  <c r="T47" i="69"/>
  <c r="P47" i="69"/>
  <c r="H47" i="69"/>
  <c r="D47" i="69"/>
  <c r="L47" i="69" s="1"/>
  <c r="N47" i="69" s="1"/>
  <c r="B47" i="69"/>
  <c r="Z46" i="69"/>
  <c r="X46" i="69"/>
  <c r="L46" i="69"/>
  <c r="N46" i="69" s="1"/>
  <c r="B46" i="69"/>
  <c r="T45" i="69"/>
  <c r="P45" i="69"/>
  <c r="X45" i="69" s="1"/>
  <c r="N45" i="69"/>
  <c r="H45" i="69"/>
  <c r="D45" i="69"/>
  <c r="L45" i="69" s="1"/>
  <c r="B45" i="69"/>
  <c r="Z44" i="69"/>
  <c r="X44" i="69"/>
  <c r="L44" i="69"/>
  <c r="N44" i="69" s="1"/>
  <c r="B44" i="69"/>
  <c r="X43" i="69"/>
  <c r="T43" i="69"/>
  <c r="P43" i="69"/>
  <c r="L43" i="69"/>
  <c r="N43" i="69" s="1"/>
  <c r="J43" i="69"/>
  <c r="H43" i="69"/>
  <c r="D43" i="69"/>
  <c r="B43" i="69"/>
  <c r="Z42" i="69"/>
  <c r="X42" i="69"/>
  <c r="N42" i="69"/>
  <c r="L42" i="69"/>
  <c r="B42" i="69"/>
  <c r="Z41" i="69"/>
  <c r="T41" i="69"/>
  <c r="P41" i="69"/>
  <c r="X41" i="69" s="1"/>
  <c r="L41" i="69"/>
  <c r="H41" i="69"/>
  <c r="D41" i="69"/>
  <c r="B41" i="69"/>
  <c r="X40" i="69"/>
  <c r="Z40" i="69" s="1"/>
  <c r="L40" i="69"/>
  <c r="N40" i="69" s="1"/>
  <c r="B40" i="69"/>
  <c r="T39" i="69"/>
  <c r="P39" i="69"/>
  <c r="X39" i="69" s="1"/>
  <c r="Z39" i="69" s="1"/>
  <c r="H39" i="69"/>
  <c r="D39" i="69"/>
  <c r="L39" i="69" s="1"/>
  <c r="B39" i="69"/>
  <c r="X38" i="69"/>
  <c r="Z38" i="69" s="1"/>
  <c r="N38" i="69"/>
  <c r="L38" i="69"/>
  <c r="B38" i="69"/>
  <c r="X37" i="69"/>
  <c r="Z37" i="69" s="1"/>
  <c r="T37" i="69"/>
  <c r="P37" i="69"/>
  <c r="H37" i="69"/>
  <c r="D37" i="69"/>
  <c r="L37" i="69" s="1"/>
  <c r="B37" i="69"/>
  <c r="Z36" i="69"/>
  <c r="X36" i="69"/>
  <c r="L36" i="69"/>
  <c r="N36" i="69" s="1"/>
  <c r="B36" i="69"/>
  <c r="Z35" i="69"/>
  <c r="X35" i="69"/>
  <c r="N35" i="69"/>
  <c r="L35" i="69"/>
  <c r="B35" i="69"/>
  <c r="Z34" i="69"/>
  <c r="X34" i="69"/>
  <c r="N34" i="69"/>
  <c r="L34" i="69"/>
  <c r="B34" i="69"/>
  <c r="Z33" i="69"/>
  <c r="X33" i="69"/>
  <c r="R33" i="69"/>
  <c r="L33" i="69"/>
  <c r="N33" i="69" s="1"/>
  <c r="B33" i="69"/>
  <c r="X32" i="69"/>
  <c r="Z32" i="69" s="1"/>
  <c r="T32" i="69"/>
  <c r="P32" i="69"/>
  <c r="J32" i="69"/>
  <c r="H32" i="69"/>
  <c r="D32" i="69"/>
  <c r="L32" i="69" s="1"/>
  <c r="N32" i="69" s="1"/>
  <c r="B32" i="69"/>
  <c r="Z31" i="69"/>
  <c r="X31" i="69"/>
  <c r="L31" i="69"/>
  <c r="N31" i="69" s="1"/>
  <c r="B31" i="69"/>
  <c r="Z30" i="69"/>
  <c r="X30" i="69"/>
  <c r="L30" i="69"/>
  <c r="N30" i="69" s="1"/>
  <c r="B30" i="69"/>
  <c r="X29" i="69"/>
  <c r="Z29" i="69" s="1"/>
  <c r="L29" i="69"/>
  <c r="N29" i="69" s="1"/>
  <c r="B29" i="69"/>
  <c r="X28" i="69"/>
  <c r="Z28" i="69" s="1"/>
  <c r="L28" i="69"/>
  <c r="N28" i="69" s="1"/>
  <c r="J28" i="69"/>
  <c r="B28" i="69"/>
  <c r="Z27" i="69"/>
  <c r="X27" i="69"/>
  <c r="L27" i="69"/>
  <c r="N27" i="69" s="1"/>
  <c r="B27" i="69"/>
  <c r="Z26" i="69"/>
  <c r="X26" i="69"/>
  <c r="L26" i="69"/>
  <c r="N26" i="69" s="1"/>
  <c r="B26" i="69"/>
  <c r="X25" i="69"/>
  <c r="Z25" i="69" s="1"/>
  <c r="L25" i="69"/>
  <c r="N25" i="69" s="1"/>
  <c r="B25" i="69"/>
  <c r="X24" i="69"/>
  <c r="Z24" i="69" s="1"/>
  <c r="L24" i="69"/>
  <c r="N24" i="69" s="1"/>
  <c r="J24" i="69"/>
  <c r="B24" i="69"/>
  <c r="T23" i="69"/>
  <c r="P23" i="69"/>
  <c r="X23" i="69" s="1"/>
  <c r="Z23" i="69" s="1"/>
  <c r="J23" i="69"/>
  <c r="H23" i="69"/>
  <c r="D23" i="69"/>
  <c r="L23" i="69" s="1"/>
  <c r="B23" i="69"/>
  <c r="X22" i="69"/>
  <c r="T22" i="69"/>
  <c r="Z22" i="69" s="1"/>
  <c r="P22" i="69"/>
  <c r="J22" i="69"/>
  <c r="H22" i="69"/>
  <c r="D22" i="69"/>
  <c r="L22" i="69" s="1"/>
  <c r="N22" i="69" s="1"/>
  <c r="X18" i="69"/>
  <c r="Z18" i="69" s="1"/>
  <c r="N18" i="69"/>
  <c r="L18" i="69"/>
  <c r="B18" i="69"/>
  <c r="X17" i="69"/>
  <c r="Z17" i="69" s="1"/>
  <c r="N17" i="69"/>
  <c r="L17" i="69"/>
  <c r="B17" i="69"/>
  <c r="T16" i="69"/>
  <c r="P16" i="69"/>
  <c r="X16" i="69" s="1"/>
  <c r="H16" i="69"/>
  <c r="D16" i="69"/>
  <c r="T14" i="69"/>
  <c r="X14" i="69" s="1"/>
  <c r="Z14" i="69" s="1"/>
  <c r="P14" i="69"/>
  <c r="L14" i="69"/>
  <c r="N14" i="69" s="1"/>
  <c r="H14" i="69"/>
  <c r="D14" i="69"/>
  <c r="B14" i="69"/>
  <c r="T13" i="69"/>
  <c r="P13" i="69"/>
  <c r="P12" i="69" s="1"/>
  <c r="R26" i="69" s="1"/>
  <c r="H13" i="69"/>
  <c r="D13" i="69"/>
  <c r="B13" i="69"/>
  <c r="H12" i="69"/>
  <c r="D6" i="69"/>
  <c r="D4" i="69"/>
  <c r="F83" i="68"/>
  <c r="Z81" i="68"/>
  <c r="X81" i="68"/>
  <c r="L81" i="68"/>
  <c r="N81" i="68" s="1"/>
  <c r="T77" i="68"/>
  <c r="Z77" i="68" s="1"/>
  <c r="P77" i="68"/>
  <c r="X77" i="68" s="1"/>
  <c r="H77" i="68"/>
  <c r="F77" i="68"/>
  <c r="D77" i="68"/>
  <c r="Z75" i="68"/>
  <c r="X75" i="68"/>
  <c r="L75" i="68"/>
  <c r="N75" i="68" s="1"/>
  <c r="B75" i="68"/>
  <c r="X74" i="68"/>
  <c r="T74" i="68"/>
  <c r="P74" i="68"/>
  <c r="L74" i="68"/>
  <c r="N74" i="68" s="1"/>
  <c r="H74" i="68"/>
  <c r="D74" i="68"/>
  <c r="B74" i="68"/>
  <c r="Z73" i="68"/>
  <c r="X73" i="68"/>
  <c r="N73" i="68"/>
  <c r="L73" i="68"/>
  <c r="B73" i="68"/>
  <c r="Z72" i="68"/>
  <c r="X72" i="68"/>
  <c r="N72" i="68"/>
  <c r="L72" i="68"/>
  <c r="B72" i="68"/>
  <c r="T71" i="68"/>
  <c r="Z71" i="68" s="1"/>
  <c r="P71" i="68"/>
  <c r="X71" i="68" s="1"/>
  <c r="H71" i="68"/>
  <c r="F71" i="68"/>
  <c r="D71" i="68"/>
  <c r="B71" i="68"/>
  <c r="X70" i="68"/>
  <c r="Z70" i="68" s="1"/>
  <c r="L70" i="68"/>
  <c r="N70" i="68" s="1"/>
  <c r="B70" i="68"/>
  <c r="X69" i="68"/>
  <c r="Z69" i="68" s="1"/>
  <c r="V69" i="68"/>
  <c r="N69" i="68"/>
  <c r="L69" i="68"/>
  <c r="B69" i="68"/>
  <c r="T68" i="68"/>
  <c r="P68" i="68"/>
  <c r="X68" i="68" s="1"/>
  <c r="L68" i="68"/>
  <c r="N68" i="68" s="1"/>
  <c r="H68" i="68"/>
  <c r="D68" i="68"/>
  <c r="B68" i="68"/>
  <c r="X67" i="68"/>
  <c r="Z67" i="68" s="1"/>
  <c r="L67" i="68"/>
  <c r="N67" i="68" s="1"/>
  <c r="B67" i="68"/>
  <c r="T66" i="68"/>
  <c r="P66" i="68"/>
  <c r="X66" i="68" s="1"/>
  <c r="H66" i="68"/>
  <c r="F66" i="68"/>
  <c r="D66" i="68"/>
  <c r="B66" i="68"/>
  <c r="Z65" i="68"/>
  <c r="X65" i="68"/>
  <c r="N65" i="68"/>
  <c r="L65" i="68"/>
  <c r="B65" i="68"/>
  <c r="T64" i="68"/>
  <c r="P64" i="68"/>
  <c r="H64" i="68"/>
  <c r="D64" i="68"/>
  <c r="L64" i="68" s="1"/>
  <c r="B64" i="68"/>
  <c r="X63" i="68"/>
  <c r="Z63" i="68" s="1"/>
  <c r="L63" i="68"/>
  <c r="N63" i="68" s="1"/>
  <c r="B63" i="68"/>
  <c r="T62" i="68"/>
  <c r="P62" i="68"/>
  <c r="X62" i="68" s="1"/>
  <c r="Z62" i="68" s="1"/>
  <c r="L62" i="68"/>
  <c r="H62" i="68"/>
  <c r="D62" i="68"/>
  <c r="B62" i="68"/>
  <c r="X61" i="68"/>
  <c r="Z61" i="68" s="1"/>
  <c r="N61" i="68"/>
  <c r="L61" i="68"/>
  <c r="F61" i="68"/>
  <c r="B61" i="68"/>
  <c r="T60" i="68"/>
  <c r="P60" i="68"/>
  <c r="H60" i="68"/>
  <c r="F60" i="68"/>
  <c r="D60" i="68"/>
  <c r="L60" i="68" s="1"/>
  <c r="N60" i="68" s="1"/>
  <c r="B60" i="68"/>
  <c r="Z59" i="68"/>
  <c r="X59" i="68"/>
  <c r="L59" i="68"/>
  <c r="N59" i="68" s="1"/>
  <c r="B59" i="68"/>
  <c r="Z58" i="68"/>
  <c r="X58" i="68"/>
  <c r="V58" i="68"/>
  <c r="L58" i="68"/>
  <c r="N58" i="68" s="1"/>
  <c r="B58" i="68"/>
  <c r="Z57" i="68"/>
  <c r="X57" i="68"/>
  <c r="N57" i="68"/>
  <c r="L57" i="68"/>
  <c r="F57" i="68"/>
  <c r="B57" i="68"/>
  <c r="T56" i="68"/>
  <c r="P56" i="68"/>
  <c r="X56" i="68" s="1"/>
  <c r="Z56" i="68" s="1"/>
  <c r="H56" i="68"/>
  <c r="D56" i="68"/>
  <c r="L56" i="68" s="1"/>
  <c r="B56" i="68"/>
  <c r="X55" i="68"/>
  <c r="Z55" i="68" s="1"/>
  <c r="L55" i="68"/>
  <c r="N55" i="68" s="1"/>
  <c r="B55" i="68"/>
  <c r="X54" i="68"/>
  <c r="Z54" i="68" s="1"/>
  <c r="N54" i="68"/>
  <c r="L54" i="68"/>
  <c r="B54" i="68"/>
  <c r="X53" i="68"/>
  <c r="Z53" i="68" s="1"/>
  <c r="N53" i="68"/>
  <c r="L53" i="68"/>
  <c r="B53" i="68"/>
  <c r="X52" i="68"/>
  <c r="Z52" i="68" s="1"/>
  <c r="N52" i="68"/>
  <c r="L52" i="68"/>
  <c r="B52" i="68"/>
  <c r="X51" i="68"/>
  <c r="Z51" i="68" s="1"/>
  <c r="N51" i="68"/>
  <c r="L51" i="68"/>
  <c r="F51" i="68"/>
  <c r="B51" i="68"/>
  <c r="Z50" i="68"/>
  <c r="X50" i="68"/>
  <c r="N50" i="68"/>
  <c r="L50" i="68"/>
  <c r="B50" i="68"/>
  <c r="Z49" i="68"/>
  <c r="X49" i="68"/>
  <c r="L49" i="68"/>
  <c r="N49" i="68" s="1"/>
  <c r="B49" i="68"/>
  <c r="X48" i="68"/>
  <c r="Z48" i="68" s="1"/>
  <c r="N48" i="68"/>
  <c r="L48" i="68"/>
  <c r="F48" i="68"/>
  <c r="B48" i="68"/>
  <c r="T47" i="68"/>
  <c r="P47" i="68"/>
  <c r="X47" i="68" s="1"/>
  <c r="Z47" i="68" s="1"/>
  <c r="H47" i="68"/>
  <c r="F47" i="68"/>
  <c r="D47" i="68"/>
  <c r="B47" i="68"/>
  <c r="T46" i="68"/>
  <c r="P46" i="68"/>
  <c r="X46" i="68" s="1"/>
  <c r="H46" i="68"/>
  <c r="F46" i="68"/>
  <c r="D46" i="68"/>
  <c r="F44" i="68"/>
  <c r="D44" i="68"/>
  <c r="Z42" i="68"/>
  <c r="X42" i="68"/>
  <c r="L42" i="68"/>
  <c r="N42" i="68" s="1"/>
  <c r="B42" i="68"/>
  <c r="Z41" i="68"/>
  <c r="X41" i="68"/>
  <c r="V41" i="68"/>
  <c r="N41" i="68"/>
  <c r="L41" i="68"/>
  <c r="B41" i="68"/>
  <c r="X40" i="68"/>
  <c r="Z40" i="68" s="1"/>
  <c r="L40" i="68"/>
  <c r="N40" i="68" s="1"/>
  <c r="B40" i="68"/>
  <c r="X39" i="68"/>
  <c r="Z39" i="68" s="1"/>
  <c r="N39" i="68"/>
  <c r="L39" i="68"/>
  <c r="B39" i="68"/>
  <c r="Z38" i="68"/>
  <c r="X38" i="68"/>
  <c r="L38" i="68"/>
  <c r="N38" i="68" s="1"/>
  <c r="B38" i="68"/>
  <c r="Z37" i="68"/>
  <c r="X37" i="68"/>
  <c r="N37" i="68"/>
  <c r="L37" i="68"/>
  <c r="B37" i="68"/>
  <c r="X36" i="68"/>
  <c r="Z36" i="68" s="1"/>
  <c r="L36" i="68"/>
  <c r="N36" i="68" s="1"/>
  <c r="B36" i="68"/>
  <c r="X35" i="68"/>
  <c r="Z35" i="68" s="1"/>
  <c r="N35" i="68"/>
  <c r="L35" i="68"/>
  <c r="B35" i="68"/>
  <c r="Z34" i="68"/>
  <c r="X34" i="68"/>
  <c r="L34" i="68"/>
  <c r="N34" i="68" s="1"/>
  <c r="B34" i="68"/>
  <c r="V33" i="68"/>
  <c r="T33" i="68"/>
  <c r="P33" i="68"/>
  <c r="H33" i="68"/>
  <c r="D33" i="68"/>
  <c r="L33" i="68" s="1"/>
  <c r="T31" i="68"/>
  <c r="P31" i="68"/>
  <c r="X31" i="68" s="1"/>
  <c r="L31" i="68"/>
  <c r="N31" i="68" s="1"/>
  <c r="H31" i="68"/>
  <c r="D31" i="68"/>
  <c r="B31" i="68"/>
  <c r="X30" i="68"/>
  <c r="T30" i="68"/>
  <c r="Z30" i="68" s="1"/>
  <c r="P30" i="68"/>
  <c r="L30" i="68"/>
  <c r="H30" i="68"/>
  <c r="D30" i="68"/>
  <c r="B30" i="68"/>
  <c r="T29" i="68"/>
  <c r="P29" i="68"/>
  <c r="H29" i="68"/>
  <c r="L29" i="68" s="1"/>
  <c r="N29" i="68" s="1"/>
  <c r="D29" i="68"/>
  <c r="B29" i="68"/>
  <c r="T28" i="68"/>
  <c r="X28" i="68" s="1"/>
  <c r="Z28" i="68" s="1"/>
  <c r="P28" i="68"/>
  <c r="H28" i="68"/>
  <c r="D28" i="68"/>
  <c r="L28" i="68" s="1"/>
  <c r="N28" i="68" s="1"/>
  <c r="B28" i="68"/>
  <c r="T27" i="68"/>
  <c r="P27" i="68"/>
  <c r="X27" i="68" s="1"/>
  <c r="L27" i="68"/>
  <c r="N27" i="68" s="1"/>
  <c r="H27" i="68"/>
  <c r="D27" i="68"/>
  <c r="B27" i="68"/>
  <c r="X26" i="68"/>
  <c r="T26" i="68"/>
  <c r="Z26" i="68" s="1"/>
  <c r="P26" i="68"/>
  <c r="L26" i="68"/>
  <c r="H26" i="68"/>
  <c r="D26" i="68"/>
  <c r="B26" i="68"/>
  <c r="T25" i="68"/>
  <c r="P25" i="68"/>
  <c r="H25" i="68"/>
  <c r="L25" i="68" s="1"/>
  <c r="N25" i="68" s="1"/>
  <c r="D25" i="68"/>
  <c r="B25" i="68"/>
  <c r="T24" i="68"/>
  <c r="X24" i="68" s="1"/>
  <c r="Z24" i="68" s="1"/>
  <c r="P24" i="68"/>
  <c r="H24" i="68"/>
  <c r="D24" i="68"/>
  <c r="L24" i="68" s="1"/>
  <c r="N24" i="68" s="1"/>
  <c r="B24" i="68"/>
  <c r="T23" i="68"/>
  <c r="P23" i="68"/>
  <c r="X23" i="68" s="1"/>
  <c r="L23" i="68"/>
  <c r="N23" i="68" s="1"/>
  <c r="H23" i="68"/>
  <c r="D23" i="68"/>
  <c r="B23" i="68"/>
  <c r="X22" i="68"/>
  <c r="T22" i="68"/>
  <c r="Z22" i="68" s="1"/>
  <c r="P22" i="68"/>
  <c r="L22" i="68"/>
  <c r="H22" i="68"/>
  <c r="D22" i="68"/>
  <c r="B22" i="68"/>
  <c r="T21" i="68"/>
  <c r="P21" i="68"/>
  <c r="H21" i="68"/>
  <c r="L21" i="68" s="1"/>
  <c r="N21" i="68" s="1"/>
  <c r="D21" i="68"/>
  <c r="B21" i="68"/>
  <c r="T20" i="68"/>
  <c r="X20" i="68" s="1"/>
  <c r="Z20" i="68" s="1"/>
  <c r="P20" i="68"/>
  <c r="H20" i="68"/>
  <c r="D20" i="68"/>
  <c r="L20" i="68" s="1"/>
  <c r="N20" i="68" s="1"/>
  <c r="B20" i="68"/>
  <c r="T19" i="68"/>
  <c r="P19" i="68"/>
  <c r="X19" i="68" s="1"/>
  <c r="L19" i="68"/>
  <c r="N19" i="68" s="1"/>
  <c r="H19" i="68"/>
  <c r="D19" i="68"/>
  <c r="B19" i="68"/>
  <c r="X18" i="68"/>
  <c r="T18" i="68"/>
  <c r="Z18" i="68" s="1"/>
  <c r="P18" i="68"/>
  <c r="L18" i="68"/>
  <c r="H18" i="68"/>
  <c r="D18" i="68"/>
  <c r="B18" i="68"/>
  <c r="T17" i="68"/>
  <c r="P17" i="68"/>
  <c r="H17" i="68"/>
  <c r="L17" i="68" s="1"/>
  <c r="N17" i="68" s="1"/>
  <c r="D17" i="68"/>
  <c r="B17" i="68"/>
  <c r="T16" i="68"/>
  <c r="X16" i="68" s="1"/>
  <c r="Z16" i="68" s="1"/>
  <c r="P16" i="68"/>
  <c r="H16" i="68"/>
  <c r="D16" i="68"/>
  <c r="L16" i="68" s="1"/>
  <c r="N16" i="68" s="1"/>
  <c r="B16" i="68"/>
  <c r="T15" i="68"/>
  <c r="P15" i="68"/>
  <c r="X15" i="68" s="1"/>
  <c r="L15" i="68"/>
  <c r="N15" i="68" s="1"/>
  <c r="H15" i="68"/>
  <c r="D15" i="68"/>
  <c r="B15" i="68"/>
  <c r="X14" i="68"/>
  <c r="T14" i="68"/>
  <c r="Z14" i="68" s="1"/>
  <c r="P14" i="68"/>
  <c r="L14" i="68"/>
  <c r="H14" i="68"/>
  <c r="D14" i="68"/>
  <c r="B14" i="68"/>
  <c r="T13" i="68"/>
  <c r="T12" i="68" s="1"/>
  <c r="V63" i="68" s="1"/>
  <c r="P13" i="68"/>
  <c r="H13" i="68"/>
  <c r="H12" i="68" s="1"/>
  <c r="J51" i="68" s="1"/>
  <c r="D13" i="68"/>
  <c r="B13" i="68"/>
  <c r="D12" i="68"/>
  <c r="F75" i="68" s="1"/>
  <c r="D6" i="68"/>
  <c r="D4" i="68"/>
  <c r="V52" i="67"/>
  <c r="V49" i="67"/>
  <c r="Z47" i="67"/>
  <c r="X47" i="67"/>
  <c r="V47" i="67"/>
  <c r="N47" i="67"/>
  <c r="L47" i="67"/>
  <c r="T43" i="67"/>
  <c r="Z43" i="67" s="1"/>
  <c r="P43" i="67"/>
  <c r="X43" i="67" s="1"/>
  <c r="N43" i="67"/>
  <c r="H43" i="67"/>
  <c r="D43" i="67"/>
  <c r="L43" i="67" s="1"/>
  <c r="X41" i="67"/>
  <c r="Z41" i="67" s="1"/>
  <c r="R41" i="67"/>
  <c r="L41" i="67"/>
  <c r="N41" i="67" s="1"/>
  <c r="J41" i="67"/>
  <c r="B41" i="67"/>
  <c r="T40" i="67"/>
  <c r="Z40" i="67" s="1"/>
  <c r="R40" i="67"/>
  <c r="P40" i="67"/>
  <c r="X40" i="67" s="1"/>
  <c r="H40" i="67"/>
  <c r="D40" i="67"/>
  <c r="L40" i="67" s="1"/>
  <c r="B40" i="67"/>
  <c r="X39" i="67"/>
  <c r="Z39" i="67" s="1"/>
  <c r="R39" i="67"/>
  <c r="L39" i="67"/>
  <c r="N39" i="67" s="1"/>
  <c r="F39" i="67"/>
  <c r="B39" i="67"/>
  <c r="X38" i="67"/>
  <c r="Z38" i="67" s="1"/>
  <c r="T38" i="67"/>
  <c r="P38" i="67"/>
  <c r="H38" i="67"/>
  <c r="D38" i="67"/>
  <c r="L38" i="67" s="1"/>
  <c r="N38" i="67" s="1"/>
  <c r="B38" i="67"/>
  <c r="Z37" i="67"/>
  <c r="X37" i="67"/>
  <c r="L37" i="67"/>
  <c r="N37" i="67" s="1"/>
  <c r="B37" i="67"/>
  <c r="X36" i="67"/>
  <c r="Z36" i="67" s="1"/>
  <c r="T36" i="67"/>
  <c r="P36" i="67"/>
  <c r="H36" i="67"/>
  <c r="D36" i="67"/>
  <c r="L36" i="67" s="1"/>
  <c r="N36" i="67" s="1"/>
  <c r="B36" i="67"/>
  <c r="Z35" i="67"/>
  <c r="X35" i="67"/>
  <c r="L35" i="67"/>
  <c r="N35" i="67" s="1"/>
  <c r="B35" i="67"/>
  <c r="Z34" i="67"/>
  <c r="X34" i="67"/>
  <c r="V34" i="67"/>
  <c r="R34" i="67"/>
  <c r="L34" i="67"/>
  <c r="N34" i="67" s="1"/>
  <c r="B34" i="67"/>
  <c r="X33" i="67"/>
  <c r="Z33" i="67" s="1"/>
  <c r="R33" i="67"/>
  <c r="L33" i="67"/>
  <c r="N33" i="67" s="1"/>
  <c r="B33" i="67"/>
  <c r="X32" i="67"/>
  <c r="Z32" i="67" s="1"/>
  <c r="N32" i="67"/>
  <c r="L32" i="67"/>
  <c r="B32" i="67"/>
  <c r="Z31" i="67"/>
  <c r="X31" i="67"/>
  <c r="N31" i="67"/>
  <c r="L31" i="67"/>
  <c r="B31" i="67"/>
  <c r="Z30" i="67"/>
  <c r="X30" i="67"/>
  <c r="V30" i="67"/>
  <c r="R30" i="67"/>
  <c r="L30" i="67"/>
  <c r="N30" i="67" s="1"/>
  <c r="B30" i="67"/>
  <c r="T29" i="67"/>
  <c r="Z29" i="67" s="1"/>
  <c r="P29" i="67"/>
  <c r="X29" i="67" s="1"/>
  <c r="N29" i="67"/>
  <c r="H29" i="67"/>
  <c r="D29" i="67"/>
  <c r="L29" i="67" s="1"/>
  <c r="B29" i="67"/>
  <c r="Z28" i="67"/>
  <c r="X28" i="67"/>
  <c r="N28" i="67"/>
  <c r="L28" i="67"/>
  <c r="B28" i="67"/>
  <c r="X27" i="67"/>
  <c r="Z27" i="67" s="1"/>
  <c r="R27" i="67"/>
  <c r="L27" i="67"/>
  <c r="N27" i="67" s="1"/>
  <c r="B27" i="67"/>
  <c r="X26" i="67"/>
  <c r="Z26" i="67" s="1"/>
  <c r="N26" i="67"/>
  <c r="L26" i="67"/>
  <c r="B26" i="67"/>
  <c r="Z25" i="67"/>
  <c r="X25" i="67"/>
  <c r="V25" i="67"/>
  <c r="N25" i="67"/>
  <c r="L25" i="67"/>
  <c r="B25" i="67"/>
  <c r="Z24" i="67"/>
  <c r="X24" i="67"/>
  <c r="L24" i="67"/>
  <c r="N24" i="67" s="1"/>
  <c r="B24" i="67"/>
  <c r="X23" i="67"/>
  <c r="Z23" i="67" s="1"/>
  <c r="R23" i="67"/>
  <c r="L23" i="67"/>
  <c r="N23" i="67" s="1"/>
  <c r="F23" i="67"/>
  <c r="B23" i="67"/>
  <c r="X22" i="67"/>
  <c r="Z22" i="67" s="1"/>
  <c r="N22" i="67"/>
  <c r="L22" i="67"/>
  <c r="B22" i="67"/>
  <c r="X21" i="67"/>
  <c r="Z21" i="67" s="1"/>
  <c r="V21" i="67"/>
  <c r="N21" i="67"/>
  <c r="L21" i="67"/>
  <c r="B21" i="67"/>
  <c r="Z20" i="67"/>
  <c r="X20" i="67"/>
  <c r="L20" i="67"/>
  <c r="N20" i="67" s="1"/>
  <c r="B20" i="67"/>
  <c r="T19" i="67"/>
  <c r="Z19" i="67" s="1"/>
  <c r="P19" i="67"/>
  <c r="X19" i="67" s="1"/>
  <c r="L19" i="67"/>
  <c r="H19" i="67"/>
  <c r="N19" i="67" s="1"/>
  <c r="D19" i="67"/>
  <c r="B19" i="67"/>
  <c r="T18" i="67"/>
  <c r="R18" i="67"/>
  <c r="P18" i="67"/>
  <c r="X18" i="67" s="1"/>
  <c r="Z18" i="67" s="1"/>
  <c r="N18" i="67"/>
  <c r="L18" i="67"/>
  <c r="H18" i="67"/>
  <c r="D18" i="67"/>
  <c r="R16" i="67"/>
  <c r="Z14" i="67"/>
  <c r="T14" i="67"/>
  <c r="R14" i="67"/>
  <c r="P14" i="67"/>
  <c r="X14" i="67" s="1"/>
  <c r="N14" i="67"/>
  <c r="L14" i="67"/>
  <c r="H14" i="67"/>
  <c r="D14" i="67"/>
  <c r="T12" i="67"/>
  <c r="V36" i="67" s="1"/>
  <c r="P12" i="67"/>
  <c r="R47" i="67" s="1"/>
  <c r="H12" i="67"/>
  <c r="J33" i="67" s="1"/>
  <c r="D12" i="67"/>
  <c r="D6" i="67"/>
  <c r="D4" i="67"/>
  <c r="V99" i="63"/>
  <c r="F99" i="63"/>
  <c r="V96" i="63"/>
  <c r="F96" i="63"/>
  <c r="Z94" i="63"/>
  <c r="X94" i="63"/>
  <c r="V94" i="63"/>
  <c r="R94" i="63"/>
  <c r="N94" i="63"/>
  <c r="L94" i="63"/>
  <c r="V92" i="63"/>
  <c r="V90" i="63"/>
  <c r="T90" i="63"/>
  <c r="Z90" i="63" s="1"/>
  <c r="P90" i="63"/>
  <c r="X90" i="63" s="1"/>
  <c r="N90" i="63"/>
  <c r="L90" i="63"/>
  <c r="H90" i="63"/>
  <c r="H88" i="63" s="1"/>
  <c r="D90" i="63"/>
  <c r="B90" i="63"/>
  <c r="X89" i="63"/>
  <c r="T89" i="63"/>
  <c r="Z89" i="63" s="1"/>
  <c r="P89" i="63"/>
  <c r="H89" i="63"/>
  <c r="D89" i="63"/>
  <c r="L89" i="63" s="1"/>
  <c r="N89" i="63" s="1"/>
  <c r="B89" i="63"/>
  <c r="V88" i="63"/>
  <c r="P88" i="63"/>
  <c r="F88" i="63"/>
  <c r="Z86" i="63"/>
  <c r="X86" i="63"/>
  <c r="V86" i="63"/>
  <c r="N86" i="63"/>
  <c r="L86" i="63"/>
  <c r="F86" i="63"/>
  <c r="B86" i="63"/>
  <c r="T85" i="63"/>
  <c r="P85" i="63"/>
  <c r="L85" i="63"/>
  <c r="H85" i="63"/>
  <c r="N85" i="63" s="1"/>
  <c r="F85" i="63"/>
  <c r="D85" i="63"/>
  <c r="B85" i="63"/>
  <c r="Z84" i="63"/>
  <c r="X84" i="63"/>
  <c r="V84" i="63"/>
  <c r="N84" i="63"/>
  <c r="L84" i="63"/>
  <c r="F84" i="63"/>
  <c r="B84" i="63"/>
  <c r="Z83" i="63"/>
  <c r="X83" i="63"/>
  <c r="L83" i="63"/>
  <c r="N83" i="63" s="1"/>
  <c r="F83" i="63"/>
  <c r="B83" i="63"/>
  <c r="X82" i="63"/>
  <c r="Z82" i="63" s="1"/>
  <c r="T82" i="63"/>
  <c r="P82" i="63"/>
  <c r="H82" i="63"/>
  <c r="F82" i="63"/>
  <c r="D82" i="63"/>
  <c r="L82" i="63" s="1"/>
  <c r="B82" i="63"/>
  <c r="Z81" i="63"/>
  <c r="X81" i="63"/>
  <c r="L81" i="63"/>
  <c r="N81" i="63" s="1"/>
  <c r="F81" i="63"/>
  <c r="B81" i="63"/>
  <c r="Z80" i="63"/>
  <c r="V80" i="63"/>
  <c r="T80" i="63"/>
  <c r="P80" i="63"/>
  <c r="X80" i="63" s="1"/>
  <c r="H80" i="63"/>
  <c r="N80" i="63" s="1"/>
  <c r="F80" i="63"/>
  <c r="D80" i="63"/>
  <c r="L80" i="63" s="1"/>
  <c r="B80" i="63"/>
  <c r="X79" i="63"/>
  <c r="Z79" i="63" s="1"/>
  <c r="V79" i="63"/>
  <c r="N79" i="63"/>
  <c r="L79" i="63"/>
  <c r="F79" i="63"/>
  <c r="B79" i="63"/>
  <c r="V78" i="63"/>
  <c r="T78" i="63"/>
  <c r="R78" i="63"/>
  <c r="P78" i="63"/>
  <c r="X78" i="63" s="1"/>
  <c r="Z78" i="63" s="1"/>
  <c r="L78" i="63"/>
  <c r="N78" i="63" s="1"/>
  <c r="H78" i="63"/>
  <c r="F78" i="63"/>
  <c r="D78" i="63"/>
  <c r="B78" i="63"/>
  <c r="X77" i="63"/>
  <c r="Z77" i="63" s="1"/>
  <c r="R77" i="63"/>
  <c r="N77" i="63"/>
  <c r="L77" i="63"/>
  <c r="B77" i="63"/>
  <c r="Z76" i="63"/>
  <c r="X76" i="63"/>
  <c r="V76" i="63"/>
  <c r="N76" i="63"/>
  <c r="L76" i="63"/>
  <c r="F76" i="63"/>
  <c r="B76" i="63"/>
  <c r="Z75" i="63"/>
  <c r="X75" i="63"/>
  <c r="L75" i="63"/>
  <c r="N75" i="63" s="1"/>
  <c r="F75" i="63"/>
  <c r="B75" i="63"/>
  <c r="Z74" i="63"/>
  <c r="X74" i="63"/>
  <c r="N74" i="63"/>
  <c r="L74" i="63"/>
  <c r="B74" i="63"/>
  <c r="X73" i="63"/>
  <c r="Z73" i="63" s="1"/>
  <c r="R73" i="63"/>
  <c r="N73" i="63"/>
  <c r="L73" i="63"/>
  <c r="B73" i="63"/>
  <c r="V72" i="63"/>
  <c r="T72" i="63"/>
  <c r="Z72" i="63" s="1"/>
  <c r="R72" i="63"/>
  <c r="P72" i="63"/>
  <c r="X72" i="63" s="1"/>
  <c r="L72" i="63"/>
  <c r="N72" i="63" s="1"/>
  <c r="H72" i="63"/>
  <c r="D72" i="63"/>
  <c r="B72" i="63"/>
  <c r="X71" i="63"/>
  <c r="Z71" i="63" s="1"/>
  <c r="V71" i="63"/>
  <c r="L71" i="63"/>
  <c r="N71" i="63" s="1"/>
  <c r="F71" i="63"/>
  <c r="B71" i="63"/>
  <c r="T70" i="63"/>
  <c r="R70" i="63"/>
  <c r="P70" i="63"/>
  <c r="X70" i="63" s="1"/>
  <c r="H70" i="63"/>
  <c r="F70" i="63"/>
  <c r="D70" i="63"/>
  <c r="B70" i="63"/>
  <c r="X69" i="63"/>
  <c r="Z69" i="63" s="1"/>
  <c r="R69" i="63"/>
  <c r="L69" i="63"/>
  <c r="N69" i="63" s="1"/>
  <c r="F69" i="63"/>
  <c r="B69" i="63"/>
  <c r="X68" i="63"/>
  <c r="Z68" i="63" s="1"/>
  <c r="N68" i="63"/>
  <c r="L68" i="63"/>
  <c r="F68" i="63"/>
  <c r="B68" i="63"/>
  <c r="X67" i="63"/>
  <c r="Z67" i="63" s="1"/>
  <c r="V67" i="63"/>
  <c r="N67" i="63"/>
  <c r="L67" i="63"/>
  <c r="F67" i="63"/>
  <c r="B67" i="63"/>
  <c r="Z66" i="63"/>
  <c r="V66" i="63"/>
  <c r="T66" i="63"/>
  <c r="R66" i="63"/>
  <c r="P66" i="63"/>
  <c r="X66" i="63" s="1"/>
  <c r="L66" i="63"/>
  <c r="N66" i="63" s="1"/>
  <c r="H66" i="63"/>
  <c r="F66" i="63"/>
  <c r="D66" i="63"/>
  <c r="B66" i="63"/>
  <c r="X65" i="63"/>
  <c r="Z65" i="63" s="1"/>
  <c r="R65" i="63"/>
  <c r="N65" i="63"/>
  <c r="L65" i="63"/>
  <c r="B65" i="63"/>
  <c r="Z64" i="63"/>
  <c r="X64" i="63"/>
  <c r="V64" i="63"/>
  <c r="N64" i="63"/>
  <c r="L64" i="63"/>
  <c r="F64" i="63"/>
  <c r="B64" i="63"/>
  <c r="Z63" i="63"/>
  <c r="X63" i="63"/>
  <c r="L63" i="63"/>
  <c r="N63" i="63" s="1"/>
  <c r="F63" i="63"/>
  <c r="B63" i="63"/>
  <c r="X62" i="63"/>
  <c r="Z62" i="63" s="1"/>
  <c r="T62" i="63"/>
  <c r="P62" i="63"/>
  <c r="H62" i="63"/>
  <c r="F62" i="63"/>
  <c r="D62" i="63"/>
  <c r="L62" i="63" s="1"/>
  <c r="B62" i="63"/>
  <c r="Z61" i="63"/>
  <c r="X61" i="63"/>
  <c r="L61" i="63"/>
  <c r="N61" i="63" s="1"/>
  <c r="F61" i="63"/>
  <c r="B61" i="63"/>
  <c r="V60" i="63"/>
  <c r="T60" i="63"/>
  <c r="P60" i="63"/>
  <c r="X60" i="63" s="1"/>
  <c r="Z60" i="63" s="1"/>
  <c r="H60" i="63"/>
  <c r="F60" i="63"/>
  <c r="D60" i="63"/>
  <c r="L60" i="63" s="1"/>
  <c r="B60" i="63"/>
  <c r="X59" i="63"/>
  <c r="Z59" i="63" s="1"/>
  <c r="V59" i="63"/>
  <c r="N59" i="63"/>
  <c r="L59" i="63"/>
  <c r="F59" i="63"/>
  <c r="B59" i="63"/>
  <c r="Z58" i="63"/>
  <c r="V58" i="63"/>
  <c r="T58" i="63"/>
  <c r="R58" i="63"/>
  <c r="P58" i="63"/>
  <c r="X58" i="63" s="1"/>
  <c r="L58" i="63"/>
  <c r="N58" i="63" s="1"/>
  <c r="H58" i="63"/>
  <c r="F58" i="63"/>
  <c r="D58" i="63"/>
  <c r="B58" i="63"/>
  <c r="X57" i="63"/>
  <c r="Z57" i="63" s="1"/>
  <c r="R57" i="63"/>
  <c r="N57" i="63"/>
  <c r="L57" i="63"/>
  <c r="B57" i="63"/>
  <c r="V56" i="63"/>
  <c r="T56" i="63"/>
  <c r="R56" i="63"/>
  <c r="P56" i="63"/>
  <c r="X56" i="63" s="1"/>
  <c r="N56" i="63"/>
  <c r="L56" i="63"/>
  <c r="H56" i="63"/>
  <c r="D56" i="63"/>
  <c r="B56" i="63"/>
  <c r="X55" i="63"/>
  <c r="Z55" i="63" s="1"/>
  <c r="V55" i="63"/>
  <c r="L55" i="63"/>
  <c r="N55" i="63" s="1"/>
  <c r="F55" i="63"/>
  <c r="B55" i="63"/>
  <c r="V54" i="63"/>
  <c r="T54" i="63"/>
  <c r="R54" i="63"/>
  <c r="P54" i="63"/>
  <c r="X54" i="63" s="1"/>
  <c r="H54" i="63"/>
  <c r="F54" i="63"/>
  <c r="D54" i="63"/>
  <c r="L54" i="63" s="1"/>
  <c r="N54" i="63" s="1"/>
  <c r="B54" i="63"/>
  <c r="Z53" i="63"/>
  <c r="X53" i="63"/>
  <c r="R53" i="63"/>
  <c r="N53" i="63"/>
  <c r="L53" i="63"/>
  <c r="F53" i="63"/>
  <c r="B53" i="63"/>
  <c r="Z52" i="63"/>
  <c r="X52" i="63"/>
  <c r="T52" i="63"/>
  <c r="P52" i="63"/>
  <c r="N52" i="63"/>
  <c r="L52" i="63"/>
  <c r="H52" i="63"/>
  <c r="F52" i="63"/>
  <c r="D52" i="63"/>
  <c r="B52" i="63"/>
  <c r="Z51" i="63"/>
  <c r="X51" i="63"/>
  <c r="L51" i="63"/>
  <c r="N51" i="63" s="1"/>
  <c r="F51" i="63"/>
  <c r="B51" i="63"/>
  <c r="Z50" i="63"/>
  <c r="X50" i="63"/>
  <c r="T50" i="63"/>
  <c r="P50" i="63"/>
  <c r="H50" i="63"/>
  <c r="F50" i="63"/>
  <c r="D50" i="63"/>
  <c r="B50" i="63"/>
  <c r="Z49" i="63"/>
  <c r="X49" i="63"/>
  <c r="L49" i="63"/>
  <c r="N49" i="63" s="1"/>
  <c r="F49" i="63"/>
  <c r="B49" i="63"/>
  <c r="V48" i="63"/>
  <c r="T48" i="63"/>
  <c r="P48" i="63"/>
  <c r="X48" i="63" s="1"/>
  <c r="Z48" i="63" s="1"/>
  <c r="H48" i="63"/>
  <c r="N48" i="63" s="1"/>
  <c r="F48" i="63"/>
  <c r="D48" i="63"/>
  <c r="L48" i="63" s="1"/>
  <c r="B48" i="63"/>
  <c r="X47" i="63"/>
  <c r="Z47" i="63" s="1"/>
  <c r="V47" i="63"/>
  <c r="N47" i="63"/>
  <c r="L47" i="63"/>
  <c r="F47" i="63"/>
  <c r="B47" i="63"/>
  <c r="X46" i="63"/>
  <c r="Z46" i="63" s="1"/>
  <c r="V46" i="63"/>
  <c r="L46" i="63"/>
  <c r="N46" i="63" s="1"/>
  <c r="F46" i="63"/>
  <c r="B46" i="63"/>
  <c r="T45" i="63"/>
  <c r="R45" i="63"/>
  <c r="P45" i="63"/>
  <c r="X45" i="63" s="1"/>
  <c r="L45" i="63"/>
  <c r="H45" i="63"/>
  <c r="F45" i="63"/>
  <c r="D45" i="63"/>
  <c r="B45" i="63"/>
  <c r="Z44" i="63"/>
  <c r="X44" i="63"/>
  <c r="V44" i="63"/>
  <c r="R44" i="63"/>
  <c r="N44" i="63"/>
  <c r="L44" i="63"/>
  <c r="F44" i="63"/>
  <c r="B44" i="63"/>
  <c r="Z43" i="63"/>
  <c r="X43" i="63"/>
  <c r="L43" i="63"/>
  <c r="N43" i="63" s="1"/>
  <c r="F43" i="63"/>
  <c r="B43" i="63"/>
  <c r="X42" i="63"/>
  <c r="Z42" i="63" s="1"/>
  <c r="T42" i="63"/>
  <c r="P42" i="63"/>
  <c r="H42" i="63"/>
  <c r="F42" i="63"/>
  <c r="D42" i="63"/>
  <c r="L42" i="63" s="1"/>
  <c r="B42" i="63"/>
  <c r="Z41" i="63"/>
  <c r="X41" i="63"/>
  <c r="V41" i="63"/>
  <c r="L41" i="63"/>
  <c r="N41" i="63" s="1"/>
  <c r="F41" i="63"/>
  <c r="B41" i="63"/>
  <c r="V40" i="63"/>
  <c r="T40" i="63"/>
  <c r="P40" i="63"/>
  <c r="X40" i="63" s="1"/>
  <c r="Z40" i="63" s="1"/>
  <c r="H40" i="63"/>
  <c r="N40" i="63" s="1"/>
  <c r="F40" i="63"/>
  <c r="D40" i="63"/>
  <c r="L40" i="63" s="1"/>
  <c r="B40" i="63"/>
  <c r="X39" i="63"/>
  <c r="Z39" i="63" s="1"/>
  <c r="V39" i="63"/>
  <c r="N39" i="63"/>
  <c r="L39" i="63"/>
  <c r="F39" i="63"/>
  <c r="B39" i="63"/>
  <c r="X38" i="63"/>
  <c r="Z38" i="63" s="1"/>
  <c r="V38" i="63"/>
  <c r="T38" i="63"/>
  <c r="R38" i="63"/>
  <c r="P38" i="63"/>
  <c r="L38" i="63"/>
  <c r="N38" i="63" s="1"/>
  <c r="H38" i="63"/>
  <c r="F38" i="63"/>
  <c r="D38" i="63"/>
  <c r="B38" i="63"/>
  <c r="X37" i="63"/>
  <c r="Z37" i="63" s="1"/>
  <c r="R37" i="63"/>
  <c r="N37" i="63"/>
  <c r="L37" i="63"/>
  <c r="B37" i="63"/>
  <c r="V36" i="63"/>
  <c r="T36" i="63"/>
  <c r="R36" i="63"/>
  <c r="P36" i="63"/>
  <c r="N36" i="63"/>
  <c r="L36" i="63"/>
  <c r="H36" i="63"/>
  <c r="D36" i="63"/>
  <c r="B36" i="63"/>
  <c r="X35" i="63"/>
  <c r="Z35" i="63" s="1"/>
  <c r="V35" i="63"/>
  <c r="R35" i="63"/>
  <c r="L35" i="63"/>
  <c r="N35" i="63" s="1"/>
  <c r="J35" i="63"/>
  <c r="F35" i="63"/>
  <c r="B35" i="63"/>
  <c r="X34" i="63"/>
  <c r="Z34" i="63" s="1"/>
  <c r="V34" i="63"/>
  <c r="L34" i="63"/>
  <c r="N34" i="63" s="1"/>
  <c r="F34" i="63"/>
  <c r="B34" i="63"/>
  <c r="Z33" i="63"/>
  <c r="X33" i="63"/>
  <c r="V33" i="63"/>
  <c r="L33" i="63"/>
  <c r="N33" i="63" s="1"/>
  <c r="F33" i="63"/>
  <c r="B33" i="63"/>
  <c r="Z32" i="63"/>
  <c r="X32" i="63"/>
  <c r="V32" i="63"/>
  <c r="R32" i="63"/>
  <c r="N32" i="63"/>
  <c r="L32" i="63"/>
  <c r="F32" i="63"/>
  <c r="B32" i="63"/>
  <c r="X31" i="63"/>
  <c r="Z31" i="63" s="1"/>
  <c r="V31" i="63"/>
  <c r="R31" i="63"/>
  <c r="L31" i="63"/>
  <c r="N31" i="63" s="1"/>
  <c r="F31" i="63"/>
  <c r="B31" i="63"/>
  <c r="X30" i="63"/>
  <c r="Z30" i="63" s="1"/>
  <c r="V30" i="63"/>
  <c r="L30" i="63"/>
  <c r="N30" i="63" s="1"/>
  <c r="F30" i="63"/>
  <c r="B30" i="63"/>
  <c r="Z29" i="63"/>
  <c r="V29" i="63"/>
  <c r="T29" i="63"/>
  <c r="P29" i="63"/>
  <c r="X29" i="63" s="1"/>
  <c r="H29" i="63"/>
  <c r="F29" i="63"/>
  <c r="D29" i="63"/>
  <c r="L29" i="63" s="1"/>
  <c r="B29" i="63"/>
  <c r="X28" i="63"/>
  <c r="Z28" i="63" s="1"/>
  <c r="N28" i="63"/>
  <c r="L28" i="63"/>
  <c r="F28" i="63"/>
  <c r="B28" i="63"/>
  <c r="X27" i="63"/>
  <c r="Z27" i="63" s="1"/>
  <c r="V27" i="63"/>
  <c r="N27" i="63"/>
  <c r="L27" i="63"/>
  <c r="F27" i="63"/>
  <c r="B27" i="63"/>
  <c r="Z26" i="63"/>
  <c r="X26" i="63"/>
  <c r="V26" i="63"/>
  <c r="N26" i="63"/>
  <c r="L26" i="63"/>
  <c r="F26" i="63"/>
  <c r="B26" i="63"/>
  <c r="Z25" i="63"/>
  <c r="X25" i="63"/>
  <c r="R25" i="63"/>
  <c r="N25" i="63"/>
  <c r="L25" i="63"/>
  <c r="F25" i="63"/>
  <c r="B25" i="63"/>
  <c r="X24" i="63"/>
  <c r="Z24" i="63" s="1"/>
  <c r="N24" i="63"/>
  <c r="L24" i="63"/>
  <c r="F24" i="63"/>
  <c r="B24" i="63"/>
  <c r="X23" i="63"/>
  <c r="Z23" i="63" s="1"/>
  <c r="V23" i="63"/>
  <c r="N23" i="63"/>
  <c r="L23" i="63"/>
  <c r="F23" i="63"/>
  <c r="B23" i="63"/>
  <c r="Z22" i="63"/>
  <c r="X22" i="63"/>
  <c r="V22" i="63"/>
  <c r="L22" i="63"/>
  <c r="N22" i="63" s="1"/>
  <c r="F22" i="63"/>
  <c r="B22" i="63"/>
  <c r="X21" i="63"/>
  <c r="Z21" i="63" s="1"/>
  <c r="R21" i="63"/>
  <c r="L21" i="63"/>
  <c r="N21" i="63" s="1"/>
  <c r="F21" i="63"/>
  <c r="B21" i="63"/>
  <c r="X20" i="63"/>
  <c r="Z20" i="63" s="1"/>
  <c r="N20" i="63"/>
  <c r="L20" i="63"/>
  <c r="F20" i="63"/>
  <c r="B20" i="63"/>
  <c r="X19" i="63"/>
  <c r="V19" i="63"/>
  <c r="T19" i="63"/>
  <c r="R19" i="63"/>
  <c r="P19" i="63"/>
  <c r="L19" i="63"/>
  <c r="H19" i="63"/>
  <c r="F19" i="63"/>
  <c r="D19" i="63"/>
  <c r="B19" i="63"/>
  <c r="X18" i="63"/>
  <c r="T18" i="63"/>
  <c r="Z18" i="63" s="1"/>
  <c r="P18" i="63"/>
  <c r="J18" i="63"/>
  <c r="H18" i="63"/>
  <c r="N18" i="63" s="1"/>
  <c r="F18" i="63"/>
  <c r="D18" i="63"/>
  <c r="L18" i="63" s="1"/>
  <c r="F16" i="63"/>
  <c r="X14" i="63"/>
  <c r="T14" i="63"/>
  <c r="T16" i="63" s="1"/>
  <c r="P14" i="63"/>
  <c r="N14" i="63"/>
  <c r="H14" i="63"/>
  <c r="F14" i="63"/>
  <c r="D14" i="63"/>
  <c r="L14" i="63" s="1"/>
  <c r="Z12" i="63"/>
  <c r="X12" i="63"/>
  <c r="T12" i="63"/>
  <c r="V82" i="63" s="1"/>
  <c r="P12" i="63"/>
  <c r="H12" i="63"/>
  <c r="D12" i="63"/>
  <c r="F92" i="63" s="1"/>
  <c r="D6" i="63"/>
  <c r="D4" i="63"/>
  <c r="R51" i="61"/>
  <c r="R48" i="61"/>
  <c r="Z46" i="61"/>
  <c r="X46" i="61"/>
  <c r="N46" i="61"/>
  <c r="L46" i="61"/>
  <c r="Z42" i="61"/>
  <c r="T42" i="61"/>
  <c r="X42" i="61" s="1"/>
  <c r="P42" i="61"/>
  <c r="N42" i="61"/>
  <c r="H42" i="61"/>
  <c r="D42" i="61"/>
  <c r="L42" i="61" s="1"/>
  <c r="X40" i="61"/>
  <c r="Z40" i="61" s="1"/>
  <c r="R40" i="61"/>
  <c r="L40" i="61"/>
  <c r="N40" i="61" s="1"/>
  <c r="B40" i="61"/>
  <c r="X39" i="61"/>
  <c r="T39" i="61"/>
  <c r="Z39" i="61" s="1"/>
  <c r="R39" i="61"/>
  <c r="P39" i="61"/>
  <c r="N39" i="61"/>
  <c r="H39" i="61"/>
  <c r="D39" i="61"/>
  <c r="L39" i="61" s="1"/>
  <c r="B39" i="61"/>
  <c r="Z38" i="61"/>
  <c r="X38" i="61"/>
  <c r="R38" i="61"/>
  <c r="L38" i="61"/>
  <c r="N38" i="61" s="1"/>
  <c r="B38" i="61"/>
  <c r="X37" i="61"/>
  <c r="Z37" i="61" s="1"/>
  <c r="R37" i="61"/>
  <c r="L37" i="61"/>
  <c r="N37" i="61" s="1"/>
  <c r="J37" i="61"/>
  <c r="B37" i="61"/>
  <c r="T36" i="61"/>
  <c r="R36" i="61"/>
  <c r="P36" i="61"/>
  <c r="X36" i="61" s="1"/>
  <c r="H36" i="61"/>
  <c r="D36" i="61"/>
  <c r="B36" i="61"/>
  <c r="X35" i="61"/>
  <c r="Z35" i="61" s="1"/>
  <c r="R35" i="61"/>
  <c r="N35" i="61"/>
  <c r="L35" i="61"/>
  <c r="B35" i="61"/>
  <c r="X34" i="61"/>
  <c r="Z34" i="61" s="1"/>
  <c r="T34" i="61"/>
  <c r="R34" i="61"/>
  <c r="P34" i="61"/>
  <c r="L34" i="61"/>
  <c r="N34" i="61" s="1"/>
  <c r="H34" i="61"/>
  <c r="D34" i="61"/>
  <c r="B34" i="61"/>
  <c r="Z33" i="61"/>
  <c r="X33" i="61"/>
  <c r="R33" i="61"/>
  <c r="L33" i="61"/>
  <c r="N33" i="61" s="1"/>
  <c r="B33" i="61"/>
  <c r="X32" i="61"/>
  <c r="T32" i="61"/>
  <c r="Z32" i="61" s="1"/>
  <c r="P32" i="61"/>
  <c r="H32" i="61"/>
  <c r="N32" i="61" s="1"/>
  <c r="F32" i="61"/>
  <c r="D32" i="61"/>
  <c r="L32" i="61" s="1"/>
  <c r="B32" i="61"/>
  <c r="Z31" i="61"/>
  <c r="X31" i="61"/>
  <c r="N31" i="61"/>
  <c r="L31" i="61"/>
  <c r="B31" i="61"/>
  <c r="Z30" i="61"/>
  <c r="X30" i="61"/>
  <c r="V30" i="61"/>
  <c r="R30" i="61"/>
  <c r="L30" i="61"/>
  <c r="N30" i="61" s="1"/>
  <c r="B30" i="61"/>
  <c r="X29" i="61"/>
  <c r="Z29" i="61" s="1"/>
  <c r="R29" i="61"/>
  <c r="L29" i="61"/>
  <c r="N29" i="61" s="1"/>
  <c r="B29" i="61"/>
  <c r="X28" i="61"/>
  <c r="Z28" i="61" s="1"/>
  <c r="V28" i="61"/>
  <c r="L28" i="61"/>
  <c r="N28" i="61" s="1"/>
  <c r="B28" i="61"/>
  <c r="X27" i="61"/>
  <c r="Z27" i="61" s="1"/>
  <c r="T27" i="61"/>
  <c r="P27" i="61"/>
  <c r="H27" i="61"/>
  <c r="D27" i="61"/>
  <c r="L27" i="61" s="1"/>
  <c r="B27" i="61"/>
  <c r="X26" i="61"/>
  <c r="Z26" i="61" s="1"/>
  <c r="N26" i="61"/>
  <c r="L26" i="61"/>
  <c r="B26" i="61"/>
  <c r="X25" i="61"/>
  <c r="Z25" i="61" s="1"/>
  <c r="R25" i="61"/>
  <c r="N25" i="61"/>
  <c r="L25" i="61"/>
  <c r="B25" i="61"/>
  <c r="X24" i="61"/>
  <c r="Z24" i="61" s="1"/>
  <c r="N24" i="61"/>
  <c r="L24" i="61"/>
  <c r="B24" i="61"/>
  <c r="X23" i="61"/>
  <c r="Z23" i="61" s="1"/>
  <c r="N23" i="61"/>
  <c r="L23" i="61"/>
  <c r="F23" i="61"/>
  <c r="B23" i="61"/>
  <c r="Z22" i="61"/>
  <c r="X22" i="61"/>
  <c r="R22" i="61"/>
  <c r="N22" i="61"/>
  <c r="L22" i="61"/>
  <c r="F22" i="61"/>
  <c r="B22" i="61"/>
  <c r="X21" i="61"/>
  <c r="Z21" i="61" s="1"/>
  <c r="R21" i="61"/>
  <c r="N21" i="61"/>
  <c r="L21" i="61"/>
  <c r="B21" i="61"/>
  <c r="Z20" i="61"/>
  <c r="X20" i="61"/>
  <c r="L20" i="61"/>
  <c r="N20" i="61" s="1"/>
  <c r="F20" i="61"/>
  <c r="B20" i="61"/>
  <c r="T19" i="61"/>
  <c r="R19" i="61"/>
  <c r="P19" i="61"/>
  <c r="X19" i="61" s="1"/>
  <c r="Z19" i="61" s="1"/>
  <c r="L19" i="61"/>
  <c r="H19" i="61"/>
  <c r="F19" i="61"/>
  <c r="D19" i="61"/>
  <c r="B19" i="61"/>
  <c r="Z18" i="61"/>
  <c r="T18" i="61"/>
  <c r="R18" i="61"/>
  <c r="P18" i="61"/>
  <c r="X18" i="61" s="1"/>
  <c r="H18" i="61"/>
  <c r="D18" i="61"/>
  <c r="L18" i="61" s="1"/>
  <c r="N18" i="61" s="1"/>
  <c r="V16" i="61"/>
  <c r="R16" i="61"/>
  <c r="V14" i="61"/>
  <c r="T14" i="61"/>
  <c r="Z14" i="61" s="1"/>
  <c r="R14" i="61"/>
  <c r="P14" i="61"/>
  <c r="X14" i="61" s="1"/>
  <c r="H14" i="61"/>
  <c r="N14" i="61" s="1"/>
  <c r="D14" i="61"/>
  <c r="L14" i="61" s="1"/>
  <c r="T12" i="61"/>
  <c r="V37" i="61" s="1"/>
  <c r="P12" i="61"/>
  <c r="N12" i="61"/>
  <c r="H12" i="61"/>
  <c r="D12" i="61"/>
  <c r="F31" i="61" s="1"/>
  <c r="D6" i="61"/>
  <c r="D4" i="61"/>
  <c r="R51" i="60"/>
  <c r="J51" i="60"/>
  <c r="F51" i="60"/>
  <c r="J48" i="60"/>
  <c r="F48" i="60"/>
  <c r="Z46" i="60"/>
  <c r="X46" i="60"/>
  <c r="N46" i="60"/>
  <c r="L46" i="60"/>
  <c r="J46" i="60"/>
  <c r="F46" i="60"/>
  <c r="J44" i="60"/>
  <c r="X42" i="60"/>
  <c r="T42" i="60"/>
  <c r="Z42" i="60" s="1"/>
  <c r="P42" i="60"/>
  <c r="J42" i="60"/>
  <c r="H42" i="60"/>
  <c r="N42" i="60" s="1"/>
  <c r="D42" i="60"/>
  <c r="X40" i="60"/>
  <c r="Z40" i="60" s="1"/>
  <c r="R40" i="60"/>
  <c r="L40" i="60"/>
  <c r="N40" i="60" s="1"/>
  <c r="J40" i="60"/>
  <c r="B40" i="60"/>
  <c r="T39" i="60"/>
  <c r="X39" i="60" s="1"/>
  <c r="Z39" i="60" s="1"/>
  <c r="P39" i="60"/>
  <c r="J39" i="60"/>
  <c r="H39" i="60"/>
  <c r="D39" i="60"/>
  <c r="B39" i="60"/>
  <c r="X38" i="60"/>
  <c r="Z38" i="60" s="1"/>
  <c r="R38" i="60"/>
  <c r="N38" i="60"/>
  <c r="L38" i="60"/>
  <c r="B38" i="60"/>
  <c r="T37" i="60"/>
  <c r="R37" i="60"/>
  <c r="P37" i="60"/>
  <c r="N37" i="60"/>
  <c r="L37" i="60"/>
  <c r="J37" i="60"/>
  <c r="H37" i="60"/>
  <c r="D37" i="60"/>
  <c r="B37" i="60"/>
  <c r="X36" i="60"/>
  <c r="Z36" i="60" s="1"/>
  <c r="R36" i="60"/>
  <c r="L36" i="60"/>
  <c r="N36" i="60" s="1"/>
  <c r="J36" i="60"/>
  <c r="F36" i="60"/>
  <c r="B36" i="60"/>
  <c r="T35" i="60"/>
  <c r="P35" i="60"/>
  <c r="X35" i="60" s="1"/>
  <c r="Z35" i="60" s="1"/>
  <c r="J35" i="60"/>
  <c r="H35" i="60"/>
  <c r="D35" i="60"/>
  <c r="B35" i="60"/>
  <c r="Z34" i="60"/>
  <c r="X34" i="60"/>
  <c r="N34" i="60"/>
  <c r="L34" i="60"/>
  <c r="J34" i="60"/>
  <c r="B34" i="60"/>
  <c r="Z33" i="60"/>
  <c r="X33" i="60"/>
  <c r="L33" i="60"/>
  <c r="N33" i="60" s="1"/>
  <c r="J33" i="60"/>
  <c r="B33" i="60"/>
  <c r="T32" i="60"/>
  <c r="P32" i="60"/>
  <c r="J32" i="60"/>
  <c r="H32" i="60"/>
  <c r="D32" i="60"/>
  <c r="B32" i="60"/>
  <c r="Z31" i="60"/>
  <c r="X31" i="60"/>
  <c r="L31" i="60"/>
  <c r="N31" i="60" s="1"/>
  <c r="B31" i="60"/>
  <c r="T30" i="60"/>
  <c r="P30" i="60"/>
  <c r="X30" i="60" s="1"/>
  <c r="Z30" i="60" s="1"/>
  <c r="L30" i="60"/>
  <c r="N30" i="60" s="1"/>
  <c r="J30" i="60"/>
  <c r="H30" i="60"/>
  <c r="F30" i="60"/>
  <c r="D30" i="60"/>
  <c r="B30" i="60"/>
  <c r="Z29" i="60"/>
  <c r="X29" i="60"/>
  <c r="N29" i="60"/>
  <c r="L29" i="60"/>
  <c r="J29" i="60"/>
  <c r="F29" i="60"/>
  <c r="B29" i="60"/>
  <c r="Z28" i="60"/>
  <c r="T28" i="60"/>
  <c r="X28" i="60" s="1"/>
  <c r="P28" i="60"/>
  <c r="H28" i="60"/>
  <c r="F28" i="60"/>
  <c r="D28" i="60"/>
  <c r="B28" i="60"/>
  <c r="Z27" i="60"/>
  <c r="X27" i="60"/>
  <c r="V27" i="60"/>
  <c r="N27" i="60"/>
  <c r="L27" i="60"/>
  <c r="J27" i="60"/>
  <c r="B27" i="60"/>
  <c r="Z26" i="60"/>
  <c r="X26" i="60"/>
  <c r="N26" i="60"/>
  <c r="L26" i="60"/>
  <c r="J26" i="60"/>
  <c r="F26" i="60"/>
  <c r="B26" i="60"/>
  <c r="Z25" i="60"/>
  <c r="X25" i="60"/>
  <c r="R25" i="60"/>
  <c r="L25" i="60"/>
  <c r="N25" i="60" s="1"/>
  <c r="J25" i="60"/>
  <c r="B25" i="60"/>
  <c r="X24" i="60"/>
  <c r="Z24" i="60" s="1"/>
  <c r="L24" i="60"/>
  <c r="N24" i="60" s="1"/>
  <c r="J24" i="60"/>
  <c r="B24" i="60"/>
  <c r="Z23" i="60"/>
  <c r="X23" i="60"/>
  <c r="N23" i="60"/>
  <c r="L23" i="60"/>
  <c r="J23" i="60"/>
  <c r="B23" i="60"/>
  <c r="Z22" i="60"/>
  <c r="X22" i="60"/>
  <c r="N22" i="60"/>
  <c r="L22" i="60"/>
  <c r="J22" i="60"/>
  <c r="B22" i="60"/>
  <c r="Z21" i="60"/>
  <c r="X21" i="60"/>
  <c r="L21" i="60"/>
  <c r="N21" i="60" s="1"/>
  <c r="J21" i="60"/>
  <c r="B21" i="60"/>
  <c r="X20" i="60"/>
  <c r="Z20" i="60" s="1"/>
  <c r="R20" i="60"/>
  <c r="L20" i="60"/>
  <c r="N20" i="60" s="1"/>
  <c r="J20" i="60"/>
  <c r="B20" i="60"/>
  <c r="T19" i="60"/>
  <c r="Z19" i="60" s="1"/>
  <c r="R19" i="60"/>
  <c r="P19" i="60"/>
  <c r="X19" i="60" s="1"/>
  <c r="J19" i="60"/>
  <c r="H19" i="60"/>
  <c r="D19" i="60"/>
  <c r="B19" i="60"/>
  <c r="T18" i="60"/>
  <c r="P18" i="60"/>
  <c r="X18" i="60" s="1"/>
  <c r="Z18" i="60" s="1"/>
  <c r="L18" i="60"/>
  <c r="J18" i="60"/>
  <c r="H18" i="60"/>
  <c r="F18" i="60"/>
  <c r="D18" i="60"/>
  <c r="J16" i="60"/>
  <c r="H16" i="60"/>
  <c r="N16" i="60" s="1"/>
  <c r="D16" i="60"/>
  <c r="Z14" i="60"/>
  <c r="X14" i="60"/>
  <c r="T14" i="60"/>
  <c r="P14" i="60"/>
  <c r="J14" i="60"/>
  <c r="H14" i="60"/>
  <c r="N14" i="60" s="1"/>
  <c r="F14" i="60"/>
  <c r="D14" i="60"/>
  <c r="T12" i="60"/>
  <c r="P12" i="60"/>
  <c r="R39" i="60" s="1"/>
  <c r="N12" i="60"/>
  <c r="H12" i="60"/>
  <c r="J38" i="60" s="1"/>
  <c r="D12" i="60"/>
  <c r="F34" i="60" s="1"/>
  <c r="D6" i="60"/>
  <c r="D4" i="60"/>
  <c r="V60" i="59"/>
  <c r="R60" i="59"/>
  <c r="R57" i="59"/>
  <c r="Z55" i="59"/>
  <c r="X55" i="59"/>
  <c r="V55" i="59"/>
  <c r="N55" i="59"/>
  <c r="L55" i="59"/>
  <c r="J55" i="59"/>
  <c r="Z51" i="59"/>
  <c r="T51" i="59"/>
  <c r="P51" i="59"/>
  <c r="X51" i="59" s="1"/>
  <c r="H51" i="59"/>
  <c r="N51" i="59" s="1"/>
  <c r="D51" i="59"/>
  <c r="L51" i="59" s="1"/>
  <c r="Z49" i="59"/>
  <c r="X49" i="59"/>
  <c r="L49" i="59"/>
  <c r="N49" i="59" s="1"/>
  <c r="F49" i="59"/>
  <c r="B49" i="59"/>
  <c r="V48" i="59"/>
  <c r="T48" i="59"/>
  <c r="X48" i="59" s="1"/>
  <c r="Z48" i="59" s="1"/>
  <c r="P48" i="59"/>
  <c r="H48" i="59"/>
  <c r="F48" i="59"/>
  <c r="D48" i="59"/>
  <c r="B48" i="59"/>
  <c r="X47" i="59"/>
  <c r="Z47" i="59" s="1"/>
  <c r="L47" i="59"/>
  <c r="N47" i="59" s="1"/>
  <c r="F47" i="59"/>
  <c r="B47" i="59"/>
  <c r="Z46" i="59"/>
  <c r="X46" i="59"/>
  <c r="V46" i="59"/>
  <c r="R46" i="59"/>
  <c r="N46" i="59"/>
  <c r="L46" i="59"/>
  <c r="B46" i="59"/>
  <c r="V45" i="59"/>
  <c r="T45" i="59"/>
  <c r="P45" i="59"/>
  <c r="X45" i="59" s="1"/>
  <c r="L45" i="59"/>
  <c r="N45" i="59" s="1"/>
  <c r="H45" i="59"/>
  <c r="D45" i="59"/>
  <c r="B45" i="59"/>
  <c r="Z44" i="59"/>
  <c r="X44" i="59"/>
  <c r="V44" i="59"/>
  <c r="N44" i="59"/>
  <c r="L44" i="59"/>
  <c r="J44" i="59"/>
  <c r="B44" i="59"/>
  <c r="T43" i="59"/>
  <c r="Z43" i="59" s="1"/>
  <c r="R43" i="59"/>
  <c r="P43" i="59"/>
  <c r="X43" i="59" s="1"/>
  <c r="L43" i="59"/>
  <c r="H43" i="59"/>
  <c r="D43" i="59"/>
  <c r="B43" i="59"/>
  <c r="X42" i="59"/>
  <c r="Z42" i="59" s="1"/>
  <c r="V42" i="59"/>
  <c r="R42" i="59"/>
  <c r="N42" i="59"/>
  <c r="L42" i="59"/>
  <c r="J42" i="59"/>
  <c r="B42" i="59"/>
  <c r="Z41" i="59"/>
  <c r="X41" i="59"/>
  <c r="R41" i="59"/>
  <c r="L41" i="59"/>
  <c r="N41" i="59" s="1"/>
  <c r="F41" i="59"/>
  <c r="B41" i="59"/>
  <c r="Z40" i="59"/>
  <c r="X40" i="59"/>
  <c r="V40" i="59"/>
  <c r="R40" i="59"/>
  <c r="N40" i="59"/>
  <c r="L40" i="59"/>
  <c r="B40" i="59"/>
  <c r="T39" i="59"/>
  <c r="R39" i="59"/>
  <c r="P39" i="59"/>
  <c r="X39" i="59" s="1"/>
  <c r="H39" i="59"/>
  <c r="D39" i="59"/>
  <c r="L39" i="59" s="1"/>
  <c r="N39" i="59" s="1"/>
  <c r="B39" i="59"/>
  <c r="Z38" i="59"/>
  <c r="X38" i="59"/>
  <c r="V38" i="59"/>
  <c r="R38" i="59"/>
  <c r="N38" i="59"/>
  <c r="L38" i="59"/>
  <c r="B38" i="59"/>
  <c r="V37" i="59"/>
  <c r="T37" i="59"/>
  <c r="P37" i="59"/>
  <c r="X37" i="59" s="1"/>
  <c r="L37" i="59"/>
  <c r="N37" i="59" s="1"/>
  <c r="H37" i="59"/>
  <c r="D37" i="59"/>
  <c r="B37" i="59"/>
  <c r="Z36" i="59"/>
  <c r="X36" i="59"/>
  <c r="V36" i="59"/>
  <c r="N36" i="59"/>
  <c r="L36" i="59"/>
  <c r="J36" i="59"/>
  <c r="B36" i="59"/>
  <c r="T35" i="59"/>
  <c r="Z35" i="59" s="1"/>
  <c r="R35" i="59"/>
  <c r="P35" i="59"/>
  <c r="X35" i="59" s="1"/>
  <c r="L35" i="59"/>
  <c r="H35" i="59"/>
  <c r="D35" i="59"/>
  <c r="B35" i="59"/>
  <c r="X34" i="59"/>
  <c r="Z34" i="59" s="1"/>
  <c r="V34" i="59"/>
  <c r="R34" i="59"/>
  <c r="N34" i="59"/>
  <c r="L34" i="59"/>
  <c r="J34" i="59"/>
  <c r="B34" i="59"/>
  <c r="Z33" i="59"/>
  <c r="X33" i="59"/>
  <c r="R33" i="59"/>
  <c r="L33" i="59"/>
  <c r="N33" i="59" s="1"/>
  <c r="F33" i="59"/>
  <c r="B33" i="59"/>
  <c r="Z32" i="59"/>
  <c r="X32" i="59"/>
  <c r="V32" i="59"/>
  <c r="R32" i="59"/>
  <c r="N32" i="59"/>
  <c r="L32" i="59"/>
  <c r="B32" i="59"/>
  <c r="X31" i="59"/>
  <c r="Z31" i="59" s="1"/>
  <c r="R31" i="59"/>
  <c r="L31" i="59"/>
  <c r="N31" i="59" s="1"/>
  <c r="B31" i="59"/>
  <c r="X30" i="59"/>
  <c r="Z30" i="59" s="1"/>
  <c r="V30" i="59"/>
  <c r="R30" i="59"/>
  <c r="N30" i="59"/>
  <c r="L30" i="59"/>
  <c r="J30" i="59"/>
  <c r="B30" i="59"/>
  <c r="T29" i="59"/>
  <c r="R29" i="59"/>
  <c r="P29" i="59"/>
  <c r="X29" i="59" s="1"/>
  <c r="Z29" i="59" s="1"/>
  <c r="H29" i="59"/>
  <c r="D29" i="59"/>
  <c r="L29" i="59" s="1"/>
  <c r="B29" i="59"/>
  <c r="Z28" i="59"/>
  <c r="X28" i="59"/>
  <c r="R28" i="59"/>
  <c r="N28" i="59"/>
  <c r="L28" i="59"/>
  <c r="B28" i="59"/>
  <c r="X27" i="59"/>
  <c r="Z27" i="59" s="1"/>
  <c r="V27" i="59"/>
  <c r="R27" i="59"/>
  <c r="L27" i="59"/>
  <c r="N27" i="59" s="1"/>
  <c r="F27" i="59"/>
  <c r="B27" i="59"/>
  <c r="Z26" i="59"/>
  <c r="X26" i="59"/>
  <c r="V26" i="59"/>
  <c r="R26" i="59"/>
  <c r="N26" i="59"/>
  <c r="L26" i="59"/>
  <c r="B26" i="59"/>
  <c r="X25" i="59"/>
  <c r="Z25" i="59" s="1"/>
  <c r="V25" i="59"/>
  <c r="R25" i="59"/>
  <c r="L25" i="59"/>
  <c r="N25" i="59" s="1"/>
  <c r="F25" i="59"/>
  <c r="B25" i="59"/>
  <c r="Z24" i="59"/>
  <c r="X24" i="59"/>
  <c r="R24" i="59"/>
  <c r="N24" i="59"/>
  <c r="L24" i="59"/>
  <c r="B24" i="59"/>
  <c r="X23" i="59"/>
  <c r="Z23" i="59" s="1"/>
  <c r="V23" i="59"/>
  <c r="R23" i="59"/>
  <c r="L23" i="59"/>
  <c r="N23" i="59" s="1"/>
  <c r="F23" i="59"/>
  <c r="B23" i="59"/>
  <c r="Z22" i="59"/>
  <c r="X22" i="59"/>
  <c r="V22" i="59"/>
  <c r="R22" i="59"/>
  <c r="N22" i="59"/>
  <c r="L22" i="59"/>
  <c r="B22" i="59"/>
  <c r="X21" i="59"/>
  <c r="Z21" i="59" s="1"/>
  <c r="V21" i="59"/>
  <c r="R21" i="59"/>
  <c r="L21" i="59"/>
  <c r="N21" i="59" s="1"/>
  <c r="F21" i="59"/>
  <c r="B21" i="59"/>
  <c r="Z20" i="59"/>
  <c r="X20" i="59"/>
  <c r="V20" i="59"/>
  <c r="R20" i="59"/>
  <c r="N20" i="59"/>
  <c r="L20" i="59"/>
  <c r="B20" i="59"/>
  <c r="X19" i="59"/>
  <c r="Z19" i="59" s="1"/>
  <c r="V19" i="59"/>
  <c r="T19" i="59"/>
  <c r="P19" i="59"/>
  <c r="H19" i="59"/>
  <c r="N19" i="59" s="1"/>
  <c r="D19" i="59"/>
  <c r="L19" i="59" s="1"/>
  <c r="B19" i="59"/>
  <c r="Z18" i="59"/>
  <c r="X18" i="59"/>
  <c r="T18" i="59"/>
  <c r="R18" i="59"/>
  <c r="P18" i="59"/>
  <c r="N18" i="59"/>
  <c r="L18" i="59"/>
  <c r="H18" i="59"/>
  <c r="F18" i="59"/>
  <c r="D18" i="59"/>
  <c r="R16" i="59"/>
  <c r="F16" i="59"/>
  <c r="Z14" i="59"/>
  <c r="X14" i="59"/>
  <c r="T14" i="59"/>
  <c r="R14" i="59"/>
  <c r="P14" i="59"/>
  <c r="P16" i="59" s="1"/>
  <c r="N14" i="59"/>
  <c r="L14" i="59"/>
  <c r="H14" i="59"/>
  <c r="F14" i="59"/>
  <c r="D14" i="59"/>
  <c r="Z12" i="59"/>
  <c r="X12" i="59"/>
  <c r="T12" i="59"/>
  <c r="V47" i="59" s="1"/>
  <c r="P12" i="59"/>
  <c r="R48" i="59" s="1"/>
  <c r="H12" i="59"/>
  <c r="J49" i="59" s="1"/>
  <c r="D12" i="59"/>
  <c r="F55" i="59" s="1"/>
  <c r="D6" i="59"/>
  <c r="D4" i="59"/>
  <c r="V72" i="58"/>
  <c r="J72" i="58"/>
  <c r="V69" i="58"/>
  <c r="J69" i="58"/>
  <c r="Z67" i="58"/>
  <c r="X67" i="58"/>
  <c r="V67" i="58"/>
  <c r="N67" i="58"/>
  <c r="L67" i="58"/>
  <c r="V65" i="58"/>
  <c r="Z63" i="58"/>
  <c r="X63" i="58"/>
  <c r="V63" i="58"/>
  <c r="T63" i="58"/>
  <c r="R63" i="58"/>
  <c r="P63" i="58"/>
  <c r="N63" i="58"/>
  <c r="L63" i="58"/>
  <c r="H63" i="58"/>
  <c r="D63" i="58"/>
  <c r="Z61" i="58"/>
  <c r="X61" i="58"/>
  <c r="V61" i="58"/>
  <c r="N61" i="58"/>
  <c r="L61" i="58"/>
  <c r="J61" i="58"/>
  <c r="B61" i="58"/>
  <c r="T60" i="58"/>
  <c r="P60" i="58"/>
  <c r="X60" i="58" s="1"/>
  <c r="L60" i="58"/>
  <c r="H60" i="58"/>
  <c r="D60" i="58"/>
  <c r="B60" i="58"/>
  <c r="X59" i="58"/>
  <c r="Z59" i="58" s="1"/>
  <c r="V59" i="58"/>
  <c r="N59" i="58"/>
  <c r="L59" i="58"/>
  <c r="J59" i="58"/>
  <c r="B59" i="58"/>
  <c r="T58" i="58"/>
  <c r="P58" i="58"/>
  <c r="X58" i="58" s="1"/>
  <c r="Z58" i="58" s="1"/>
  <c r="H58" i="58"/>
  <c r="D58" i="58"/>
  <c r="B58" i="58"/>
  <c r="Z57" i="58"/>
  <c r="X57" i="58"/>
  <c r="N57" i="58"/>
  <c r="L57" i="58"/>
  <c r="J57" i="58"/>
  <c r="B57" i="58"/>
  <c r="X56" i="58"/>
  <c r="Z56" i="58" s="1"/>
  <c r="T56" i="58"/>
  <c r="P56" i="58"/>
  <c r="H56" i="58"/>
  <c r="N56" i="58" s="1"/>
  <c r="D56" i="58"/>
  <c r="L56" i="58" s="1"/>
  <c r="B56" i="58"/>
  <c r="Z55" i="58"/>
  <c r="X55" i="58"/>
  <c r="N55" i="58"/>
  <c r="L55" i="58"/>
  <c r="J55" i="58"/>
  <c r="B55" i="58"/>
  <c r="X54" i="58"/>
  <c r="Z54" i="58" s="1"/>
  <c r="N54" i="58"/>
  <c r="L54" i="58"/>
  <c r="B54" i="58"/>
  <c r="Z53" i="58"/>
  <c r="X53" i="58"/>
  <c r="V53" i="58"/>
  <c r="N53" i="58"/>
  <c r="L53" i="58"/>
  <c r="J53" i="58"/>
  <c r="B53" i="58"/>
  <c r="Z52" i="58"/>
  <c r="X52" i="58"/>
  <c r="R52" i="58"/>
  <c r="N52" i="58"/>
  <c r="L52" i="58"/>
  <c r="F52" i="58"/>
  <c r="B52" i="58"/>
  <c r="Z51" i="58"/>
  <c r="X51" i="58"/>
  <c r="T51" i="58"/>
  <c r="P51" i="58"/>
  <c r="N51" i="58"/>
  <c r="L51" i="58"/>
  <c r="J51" i="58"/>
  <c r="H51" i="58"/>
  <c r="F51" i="58"/>
  <c r="D51" i="58"/>
  <c r="B51" i="58"/>
  <c r="Z50" i="58"/>
  <c r="X50" i="58"/>
  <c r="L50" i="58"/>
  <c r="N50" i="58" s="1"/>
  <c r="B50" i="58"/>
  <c r="Z49" i="58"/>
  <c r="X49" i="58"/>
  <c r="V49" i="58"/>
  <c r="N49" i="58"/>
  <c r="L49" i="58"/>
  <c r="B49" i="58"/>
  <c r="T48" i="58"/>
  <c r="P48" i="58"/>
  <c r="X48" i="58" s="1"/>
  <c r="H48" i="58"/>
  <c r="D48" i="58"/>
  <c r="L48" i="58" s="1"/>
  <c r="N48" i="58" s="1"/>
  <c r="B48" i="58"/>
  <c r="Z47" i="58"/>
  <c r="X47" i="58"/>
  <c r="V47" i="58"/>
  <c r="N47" i="58"/>
  <c r="L47" i="58"/>
  <c r="B47" i="58"/>
  <c r="X46" i="58"/>
  <c r="T46" i="58"/>
  <c r="P46" i="58"/>
  <c r="L46" i="58"/>
  <c r="N46" i="58" s="1"/>
  <c r="H46" i="58"/>
  <c r="D46" i="58"/>
  <c r="B46" i="58"/>
  <c r="Z45" i="58"/>
  <c r="X45" i="58"/>
  <c r="V45" i="58"/>
  <c r="N45" i="58"/>
  <c r="L45" i="58"/>
  <c r="J45" i="58"/>
  <c r="B45" i="58"/>
  <c r="T44" i="58"/>
  <c r="P44" i="58"/>
  <c r="H44" i="58"/>
  <c r="D44" i="58"/>
  <c r="B44" i="58"/>
  <c r="X43" i="58"/>
  <c r="Z43" i="58" s="1"/>
  <c r="V43" i="58"/>
  <c r="N43" i="58"/>
  <c r="L43" i="58"/>
  <c r="J43" i="58"/>
  <c r="B43" i="58"/>
  <c r="T42" i="58"/>
  <c r="P42" i="58"/>
  <c r="X42" i="58" s="1"/>
  <c r="Z42" i="58" s="1"/>
  <c r="H42" i="58"/>
  <c r="D42" i="58"/>
  <c r="L42" i="58" s="1"/>
  <c r="B42" i="58"/>
  <c r="Z41" i="58"/>
  <c r="X41" i="58"/>
  <c r="N41" i="58"/>
  <c r="L41" i="58"/>
  <c r="J41" i="58"/>
  <c r="B41" i="58"/>
  <c r="X40" i="58"/>
  <c r="Z40" i="58" s="1"/>
  <c r="T40" i="58"/>
  <c r="P40" i="58"/>
  <c r="L40" i="58"/>
  <c r="H40" i="58"/>
  <c r="N40" i="58" s="1"/>
  <c r="D40" i="58"/>
  <c r="B40" i="58"/>
  <c r="Z39" i="58"/>
  <c r="X39" i="58"/>
  <c r="N39" i="58"/>
  <c r="L39" i="58"/>
  <c r="J39" i="58"/>
  <c r="B39" i="58"/>
  <c r="X38" i="58"/>
  <c r="T38" i="58"/>
  <c r="P38" i="58"/>
  <c r="H38" i="58"/>
  <c r="D38" i="58"/>
  <c r="B38" i="58"/>
  <c r="Z37" i="58"/>
  <c r="X37" i="58"/>
  <c r="V37" i="58"/>
  <c r="N37" i="58"/>
  <c r="L37" i="58"/>
  <c r="B37" i="58"/>
  <c r="T36" i="58"/>
  <c r="P36" i="58"/>
  <c r="H36" i="58"/>
  <c r="D36" i="58"/>
  <c r="L36" i="58" s="1"/>
  <c r="N36" i="58" s="1"/>
  <c r="B36" i="58"/>
  <c r="Z35" i="58"/>
  <c r="X35" i="58"/>
  <c r="V35" i="58"/>
  <c r="N35" i="58"/>
  <c r="L35" i="58"/>
  <c r="B35" i="58"/>
  <c r="X34" i="58"/>
  <c r="T34" i="58"/>
  <c r="Z34" i="58" s="1"/>
  <c r="P34" i="58"/>
  <c r="L34" i="58"/>
  <c r="N34" i="58" s="1"/>
  <c r="H34" i="58"/>
  <c r="D34" i="58"/>
  <c r="B34" i="58"/>
  <c r="Z33" i="58"/>
  <c r="X33" i="58"/>
  <c r="V33" i="58"/>
  <c r="N33" i="58"/>
  <c r="L33" i="58"/>
  <c r="J33" i="58"/>
  <c r="B33" i="58"/>
  <c r="X32" i="58"/>
  <c r="Z32" i="58" s="1"/>
  <c r="L32" i="58"/>
  <c r="N32" i="58" s="1"/>
  <c r="B32" i="58"/>
  <c r="Z31" i="58"/>
  <c r="X31" i="58"/>
  <c r="N31" i="58"/>
  <c r="L31" i="58"/>
  <c r="J31" i="58"/>
  <c r="B31" i="58"/>
  <c r="X30" i="58"/>
  <c r="Z30" i="58" s="1"/>
  <c r="N30" i="58"/>
  <c r="L30" i="58"/>
  <c r="B30" i="58"/>
  <c r="Z29" i="58"/>
  <c r="X29" i="58"/>
  <c r="V29" i="58"/>
  <c r="T29" i="58"/>
  <c r="R29" i="58"/>
  <c r="P29" i="58"/>
  <c r="N29" i="58"/>
  <c r="L29" i="58"/>
  <c r="H29" i="58"/>
  <c r="D29" i="58"/>
  <c r="B29" i="58"/>
  <c r="X28" i="58"/>
  <c r="Z28" i="58" s="1"/>
  <c r="R28" i="58"/>
  <c r="L28" i="58"/>
  <c r="N28" i="58" s="1"/>
  <c r="B28" i="58"/>
  <c r="X27" i="58"/>
  <c r="Z27" i="58" s="1"/>
  <c r="V27" i="58"/>
  <c r="N27" i="58"/>
  <c r="L27" i="58"/>
  <c r="J27" i="58"/>
  <c r="B27" i="58"/>
  <c r="Z26" i="58"/>
  <c r="X26" i="58"/>
  <c r="L26" i="58"/>
  <c r="N26" i="58" s="1"/>
  <c r="J26" i="58"/>
  <c r="B26" i="58"/>
  <c r="Z25" i="58"/>
  <c r="X25" i="58"/>
  <c r="V25" i="58"/>
  <c r="N25" i="58"/>
  <c r="L25" i="58"/>
  <c r="B25" i="58"/>
  <c r="X24" i="58"/>
  <c r="Z24" i="58" s="1"/>
  <c r="L24" i="58"/>
  <c r="N24" i="58" s="1"/>
  <c r="J24" i="58"/>
  <c r="B24" i="58"/>
  <c r="X23" i="58"/>
  <c r="Z23" i="58" s="1"/>
  <c r="V23" i="58"/>
  <c r="N23" i="58"/>
  <c r="L23" i="58"/>
  <c r="J23" i="58"/>
  <c r="B23" i="58"/>
  <c r="Z22" i="58"/>
  <c r="X22" i="58"/>
  <c r="L22" i="58"/>
  <c r="N22" i="58" s="1"/>
  <c r="J22" i="58"/>
  <c r="B22" i="58"/>
  <c r="Z21" i="58"/>
  <c r="X21" i="58"/>
  <c r="V21" i="58"/>
  <c r="N21" i="58"/>
  <c r="L21" i="58"/>
  <c r="B21" i="58"/>
  <c r="X20" i="58"/>
  <c r="Z20" i="58" s="1"/>
  <c r="L20" i="58"/>
  <c r="N20" i="58" s="1"/>
  <c r="J20" i="58"/>
  <c r="B20" i="58"/>
  <c r="V19" i="58"/>
  <c r="T19" i="58"/>
  <c r="R19" i="58"/>
  <c r="P19" i="58"/>
  <c r="N19" i="58"/>
  <c r="J19" i="58"/>
  <c r="H19" i="58"/>
  <c r="L19" i="58" s="1"/>
  <c r="D19" i="58"/>
  <c r="B19" i="58"/>
  <c r="T18" i="58"/>
  <c r="P18" i="58"/>
  <c r="L18" i="58"/>
  <c r="J18" i="58"/>
  <c r="H18" i="58"/>
  <c r="D18" i="58"/>
  <c r="T16" i="58"/>
  <c r="J16" i="58"/>
  <c r="T14" i="58"/>
  <c r="Z14" i="58" s="1"/>
  <c r="P14" i="58"/>
  <c r="L14" i="58"/>
  <c r="J14" i="58"/>
  <c r="H14" i="58"/>
  <c r="H16" i="58" s="1"/>
  <c r="D14" i="58"/>
  <c r="X12" i="58"/>
  <c r="T12" i="58"/>
  <c r="V56" i="58" s="1"/>
  <c r="P12" i="58"/>
  <c r="R65" i="58" s="1"/>
  <c r="L12" i="58"/>
  <c r="H12" i="58"/>
  <c r="J46" i="58" s="1"/>
  <c r="D12" i="58"/>
  <c r="F32" i="58" s="1"/>
  <c r="D6" i="58"/>
  <c r="D4" i="58"/>
  <c r="Z60" i="57"/>
  <c r="X60" i="57"/>
  <c r="R60" i="57"/>
  <c r="N60" i="57"/>
  <c r="L60" i="57"/>
  <c r="F60" i="57"/>
  <c r="H58" i="57"/>
  <c r="X56" i="57"/>
  <c r="T56" i="57"/>
  <c r="Z56" i="57" s="1"/>
  <c r="P56" i="57"/>
  <c r="H56" i="57"/>
  <c r="N56" i="57" s="1"/>
  <c r="D56" i="57"/>
  <c r="Z54" i="57"/>
  <c r="X54" i="57"/>
  <c r="N54" i="57"/>
  <c r="L54" i="57"/>
  <c r="F54" i="57"/>
  <c r="B54" i="57"/>
  <c r="Z53" i="57"/>
  <c r="V53" i="57"/>
  <c r="T53" i="57"/>
  <c r="R53" i="57"/>
  <c r="P53" i="57"/>
  <c r="X53" i="57" s="1"/>
  <c r="N53" i="57"/>
  <c r="H53" i="57"/>
  <c r="F53" i="57"/>
  <c r="D53" i="57"/>
  <c r="L53" i="57" s="1"/>
  <c r="B53" i="57"/>
  <c r="X52" i="57"/>
  <c r="Z52" i="57" s="1"/>
  <c r="R52" i="57"/>
  <c r="L52" i="57"/>
  <c r="N52" i="57" s="1"/>
  <c r="B52" i="57"/>
  <c r="Z51" i="57"/>
  <c r="X51" i="57"/>
  <c r="V51" i="57"/>
  <c r="T51" i="57"/>
  <c r="R51" i="57"/>
  <c r="P51" i="57"/>
  <c r="N51" i="57"/>
  <c r="L51" i="57"/>
  <c r="H51" i="57"/>
  <c r="D51" i="57"/>
  <c r="B51" i="57"/>
  <c r="X50" i="57"/>
  <c r="Z50" i="57" s="1"/>
  <c r="R50" i="57"/>
  <c r="L50" i="57"/>
  <c r="N50" i="57" s="1"/>
  <c r="B50" i="57"/>
  <c r="Z49" i="57"/>
  <c r="X49" i="57"/>
  <c r="V49" i="57"/>
  <c r="N49" i="57"/>
  <c r="L49" i="57"/>
  <c r="J49" i="57"/>
  <c r="B49" i="57"/>
  <c r="T48" i="57"/>
  <c r="P48" i="57"/>
  <c r="X48" i="57" s="1"/>
  <c r="H48" i="57"/>
  <c r="D48" i="57"/>
  <c r="L48" i="57" s="1"/>
  <c r="B48" i="57"/>
  <c r="Z47" i="57"/>
  <c r="X47" i="57"/>
  <c r="N47" i="57"/>
  <c r="L47" i="57"/>
  <c r="J47" i="57"/>
  <c r="B47" i="57"/>
  <c r="X46" i="57"/>
  <c r="T46" i="57"/>
  <c r="Z46" i="57" s="1"/>
  <c r="P46" i="57"/>
  <c r="H46" i="57"/>
  <c r="D46" i="57"/>
  <c r="B46" i="57"/>
  <c r="Z45" i="57"/>
  <c r="X45" i="57"/>
  <c r="N45" i="57"/>
  <c r="L45" i="57"/>
  <c r="J45" i="57"/>
  <c r="B45" i="57"/>
  <c r="Z44" i="57"/>
  <c r="X44" i="57"/>
  <c r="R44" i="57"/>
  <c r="N44" i="57"/>
  <c r="L44" i="57"/>
  <c r="B44" i="57"/>
  <c r="Z43" i="57"/>
  <c r="X43" i="57"/>
  <c r="V43" i="57"/>
  <c r="T43" i="57"/>
  <c r="R43" i="57"/>
  <c r="P43" i="57"/>
  <c r="N43" i="57"/>
  <c r="L43" i="57"/>
  <c r="H43" i="57"/>
  <c r="D43" i="57"/>
  <c r="B43" i="57"/>
  <c r="X42" i="57"/>
  <c r="Z42" i="57" s="1"/>
  <c r="R42" i="57"/>
  <c r="L42" i="57"/>
  <c r="N42" i="57" s="1"/>
  <c r="B42" i="57"/>
  <c r="V41" i="57"/>
  <c r="T41" i="57"/>
  <c r="X41" i="57" s="1"/>
  <c r="Z41" i="57" s="1"/>
  <c r="R41" i="57"/>
  <c r="P41" i="57"/>
  <c r="J41" i="57"/>
  <c r="H41" i="57"/>
  <c r="L41" i="57" s="1"/>
  <c r="N41" i="57" s="1"/>
  <c r="D41" i="57"/>
  <c r="B41" i="57"/>
  <c r="X40" i="57"/>
  <c r="Z40" i="57" s="1"/>
  <c r="R40" i="57"/>
  <c r="L40" i="57"/>
  <c r="N40" i="57" s="1"/>
  <c r="F40" i="57"/>
  <c r="B40" i="57"/>
  <c r="T39" i="57"/>
  <c r="R39" i="57"/>
  <c r="P39" i="57"/>
  <c r="X39" i="57" s="1"/>
  <c r="Z39" i="57" s="1"/>
  <c r="J39" i="57"/>
  <c r="H39" i="57"/>
  <c r="F39" i="57"/>
  <c r="D39" i="57"/>
  <c r="L39" i="57" s="1"/>
  <c r="N39" i="57" s="1"/>
  <c r="B39" i="57"/>
  <c r="X38" i="57"/>
  <c r="Z38" i="57" s="1"/>
  <c r="R38" i="57"/>
  <c r="L38" i="57"/>
  <c r="N38" i="57" s="1"/>
  <c r="B38" i="57"/>
  <c r="Z37" i="57"/>
  <c r="X37" i="57"/>
  <c r="T37" i="57"/>
  <c r="P37" i="57"/>
  <c r="N37" i="57"/>
  <c r="L37" i="57"/>
  <c r="J37" i="57"/>
  <c r="H37" i="57"/>
  <c r="F37" i="57"/>
  <c r="D37" i="57"/>
  <c r="B37" i="57"/>
  <c r="X36" i="57"/>
  <c r="Z36" i="57" s="1"/>
  <c r="L36" i="57"/>
  <c r="N36" i="57" s="1"/>
  <c r="B36" i="57"/>
  <c r="V35" i="57"/>
  <c r="T35" i="57"/>
  <c r="X35" i="57" s="1"/>
  <c r="Z35" i="57" s="1"/>
  <c r="P35" i="57"/>
  <c r="J35" i="57"/>
  <c r="H35" i="57"/>
  <c r="L35" i="57" s="1"/>
  <c r="N35" i="57" s="1"/>
  <c r="F35" i="57"/>
  <c r="D35" i="57"/>
  <c r="B35" i="57"/>
  <c r="X34" i="57"/>
  <c r="Z34" i="57" s="1"/>
  <c r="L34" i="57"/>
  <c r="N34" i="57" s="1"/>
  <c r="F34" i="57"/>
  <c r="B34" i="57"/>
  <c r="V33" i="57"/>
  <c r="T33" i="57"/>
  <c r="R33" i="57"/>
  <c r="P33" i="57"/>
  <c r="X33" i="57" s="1"/>
  <c r="Z33" i="57" s="1"/>
  <c r="H33" i="57"/>
  <c r="D33" i="57"/>
  <c r="L33" i="57" s="1"/>
  <c r="N33" i="57" s="1"/>
  <c r="B33" i="57"/>
  <c r="X32" i="57"/>
  <c r="Z32" i="57" s="1"/>
  <c r="R32" i="57"/>
  <c r="L32" i="57"/>
  <c r="N32" i="57" s="1"/>
  <c r="B32" i="57"/>
  <c r="Z31" i="57"/>
  <c r="X31" i="57"/>
  <c r="V31" i="57"/>
  <c r="N31" i="57"/>
  <c r="L31" i="57"/>
  <c r="J31" i="57"/>
  <c r="B31" i="57"/>
  <c r="X30" i="57"/>
  <c r="Z30" i="57" s="1"/>
  <c r="R30" i="57"/>
  <c r="L30" i="57"/>
  <c r="N30" i="57" s="1"/>
  <c r="B30" i="57"/>
  <c r="Z29" i="57"/>
  <c r="X29" i="57"/>
  <c r="N29" i="57"/>
  <c r="L29" i="57"/>
  <c r="J29" i="57"/>
  <c r="B29" i="57"/>
  <c r="X28" i="57"/>
  <c r="T28" i="57"/>
  <c r="P28" i="57"/>
  <c r="H28" i="57"/>
  <c r="D28" i="57"/>
  <c r="B28" i="57"/>
  <c r="Z27" i="57"/>
  <c r="X27" i="57"/>
  <c r="V27" i="57"/>
  <c r="N27" i="57"/>
  <c r="L27" i="57"/>
  <c r="B27" i="57"/>
  <c r="X26" i="57"/>
  <c r="Z26" i="57" s="1"/>
  <c r="R26" i="57"/>
  <c r="L26" i="57"/>
  <c r="N26" i="57" s="1"/>
  <c r="B26" i="57"/>
  <c r="Z25" i="57"/>
  <c r="X25" i="57"/>
  <c r="V25" i="57"/>
  <c r="N25" i="57"/>
  <c r="L25" i="57"/>
  <c r="J25" i="57"/>
  <c r="B25" i="57"/>
  <c r="X24" i="57"/>
  <c r="Z24" i="57" s="1"/>
  <c r="L24" i="57"/>
  <c r="N24" i="57" s="1"/>
  <c r="B24" i="57"/>
  <c r="Z23" i="57"/>
  <c r="X23" i="57"/>
  <c r="V23" i="57"/>
  <c r="N23" i="57"/>
  <c r="L23" i="57"/>
  <c r="B23" i="57"/>
  <c r="X22" i="57"/>
  <c r="Z22" i="57" s="1"/>
  <c r="R22" i="57"/>
  <c r="L22" i="57"/>
  <c r="N22" i="57" s="1"/>
  <c r="B22" i="57"/>
  <c r="Z21" i="57"/>
  <c r="X21" i="57"/>
  <c r="V21" i="57"/>
  <c r="N21" i="57"/>
  <c r="L21" i="57"/>
  <c r="J21" i="57"/>
  <c r="B21" i="57"/>
  <c r="X20" i="57"/>
  <c r="Z20" i="57" s="1"/>
  <c r="L20" i="57"/>
  <c r="N20" i="57" s="1"/>
  <c r="F20" i="57"/>
  <c r="B20" i="57"/>
  <c r="Z19" i="57"/>
  <c r="V19" i="57"/>
  <c r="T19" i="57"/>
  <c r="X19" i="57" s="1"/>
  <c r="P19" i="57"/>
  <c r="J19" i="57"/>
  <c r="H19" i="57"/>
  <c r="L19" i="57" s="1"/>
  <c r="N19" i="57" s="1"/>
  <c r="F19" i="57"/>
  <c r="D19" i="57"/>
  <c r="B19" i="57"/>
  <c r="X18" i="57"/>
  <c r="T18" i="57"/>
  <c r="Z18" i="57" s="1"/>
  <c r="P18" i="57"/>
  <c r="J18" i="57"/>
  <c r="H18" i="57"/>
  <c r="D18" i="57"/>
  <c r="L18" i="57" s="1"/>
  <c r="J16" i="57"/>
  <c r="H16" i="57"/>
  <c r="N16" i="57" s="1"/>
  <c r="X14" i="57"/>
  <c r="T14" i="57"/>
  <c r="T16" i="57" s="1"/>
  <c r="P14" i="57"/>
  <c r="J14" i="57"/>
  <c r="H14" i="57"/>
  <c r="N14" i="57" s="1"/>
  <c r="D14" i="57"/>
  <c r="L14" i="57" s="1"/>
  <c r="X12" i="57"/>
  <c r="T12" i="57"/>
  <c r="V58" i="57" s="1"/>
  <c r="P12" i="57"/>
  <c r="R28" i="57" s="1"/>
  <c r="H12" i="57"/>
  <c r="J50" i="57" s="1"/>
  <c r="D12" i="57"/>
  <c r="D6" i="57"/>
  <c r="D4" i="57"/>
  <c r="Z65" i="56"/>
  <c r="X65" i="56"/>
  <c r="R65" i="56"/>
  <c r="N65" i="56"/>
  <c r="L65" i="56"/>
  <c r="T61" i="56"/>
  <c r="Z61" i="56" s="1"/>
  <c r="P61" i="56"/>
  <c r="X61" i="56" s="1"/>
  <c r="L61" i="56"/>
  <c r="H61" i="56"/>
  <c r="N61" i="56" s="1"/>
  <c r="D61" i="56"/>
  <c r="X59" i="56"/>
  <c r="Z59" i="56" s="1"/>
  <c r="L59" i="56"/>
  <c r="N59" i="56" s="1"/>
  <c r="F59" i="56"/>
  <c r="B59" i="56"/>
  <c r="T58" i="56"/>
  <c r="P58" i="56"/>
  <c r="X58" i="56" s="1"/>
  <c r="Z58" i="56" s="1"/>
  <c r="H58" i="56"/>
  <c r="F58" i="56"/>
  <c r="D58" i="56"/>
  <c r="L58" i="56" s="1"/>
  <c r="N58" i="56" s="1"/>
  <c r="B58" i="56"/>
  <c r="X57" i="56"/>
  <c r="Z57" i="56" s="1"/>
  <c r="L57" i="56"/>
  <c r="N57" i="56" s="1"/>
  <c r="F57" i="56"/>
  <c r="B57" i="56"/>
  <c r="Z56" i="56"/>
  <c r="X56" i="56"/>
  <c r="T56" i="56"/>
  <c r="P56" i="56"/>
  <c r="N56" i="56"/>
  <c r="L56" i="56"/>
  <c r="H56" i="56"/>
  <c r="F56" i="56"/>
  <c r="D56" i="56"/>
  <c r="B56" i="56"/>
  <c r="X55" i="56"/>
  <c r="Z55" i="56" s="1"/>
  <c r="L55" i="56"/>
  <c r="N55" i="56" s="1"/>
  <c r="F55" i="56"/>
  <c r="B55" i="56"/>
  <c r="Z54" i="56"/>
  <c r="X54" i="56"/>
  <c r="V54" i="56"/>
  <c r="N54" i="56"/>
  <c r="L54" i="56"/>
  <c r="B54" i="56"/>
  <c r="Z53" i="56"/>
  <c r="X53" i="56"/>
  <c r="N53" i="56"/>
  <c r="L53" i="56"/>
  <c r="B53" i="56"/>
  <c r="T52" i="56"/>
  <c r="X52" i="56" s="1"/>
  <c r="Z52" i="56" s="1"/>
  <c r="R52" i="56"/>
  <c r="P52" i="56"/>
  <c r="N52" i="56"/>
  <c r="H52" i="56"/>
  <c r="L52" i="56" s="1"/>
  <c r="D52" i="56"/>
  <c r="B52" i="56"/>
  <c r="X51" i="56"/>
  <c r="Z51" i="56" s="1"/>
  <c r="R51" i="56"/>
  <c r="L51" i="56"/>
  <c r="N51" i="56" s="1"/>
  <c r="F51" i="56"/>
  <c r="B51" i="56"/>
  <c r="T50" i="56"/>
  <c r="P50" i="56"/>
  <c r="X50" i="56" s="1"/>
  <c r="Z50" i="56" s="1"/>
  <c r="H50" i="56"/>
  <c r="F50" i="56"/>
  <c r="D50" i="56"/>
  <c r="L50" i="56" s="1"/>
  <c r="N50" i="56" s="1"/>
  <c r="B50" i="56"/>
  <c r="X49" i="56"/>
  <c r="Z49" i="56" s="1"/>
  <c r="L49" i="56"/>
  <c r="N49" i="56" s="1"/>
  <c r="F49" i="56"/>
  <c r="B49" i="56"/>
  <c r="Z48" i="56"/>
  <c r="X48" i="56"/>
  <c r="N48" i="56"/>
  <c r="L48" i="56"/>
  <c r="B48" i="56"/>
  <c r="X47" i="56"/>
  <c r="T47" i="56"/>
  <c r="P47" i="56"/>
  <c r="H47" i="56"/>
  <c r="D47" i="56"/>
  <c r="B47" i="56"/>
  <c r="Z46" i="56"/>
  <c r="X46" i="56"/>
  <c r="N46" i="56"/>
  <c r="L46" i="56"/>
  <c r="B46" i="56"/>
  <c r="X45" i="56"/>
  <c r="Z45" i="56" s="1"/>
  <c r="R45" i="56"/>
  <c r="L45" i="56"/>
  <c r="N45" i="56" s="1"/>
  <c r="B45" i="56"/>
  <c r="V44" i="56"/>
  <c r="T44" i="56"/>
  <c r="X44" i="56" s="1"/>
  <c r="Z44" i="56" s="1"/>
  <c r="R44" i="56"/>
  <c r="P44" i="56"/>
  <c r="N44" i="56"/>
  <c r="H44" i="56"/>
  <c r="L44" i="56" s="1"/>
  <c r="D44" i="56"/>
  <c r="B44" i="56"/>
  <c r="X43" i="56"/>
  <c r="Z43" i="56" s="1"/>
  <c r="L43" i="56"/>
  <c r="N43" i="56" s="1"/>
  <c r="F43" i="56"/>
  <c r="B43" i="56"/>
  <c r="T42" i="56"/>
  <c r="P42" i="56"/>
  <c r="X42" i="56" s="1"/>
  <c r="Z42" i="56" s="1"/>
  <c r="N42" i="56"/>
  <c r="H42" i="56"/>
  <c r="F42" i="56"/>
  <c r="D42" i="56"/>
  <c r="L42" i="56" s="1"/>
  <c r="B42" i="56"/>
  <c r="X41" i="56"/>
  <c r="Z41" i="56" s="1"/>
  <c r="R41" i="56"/>
  <c r="L41" i="56"/>
  <c r="N41" i="56" s="1"/>
  <c r="F41" i="56"/>
  <c r="B41" i="56"/>
  <c r="Z40" i="56"/>
  <c r="X40" i="56"/>
  <c r="T40" i="56"/>
  <c r="P40" i="56"/>
  <c r="N40" i="56"/>
  <c r="H40" i="56"/>
  <c r="F40" i="56"/>
  <c r="D40" i="56"/>
  <c r="L40" i="56" s="1"/>
  <c r="B40" i="56"/>
  <c r="X39" i="56"/>
  <c r="Z39" i="56" s="1"/>
  <c r="L39" i="56"/>
  <c r="N39" i="56" s="1"/>
  <c r="F39" i="56"/>
  <c r="B39" i="56"/>
  <c r="Z38" i="56"/>
  <c r="X38" i="56"/>
  <c r="T38" i="56"/>
  <c r="R38" i="56"/>
  <c r="P38" i="56"/>
  <c r="H38" i="56"/>
  <c r="L38" i="56" s="1"/>
  <c r="N38" i="56" s="1"/>
  <c r="F38" i="56"/>
  <c r="D38" i="56"/>
  <c r="B38" i="56"/>
  <c r="X37" i="56"/>
  <c r="Z37" i="56" s="1"/>
  <c r="R37" i="56"/>
  <c r="L37" i="56"/>
  <c r="N37" i="56" s="1"/>
  <c r="F37" i="56"/>
  <c r="B37" i="56"/>
  <c r="Z36" i="56"/>
  <c r="V36" i="56"/>
  <c r="T36" i="56"/>
  <c r="R36" i="56"/>
  <c r="P36" i="56"/>
  <c r="X36" i="56" s="1"/>
  <c r="H36" i="56"/>
  <c r="F36" i="56"/>
  <c r="D36" i="56"/>
  <c r="L36" i="56" s="1"/>
  <c r="N36" i="56" s="1"/>
  <c r="B36" i="56"/>
  <c r="X35" i="56"/>
  <c r="Z35" i="56" s="1"/>
  <c r="L35" i="56"/>
  <c r="N35" i="56" s="1"/>
  <c r="B35" i="56"/>
  <c r="T34" i="56"/>
  <c r="R34" i="56"/>
  <c r="P34" i="56"/>
  <c r="X34" i="56" s="1"/>
  <c r="Z34" i="56" s="1"/>
  <c r="N34" i="56"/>
  <c r="L34" i="56"/>
  <c r="H34" i="56"/>
  <c r="D34" i="56"/>
  <c r="B34" i="56"/>
  <c r="X33" i="56"/>
  <c r="Z33" i="56" s="1"/>
  <c r="L33" i="56"/>
  <c r="N33" i="56" s="1"/>
  <c r="F33" i="56"/>
  <c r="B33" i="56"/>
  <c r="V32" i="56"/>
  <c r="T32" i="56"/>
  <c r="X32" i="56" s="1"/>
  <c r="Z32" i="56" s="1"/>
  <c r="R32" i="56"/>
  <c r="P32" i="56"/>
  <c r="N32" i="56"/>
  <c r="L32" i="56"/>
  <c r="J32" i="56"/>
  <c r="H32" i="56"/>
  <c r="F32" i="56"/>
  <c r="D32" i="56"/>
  <c r="B32" i="56"/>
  <c r="X31" i="56"/>
  <c r="Z31" i="56" s="1"/>
  <c r="R31" i="56"/>
  <c r="L31" i="56"/>
  <c r="N31" i="56" s="1"/>
  <c r="F31" i="56"/>
  <c r="B31" i="56"/>
  <c r="Z30" i="56"/>
  <c r="X30" i="56"/>
  <c r="N30" i="56"/>
  <c r="L30" i="56"/>
  <c r="B30" i="56"/>
  <c r="X29" i="56"/>
  <c r="Z29" i="56" s="1"/>
  <c r="R29" i="56"/>
  <c r="L29" i="56"/>
  <c r="N29" i="56" s="1"/>
  <c r="F29" i="56"/>
  <c r="B29" i="56"/>
  <c r="T28" i="56"/>
  <c r="R28" i="56"/>
  <c r="P28" i="56"/>
  <c r="X28" i="56" s="1"/>
  <c r="Z28" i="56" s="1"/>
  <c r="H28" i="56"/>
  <c r="F28" i="56"/>
  <c r="D28" i="56"/>
  <c r="L28" i="56" s="1"/>
  <c r="N28" i="56" s="1"/>
  <c r="B28" i="56"/>
  <c r="X27" i="56"/>
  <c r="Z27" i="56" s="1"/>
  <c r="R27" i="56"/>
  <c r="L27" i="56"/>
  <c r="N27" i="56" s="1"/>
  <c r="B27" i="56"/>
  <c r="Z26" i="56"/>
  <c r="X26" i="56"/>
  <c r="V26" i="56"/>
  <c r="N26" i="56"/>
  <c r="L26" i="56"/>
  <c r="B26" i="56"/>
  <c r="X25" i="56"/>
  <c r="Z25" i="56" s="1"/>
  <c r="L25" i="56"/>
  <c r="N25" i="56" s="1"/>
  <c r="F25" i="56"/>
  <c r="B25" i="56"/>
  <c r="Z24" i="56"/>
  <c r="X24" i="56"/>
  <c r="V24" i="56"/>
  <c r="N24" i="56"/>
  <c r="L24" i="56"/>
  <c r="B24" i="56"/>
  <c r="X23" i="56"/>
  <c r="Z23" i="56" s="1"/>
  <c r="L23" i="56"/>
  <c r="N23" i="56" s="1"/>
  <c r="F23" i="56"/>
  <c r="B23" i="56"/>
  <c r="Z22" i="56"/>
  <c r="X22" i="56"/>
  <c r="V22" i="56"/>
  <c r="N22" i="56"/>
  <c r="L22" i="56"/>
  <c r="B22" i="56"/>
  <c r="X21" i="56"/>
  <c r="Z21" i="56" s="1"/>
  <c r="L21" i="56"/>
  <c r="N21" i="56" s="1"/>
  <c r="F21" i="56"/>
  <c r="B21" i="56"/>
  <c r="Z20" i="56"/>
  <c r="X20" i="56"/>
  <c r="V20" i="56"/>
  <c r="N20" i="56"/>
  <c r="L20" i="56"/>
  <c r="B20" i="56"/>
  <c r="T19" i="56"/>
  <c r="P19" i="56"/>
  <c r="X19" i="56" s="1"/>
  <c r="L19" i="56"/>
  <c r="H19" i="56"/>
  <c r="D19" i="56"/>
  <c r="B19" i="56"/>
  <c r="Z18" i="56"/>
  <c r="X18" i="56"/>
  <c r="T18" i="56"/>
  <c r="R18" i="56"/>
  <c r="P18" i="56"/>
  <c r="H18" i="56"/>
  <c r="L18" i="56" s="1"/>
  <c r="N18" i="56" s="1"/>
  <c r="F18" i="56"/>
  <c r="D18" i="56"/>
  <c r="F16" i="56"/>
  <c r="T14" i="56"/>
  <c r="R14" i="56"/>
  <c r="P14" i="56"/>
  <c r="N14" i="56"/>
  <c r="H14" i="56"/>
  <c r="L14" i="56" s="1"/>
  <c r="F14" i="56"/>
  <c r="D14" i="56"/>
  <c r="Z12" i="56"/>
  <c r="X12" i="56"/>
  <c r="T12" i="56"/>
  <c r="V52" i="56" s="1"/>
  <c r="P12" i="56"/>
  <c r="H12" i="56"/>
  <c r="D12" i="56"/>
  <c r="F26" i="56" s="1"/>
  <c r="D6" i="56"/>
  <c r="D4" i="56"/>
  <c r="F35" i="55"/>
  <c r="J32" i="55"/>
  <c r="F32" i="55"/>
  <c r="Z30" i="55"/>
  <c r="X30" i="55"/>
  <c r="V30" i="55"/>
  <c r="N30" i="55"/>
  <c r="L30" i="55"/>
  <c r="J28" i="55"/>
  <c r="H28" i="55"/>
  <c r="F28" i="55"/>
  <c r="Z26" i="55"/>
  <c r="T26" i="55"/>
  <c r="X26" i="55" s="1"/>
  <c r="P26" i="55"/>
  <c r="N26" i="55"/>
  <c r="L26" i="55"/>
  <c r="H26" i="55"/>
  <c r="F26" i="55"/>
  <c r="D26" i="55"/>
  <c r="X24" i="55"/>
  <c r="Z24" i="55" s="1"/>
  <c r="N24" i="55"/>
  <c r="L24" i="55"/>
  <c r="J24" i="55"/>
  <c r="F24" i="55"/>
  <c r="B24" i="55"/>
  <c r="X23" i="55"/>
  <c r="T23" i="55"/>
  <c r="P23" i="55"/>
  <c r="H23" i="55"/>
  <c r="D23" i="55"/>
  <c r="L23" i="55" s="1"/>
  <c r="B23" i="55"/>
  <c r="Z22" i="55"/>
  <c r="X22" i="55"/>
  <c r="L22" i="55"/>
  <c r="N22" i="55" s="1"/>
  <c r="B22" i="55"/>
  <c r="T21" i="55"/>
  <c r="Z21" i="55" s="1"/>
  <c r="P21" i="55"/>
  <c r="X21" i="55" s="1"/>
  <c r="L21" i="55"/>
  <c r="J21" i="55"/>
  <c r="H21" i="55"/>
  <c r="N21" i="55" s="1"/>
  <c r="D21" i="55"/>
  <c r="B21" i="55"/>
  <c r="X20" i="55"/>
  <c r="Z20" i="55" s="1"/>
  <c r="L20" i="55"/>
  <c r="N20" i="55" s="1"/>
  <c r="F20" i="55"/>
  <c r="B20" i="55"/>
  <c r="X19" i="55"/>
  <c r="T19" i="55"/>
  <c r="P19" i="55"/>
  <c r="H19" i="55"/>
  <c r="F19" i="55"/>
  <c r="D19" i="55"/>
  <c r="B19" i="55"/>
  <c r="Z18" i="55"/>
  <c r="X18" i="55"/>
  <c r="T18" i="55"/>
  <c r="P18" i="55"/>
  <c r="J18" i="55"/>
  <c r="H18" i="55"/>
  <c r="F18" i="55"/>
  <c r="D18" i="55"/>
  <c r="H16" i="55"/>
  <c r="N16" i="55" s="1"/>
  <c r="F16" i="55"/>
  <c r="V14" i="55"/>
  <c r="T14" i="55"/>
  <c r="P14" i="55"/>
  <c r="N14" i="55"/>
  <c r="L14" i="55"/>
  <c r="J14" i="55"/>
  <c r="H14" i="55"/>
  <c r="F14" i="55"/>
  <c r="D14" i="55"/>
  <c r="T12" i="55"/>
  <c r="P12" i="55"/>
  <c r="H12" i="55"/>
  <c r="J23" i="55" s="1"/>
  <c r="D12" i="55"/>
  <c r="F23" i="55" s="1"/>
  <c r="D6" i="55"/>
  <c r="D4" i="55"/>
  <c r="V31" i="54"/>
  <c r="J31" i="54"/>
  <c r="F31" i="54"/>
  <c r="T29" i="54"/>
  <c r="R29" i="54"/>
  <c r="P29" i="54"/>
  <c r="J29" i="54"/>
  <c r="H29" i="54"/>
  <c r="F29" i="54"/>
  <c r="D29" i="54"/>
  <c r="V28" i="54"/>
  <c r="T28" i="54"/>
  <c r="R28" i="54"/>
  <c r="P28" i="54"/>
  <c r="X28" i="54" s="1"/>
  <c r="Z28" i="54" s="1"/>
  <c r="J28" i="54"/>
  <c r="H28" i="54"/>
  <c r="F28" i="54"/>
  <c r="D28" i="54"/>
  <c r="V26" i="54"/>
  <c r="R26" i="54"/>
  <c r="J26" i="54"/>
  <c r="F26" i="54"/>
  <c r="Z24" i="54"/>
  <c r="X24" i="54"/>
  <c r="V24" i="54"/>
  <c r="N24" i="54"/>
  <c r="L24" i="54"/>
  <c r="F24" i="54"/>
  <c r="J22" i="54"/>
  <c r="F22" i="54"/>
  <c r="Z20" i="54"/>
  <c r="X20" i="54"/>
  <c r="T20" i="54"/>
  <c r="P20" i="54"/>
  <c r="J20" i="54"/>
  <c r="H20" i="54"/>
  <c r="N20" i="54" s="1"/>
  <c r="F20" i="54"/>
  <c r="D20" i="54"/>
  <c r="L20" i="54" s="1"/>
  <c r="Z18" i="54"/>
  <c r="X18" i="54"/>
  <c r="T18" i="54"/>
  <c r="P18" i="54"/>
  <c r="J18" i="54"/>
  <c r="H18" i="54"/>
  <c r="N18" i="54" s="1"/>
  <c r="F18" i="54"/>
  <c r="D18" i="54"/>
  <c r="J16" i="54"/>
  <c r="H16" i="54"/>
  <c r="F16" i="54"/>
  <c r="Z14" i="54"/>
  <c r="X14" i="54"/>
  <c r="T14" i="54"/>
  <c r="T16" i="54" s="1"/>
  <c r="P14" i="54"/>
  <c r="J14" i="54"/>
  <c r="H14" i="54"/>
  <c r="N14" i="54" s="1"/>
  <c r="F14" i="54"/>
  <c r="D14" i="54"/>
  <c r="L14" i="54" s="1"/>
  <c r="Z12" i="54"/>
  <c r="X12" i="54"/>
  <c r="T12" i="54"/>
  <c r="V22" i="54" s="1"/>
  <c r="P12" i="54"/>
  <c r="R22" i="54" s="1"/>
  <c r="H12" i="54"/>
  <c r="N12" i="54" s="1"/>
  <c r="D12" i="54"/>
  <c r="D6" i="54"/>
  <c r="D4" i="54"/>
  <c r="Z92" i="51"/>
  <c r="X92" i="51"/>
  <c r="L92" i="51"/>
  <c r="N92" i="51" s="1"/>
  <c r="T88" i="51"/>
  <c r="P88" i="51"/>
  <c r="X88" i="51" s="1"/>
  <c r="Z88" i="51" s="1"/>
  <c r="L88" i="51"/>
  <c r="H88" i="51"/>
  <c r="N88" i="51" s="1"/>
  <c r="D88" i="51"/>
  <c r="B88" i="51"/>
  <c r="Z87" i="51"/>
  <c r="T87" i="51"/>
  <c r="X87" i="51" s="1"/>
  <c r="P87" i="51"/>
  <c r="H87" i="51"/>
  <c r="D87" i="51"/>
  <c r="L87" i="51" s="1"/>
  <c r="B87" i="51"/>
  <c r="T86" i="51"/>
  <c r="P86" i="51"/>
  <c r="P85" i="51" s="1"/>
  <c r="H86" i="51"/>
  <c r="D86" i="51"/>
  <c r="B86" i="51"/>
  <c r="H85" i="51"/>
  <c r="X83" i="51"/>
  <c r="Z83" i="51" s="1"/>
  <c r="N83" i="51"/>
  <c r="L83" i="51"/>
  <c r="B83" i="51"/>
  <c r="X82" i="51"/>
  <c r="Z82" i="51" s="1"/>
  <c r="T82" i="51"/>
  <c r="P82" i="51"/>
  <c r="L82" i="51"/>
  <c r="H82" i="51"/>
  <c r="N82" i="51" s="1"/>
  <c r="D82" i="51"/>
  <c r="B82" i="51"/>
  <c r="Z81" i="51"/>
  <c r="X81" i="51"/>
  <c r="N81" i="51"/>
  <c r="L81" i="51"/>
  <c r="B81" i="51"/>
  <c r="Z80" i="51"/>
  <c r="X80" i="51"/>
  <c r="N80" i="51"/>
  <c r="L80" i="51"/>
  <c r="B80" i="51"/>
  <c r="Z79" i="51"/>
  <c r="X79" i="51"/>
  <c r="N79" i="51"/>
  <c r="L79" i="51"/>
  <c r="B79" i="51"/>
  <c r="Z78" i="51"/>
  <c r="X78" i="51"/>
  <c r="T78" i="51"/>
  <c r="P78" i="51"/>
  <c r="H78" i="51"/>
  <c r="D78" i="51"/>
  <c r="B78" i="51"/>
  <c r="Z77" i="51"/>
  <c r="X77" i="51"/>
  <c r="N77" i="51"/>
  <c r="L77" i="51"/>
  <c r="B77" i="51"/>
  <c r="T76" i="51"/>
  <c r="Z76" i="51" s="1"/>
  <c r="P76" i="51"/>
  <c r="H76" i="51"/>
  <c r="N76" i="51" s="1"/>
  <c r="D76" i="51"/>
  <c r="L76" i="51" s="1"/>
  <c r="B76" i="51"/>
  <c r="Z75" i="51"/>
  <c r="X75" i="51"/>
  <c r="N75" i="51"/>
  <c r="L75" i="51"/>
  <c r="B75" i="51"/>
  <c r="Z74" i="51"/>
  <c r="T74" i="51"/>
  <c r="P74" i="51"/>
  <c r="X74" i="51" s="1"/>
  <c r="L74" i="51"/>
  <c r="H74" i="51"/>
  <c r="N74" i="51" s="1"/>
  <c r="D74" i="51"/>
  <c r="B74" i="51"/>
  <c r="Z73" i="51"/>
  <c r="X73" i="51"/>
  <c r="N73" i="51"/>
  <c r="L73" i="51"/>
  <c r="B73" i="51"/>
  <c r="Z72" i="51"/>
  <c r="X72" i="51"/>
  <c r="N72" i="51"/>
  <c r="L72" i="51"/>
  <c r="B72" i="51"/>
  <c r="T71" i="51"/>
  <c r="Z71" i="51" s="1"/>
  <c r="P71" i="51"/>
  <c r="X71" i="51" s="1"/>
  <c r="N71" i="51"/>
  <c r="H71" i="51"/>
  <c r="L71" i="51" s="1"/>
  <c r="D71" i="51"/>
  <c r="B71" i="51"/>
  <c r="X70" i="51"/>
  <c r="Z70" i="51" s="1"/>
  <c r="N70" i="51"/>
  <c r="L70" i="51"/>
  <c r="B70" i="51"/>
  <c r="T69" i="51"/>
  <c r="P69" i="51"/>
  <c r="X69" i="51" s="1"/>
  <c r="Z69" i="51" s="1"/>
  <c r="L69" i="51"/>
  <c r="H69" i="51"/>
  <c r="N69" i="51" s="1"/>
  <c r="D69" i="51"/>
  <c r="B69" i="51"/>
  <c r="X68" i="51"/>
  <c r="Z68" i="51" s="1"/>
  <c r="N68" i="51"/>
  <c r="L68" i="51"/>
  <c r="B68" i="51"/>
  <c r="X67" i="51"/>
  <c r="T67" i="51"/>
  <c r="P67" i="51"/>
  <c r="H67" i="51"/>
  <c r="D67" i="51"/>
  <c r="B67" i="51"/>
  <c r="Z66" i="51"/>
  <c r="X66" i="51"/>
  <c r="L66" i="51"/>
  <c r="N66" i="51" s="1"/>
  <c r="B66" i="51"/>
  <c r="T65" i="51"/>
  <c r="X65" i="51" s="1"/>
  <c r="P65" i="51"/>
  <c r="H65" i="51"/>
  <c r="D65" i="51"/>
  <c r="L65" i="51" s="1"/>
  <c r="B65" i="51"/>
  <c r="Z64" i="51"/>
  <c r="X64" i="51"/>
  <c r="L64" i="51"/>
  <c r="N64" i="51" s="1"/>
  <c r="B64" i="51"/>
  <c r="X63" i="51"/>
  <c r="Z63" i="51" s="1"/>
  <c r="L63" i="51"/>
  <c r="N63" i="51" s="1"/>
  <c r="B63" i="51"/>
  <c r="X62" i="51"/>
  <c r="Z62" i="51" s="1"/>
  <c r="N62" i="51"/>
  <c r="L62" i="51"/>
  <c r="B62" i="51"/>
  <c r="Z61" i="51"/>
  <c r="X61" i="51"/>
  <c r="N61" i="51"/>
  <c r="L61" i="51"/>
  <c r="B61" i="51"/>
  <c r="Z60" i="51"/>
  <c r="X60" i="51"/>
  <c r="L60" i="51"/>
  <c r="N60" i="51" s="1"/>
  <c r="B60" i="51"/>
  <c r="T59" i="51"/>
  <c r="P59" i="51"/>
  <c r="X59" i="51" s="1"/>
  <c r="N59" i="51"/>
  <c r="H59" i="51"/>
  <c r="D59" i="51"/>
  <c r="L59" i="51" s="1"/>
  <c r="B59" i="51"/>
  <c r="X58" i="51"/>
  <c r="Z58" i="51" s="1"/>
  <c r="N58" i="51"/>
  <c r="L58" i="51"/>
  <c r="B58" i="51"/>
  <c r="X57" i="51"/>
  <c r="Z57" i="51" s="1"/>
  <c r="N57" i="51"/>
  <c r="L57" i="51"/>
  <c r="B57" i="51"/>
  <c r="X56" i="51"/>
  <c r="Z56" i="51" s="1"/>
  <c r="N56" i="51"/>
  <c r="L56" i="51"/>
  <c r="B56" i="51"/>
  <c r="X55" i="51"/>
  <c r="Z55" i="51" s="1"/>
  <c r="N55" i="51"/>
  <c r="L55" i="51"/>
  <c r="B55" i="51"/>
  <c r="X54" i="51"/>
  <c r="Z54" i="51" s="1"/>
  <c r="L54" i="51"/>
  <c r="N54" i="51" s="1"/>
  <c r="B54" i="51"/>
  <c r="X53" i="51"/>
  <c r="Z53" i="51" s="1"/>
  <c r="N53" i="51"/>
  <c r="L53" i="51"/>
  <c r="B53" i="51"/>
  <c r="X52" i="51"/>
  <c r="Z52" i="51" s="1"/>
  <c r="N52" i="51"/>
  <c r="L52" i="51"/>
  <c r="B52" i="51"/>
  <c r="X51" i="51"/>
  <c r="Z51" i="51" s="1"/>
  <c r="N51" i="51"/>
  <c r="L51" i="51"/>
  <c r="B51" i="51"/>
  <c r="X50" i="51"/>
  <c r="Z50" i="51" s="1"/>
  <c r="L50" i="51"/>
  <c r="N50" i="51" s="1"/>
  <c r="B50" i="51"/>
  <c r="T49" i="51"/>
  <c r="P49" i="51"/>
  <c r="L49" i="51"/>
  <c r="H49" i="51"/>
  <c r="N49" i="51" s="1"/>
  <c r="D49" i="51"/>
  <c r="B49" i="51"/>
  <c r="T48" i="51"/>
  <c r="P48" i="51"/>
  <c r="X48" i="51" s="1"/>
  <c r="L48" i="51"/>
  <c r="N48" i="51" s="1"/>
  <c r="H48" i="51"/>
  <c r="D48" i="51"/>
  <c r="Z44" i="51"/>
  <c r="X44" i="51"/>
  <c r="N44" i="51"/>
  <c r="L44" i="51"/>
  <c r="B44" i="51"/>
  <c r="Z43" i="51"/>
  <c r="X43" i="51"/>
  <c r="L43" i="51"/>
  <c r="N43" i="51" s="1"/>
  <c r="B43" i="51"/>
  <c r="X42" i="51"/>
  <c r="Z42" i="51" s="1"/>
  <c r="L42" i="51"/>
  <c r="N42" i="51" s="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L39" i="51"/>
  <c r="N39" i="51" s="1"/>
  <c r="B39" i="51"/>
  <c r="Z38" i="51"/>
  <c r="X38" i="51"/>
  <c r="N38" i="51"/>
  <c r="L38" i="51"/>
  <c r="B38" i="51"/>
  <c r="Z37" i="51"/>
  <c r="X37" i="51"/>
  <c r="N37" i="51"/>
  <c r="L37" i="51"/>
  <c r="B37" i="51"/>
  <c r="Z36" i="51"/>
  <c r="X36" i="51"/>
  <c r="N36" i="51"/>
  <c r="L36" i="51"/>
  <c r="B36" i="51"/>
  <c r="Z35" i="51"/>
  <c r="X35" i="51"/>
  <c r="L35" i="51"/>
  <c r="N35" i="51" s="1"/>
  <c r="B35" i="51"/>
  <c r="Z34" i="51"/>
  <c r="X34" i="51"/>
  <c r="T34" i="51"/>
  <c r="P34" i="51"/>
  <c r="H34" i="51"/>
  <c r="D34" i="51"/>
  <c r="L34" i="51" s="1"/>
  <c r="Z32" i="51"/>
  <c r="X32" i="51"/>
  <c r="T32" i="51"/>
  <c r="P32" i="51"/>
  <c r="L32" i="51"/>
  <c r="H32" i="51"/>
  <c r="N32" i="51" s="1"/>
  <c r="D32" i="51"/>
  <c r="B32" i="51"/>
  <c r="Z31" i="51"/>
  <c r="T31" i="51"/>
  <c r="P31" i="51"/>
  <c r="X31" i="51" s="1"/>
  <c r="N31" i="51"/>
  <c r="H31" i="51"/>
  <c r="L31" i="51" s="1"/>
  <c r="D31" i="51"/>
  <c r="B31" i="51"/>
  <c r="T30" i="51"/>
  <c r="P30" i="51"/>
  <c r="H30" i="51"/>
  <c r="D30" i="51"/>
  <c r="B30" i="51"/>
  <c r="T29" i="51"/>
  <c r="Z29" i="51" s="1"/>
  <c r="P29" i="51"/>
  <c r="X29" i="51" s="1"/>
  <c r="H29" i="51"/>
  <c r="D29" i="51"/>
  <c r="B29" i="51"/>
  <c r="X28" i="51"/>
  <c r="Z28" i="51" s="1"/>
  <c r="T28" i="51"/>
  <c r="P28" i="51"/>
  <c r="L28" i="51"/>
  <c r="H28" i="51"/>
  <c r="N28" i="51" s="1"/>
  <c r="D28" i="51"/>
  <c r="B28" i="51"/>
  <c r="T27" i="51"/>
  <c r="P27" i="51"/>
  <c r="X27" i="51" s="1"/>
  <c r="Z27" i="51" s="1"/>
  <c r="N27" i="51"/>
  <c r="H27" i="51"/>
  <c r="L27" i="51" s="1"/>
  <c r="D27" i="51"/>
  <c r="B27" i="51"/>
  <c r="T26" i="51"/>
  <c r="P26" i="51"/>
  <c r="H26" i="51"/>
  <c r="D26" i="51"/>
  <c r="B26" i="51"/>
  <c r="T25" i="51"/>
  <c r="P25" i="51"/>
  <c r="X25" i="51" s="1"/>
  <c r="H25" i="51"/>
  <c r="D25" i="51"/>
  <c r="B25" i="51"/>
  <c r="X24" i="51"/>
  <c r="Z24" i="51" s="1"/>
  <c r="T24" i="51"/>
  <c r="P24" i="51"/>
  <c r="L24" i="51"/>
  <c r="H24" i="51"/>
  <c r="N24" i="51" s="1"/>
  <c r="D24" i="51"/>
  <c r="B24" i="51"/>
  <c r="Z23" i="51"/>
  <c r="T23" i="51"/>
  <c r="P23" i="51"/>
  <c r="X23" i="51" s="1"/>
  <c r="N23" i="51"/>
  <c r="H23" i="51"/>
  <c r="L23" i="51" s="1"/>
  <c r="D23" i="51"/>
  <c r="B23" i="51"/>
  <c r="T22" i="51"/>
  <c r="P22" i="51"/>
  <c r="H22" i="51"/>
  <c r="D22" i="51"/>
  <c r="L22" i="51" s="1"/>
  <c r="B22" i="51"/>
  <c r="T21" i="51"/>
  <c r="P21" i="51"/>
  <c r="X21" i="51" s="1"/>
  <c r="H21" i="51"/>
  <c r="D21" i="51"/>
  <c r="B21" i="51"/>
  <c r="X20" i="51"/>
  <c r="Z20" i="51" s="1"/>
  <c r="T20" i="51"/>
  <c r="P20" i="51"/>
  <c r="L20" i="51"/>
  <c r="H20" i="51"/>
  <c r="N20" i="51" s="1"/>
  <c r="D20" i="51"/>
  <c r="B20" i="51"/>
  <c r="Z19" i="51"/>
  <c r="T19" i="51"/>
  <c r="P19" i="51"/>
  <c r="X19" i="51" s="1"/>
  <c r="N19" i="51"/>
  <c r="H19" i="51"/>
  <c r="L19" i="51" s="1"/>
  <c r="D19" i="51"/>
  <c r="B19" i="51"/>
  <c r="T18" i="51"/>
  <c r="P18" i="51"/>
  <c r="X18" i="51" s="1"/>
  <c r="H18" i="51"/>
  <c r="D18" i="51"/>
  <c r="B18" i="51"/>
  <c r="T17" i="51"/>
  <c r="P17" i="51"/>
  <c r="X17" i="51" s="1"/>
  <c r="H17" i="51"/>
  <c r="D17" i="51"/>
  <c r="B17" i="51"/>
  <c r="Z16" i="51"/>
  <c r="X16" i="51"/>
  <c r="T16" i="51"/>
  <c r="P16" i="51"/>
  <c r="L16" i="51"/>
  <c r="H16" i="51"/>
  <c r="N16" i="51" s="1"/>
  <c r="D16" i="51"/>
  <c r="B16" i="51"/>
  <c r="Z15" i="51"/>
  <c r="T15" i="51"/>
  <c r="P15" i="51"/>
  <c r="X15" i="51" s="1"/>
  <c r="N15" i="51"/>
  <c r="H15" i="51"/>
  <c r="L15" i="51" s="1"/>
  <c r="D15" i="51"/>
  <c r="B15" i="51"/>
  <c r="T14" i="51"/>
  <c r="P14" i="51"/>
  <c r="H14" i="51"/>
  <c r="D14" i="51"/>
  <c r="B14" i="51"/>
  <c r="T13" i="51"/>
  <c r="P13" i="51"/>
  <c r="X13" i="51" s="1"/>
  <c r="H13" i="51"/>
  <c r="D13" i="51"/>
  <c r="B13" i="51"/>
  <c r="D4" i="51"/>
  <c r="X52" i="48"/>
  <c r="Z52" i="48" s="1"/>
  <c r="N52" i="48"/>
  <c r="L52" i="48"/>
  <c r="T48" i="48"/>
  <c r="P48" i="48"/>
  <c r="H48" i="48"/>
  <c r="D48" i="48"/>
  <c r="L48" i="48" s="1"/>
  <c r="N48" i="48" s="1"/>
  <c r="B48" i="48"/>
  <c r="P47" i="48"/>
  <c r="H47" i="48"/>
  <c r="X45" i="48"/>
  <c r="Z45" i="48" s="1"/>
  <c r="L45" i="48"/>
  <c r="N45" i="48" s="1"/>
  <c r="B45" i="48"/>
  <c r="T44" i="48"/>
  <c r="R44" i="48"/>
  <c r="P44" i="48"/>
  <c r="L44" i="48"/>
  <c r="N44" i="48" s="1"/>
  <c r="H44" i="48"/>
  <c r="D44" i="48"/>
  <c r="B44" i="48"/>
  <c r="Z43" i="48"/>
  <c r="X43" i="48"/>
  <c r="V43" i="48"/>
  <c r="N43" i="48"/>
  <c r="L43" i="48"/>
  <c r="B43" i="48"/>
  <c r="T42" i="48"/>
  <c r="Z42" i="48" s="1"/>
  <c r="P42" i="48"/>
  <c r="X42" i="48" s="1"/>
  <c r="L42" i="48"/>
  <c r="N42" i="48" s="1"/>
  <c r="H42" i="48"/>
  <c r="D42" i="48"/>
  <c r="B42" i="48"/>
  <c r="X41" i="48"/>
  <c r="Z41" i="48" s="1"/>
  <c r="L41" i="48"/>
  <c r="N41" i="48" s="1"/>
  <c r="B41" i="48"/>
  <c r="Z40" i="48"/>
  <c r="T40" i="48"/>
  <c r="R40" i="48"/>
  <c r="P40" i="48"/>
  <c r="X40" i="48" s="1"/>
  <c r="L40" i="48"/>
  <c r="H40" i="48"/>
  <c r="D40" i="48"/>
  <c r="B40" i="48"/>
  <c r="X39" i="48"/>
  <c r="Z39" i="48" s="1"/>
  <c r="N39" i="48"/>
  <c r="L39" i="48"/>
  <c r="F39" i="48"/>
  <c r="B39" i="48"/>
  <c r="X38" i="48"/>
  <c r="Z38" i="48" s="1"/>
  <c r="T38" i="48"/>
  <c r="P38" i="48"/>
  <c r="L38" i="48"/>
  <c r="N38" i="48" s="1"/>
  <c r="H38" i="48"/>
  <c r="D38" i="48"/>
  <c r="B38" i="48"/>
  <c r="X37" i="48"/>
  <c r="Z37" i="48" s="1"/>
  <c r="L37" i="48"/>
  <c r="N37" i="48" s="1"/>
  <c r="B37" i="48"/>
  <c r="X36" i="48"/>
  <c r="Z36" i="48" s="1"/>
  <c r="T36" i="48"/>
  <c r="R36" i="48"/>
  <c r="P36" i="48"/>
  <c r="H36" i="48"/>
  <c r="D36" i="48"/>
  <c r="B36" i="48"/>
  <c r="Z35" i="48"/>
  <c r="X35" i="48"/>
  <c r="L35" i="48"/>
  <c r="N35" i="48" s="1"/>
  <c r="F35" i="48"/>
  <c r="B35" i="48"/>
  <c r="X34" i="48"/>
  <c r="Z34" i="48" s="1"/>
  <c r="L34" i="48"/>
  <c r="N34" i="48" s="1"/>
  <c r="B34" i="48"/>
  <c r="X33" i="48"/>
  <c r="Z33" i="48" s="1"/>
  <c r="N33" i="48"/>
  <c r="L33" i="48"/>
  <c r="B33" i="48"/>
  <c r="Z32" i="48"/>
  <c r="X32" i="48"/>
  <c r="N32" i="48"/>
  <c r="L32" i="48"/>
  <c r="B32" i="48"/>
  <c r="Z31" i="48"/>
  <c r="X31" i="48"/>
  <c r="R31" i="48"/>
  <c r="N31" i="48"/>
  <c r="L31" i="48"/>
  <c r="B31" i="48"/>
  <c r="T30" i="48"/>
  <c r="P30" i="48"/>
  <c r="X30" i="48" s="1"/>
  <c r="N30" i="48"/>
  <c r="H30" i="48"/>
  <c r="D30" i="48"/>
  <c r="L30" i="48" s="1"/>
  <c r="B30" i="48"/>
  <c r="X29" i="48"/>
  <c r="Z29" i="48" s="1"/>
  <c r="L29" i="48"/>
  <c r="N29" i="48" s="1"/>
  <c r="B29" i="48"/>
  <c r="Z28" i="48"/>
  <c r="X28" i="48"/>
  <c r="R28" i="48"/>
  <c r="L28" i="48"/>
  <c r="N28" i="48" s="1"/>
  <c r="B28" i="48"/>
  <c r="X27" i="48"/>
  <c r="Z27" i="48" s="1"/>
  <c r="N27" i="48"/>
  <c r="L27" i="48"/>
  <c r="B27" i="48"/>
  <c r="Z26" i="48"/>
  <c r="X26" i="48"/>
  <c r="N26" i="48"/>
  <c r="L26" i="48"/>
  <c r="B26" i="48"/>
  <c r="Z25" i="48"/>
  <c r="X25" i="48"/>
  <c r="N25" i="48"/>
  <c r="L25" i="48"/>
  <c r="B25" i="48"/>
  <c r="Z24" i="48"/>
  <c r="X24" i="48"/>
  <c r="L24" i="48"/>
  <c r="N24" i="48" s="1"/>
  <c r="B24" i="48"/>
  <c r="X23" i="48"/>
  <c r="Z23" i="48" s="1"/>
  <c r="N23" i="48"/>
  <c r="L23" i="48"/>
  <c r="B23" i="48"/>
  <c r="X22" i="48"/>
  <c r="Z22" i="48" s="1"/>
  <c r="N22" i="48"/>
  <c r="L22" i="48"/>
  <c r="B22" i="48"/>
  <c r="X21" i="48"/>
  <c r="Z21" i="48" s="1"/>
  <c r="L21" i="48"/>
  <c r="N21" i="48" s="1"/>
  <c r="B21" i="48"/>
  <c r="X20" i="48"/>
  <c r="Z20" i="48" s="1"/>
  <c r="T20" i="48"/>
  <c r="R20" i="48"/>
  <c r="P20" i="48"/>
  <c r="N20" i="48"/>
  <c r="L20" i="48"/>
  <c r="H20" i="48"/>
  <c r="D20" i="48"/>
  <c r="B20" i="48"/>
  <c r="V19" i="48"/>
  <c r="T19" i="48"/>
  <c r="R19" i="48"/>
  <c r="P19" i="48"/>
  <c r="H19" i="48"/>
  <c r="D19" i="48"/>
  <c r="L19" i="48" s="1"/>
  <c r="N19" i="48" s="1"/>
  <c r="T15" i="48"/>
  <c r="Z15" i="48" s="1"/>
  <c r="P15" i="48"/>
  <c r="X15" i="48" s="1"/>
  <c r="H15" i="48"/>
  <c r="N15" i="48" s="1"/>
  <c r="D15" i="48"/>
  <c r="Z13" i="48"/>
  <c r="T13" i="48"/>
  <c r="T12" i="48" s="1"/>
  <c r="P13" i="48"/>
  <c r="X13" i="48" s="1"/>
  <c r="H13" i="48"/>
  <c r="D13" i="48"/>
  <c r="D12" i="48" s="1"/>
  <c r="B13" i="48"/>
  <c r="P12" i="48"/>
  <c r="H12" i="48"/>
  <c r="J22" i="48" s="1"/>
  <c r="D4" i="48"/>
  <c r="X83" i="45"/>
  <c r="Z83" i="45" s="1"/>
  <c r="N83" i="45"/>
  <c r="L83" i="45"/>
  <c r="Z79" i="45"/>
  <c r="T79" i="45"/>
  <c r="P79" i="45"/>
  <c r="X79" i="45" s="1"/>
  <c r="N79" i="45"/>
  <c r="L79" i="45"/>
  <c r="H79" i="45"/>
  <c r="D79" i="45"/>
  <c r="Z77" i="45"/>
  <c r="X77" i="45"/>
  <c r="L77" i="45"/>
  <c r="N77" i="45" s="1"/>
  <c r="B77" i="45"/>
  <c r="X76" i="45"/>
  <c r="T76" i="45"/>
  <c r="P76" i="45"/>
  <c r="H76" i="45"/>
  <c r="D76" i="45"/>
  <c r="L76" i="45" s="1"/>
  <c r="B76" i="45"/>
  <c r="Z75" i="45"/>
  <c r="X75" i="45"/>
  <c r="N75" i="45"/>
  <c r="L75" i="45"/>
  <c r="B75" i="45"/>
  <c r="T74" i="45"/>
  <c r="P74" i="45"/>
  <c r="H74" i="45"/>
  <c r="N74" i="45" s="1"/>
  <c r="D74" i="45"/>
  <c r="L74" i="45" s="1"/>
  <c r="B74" i="45"/>
  <c r="Z73" i="45"/>
  <c r="X73" i="45"/>
  <c r="N73" i="45"/>
  <c r="L73" i="45"/>
  <c r="B73" i="45"/>
  <c r="T72" i="45"/>
  <c r="P72" i="45"/>
  <c r="X72" i="45" s="1"/>
  <c r="L72" i="45"/>
  <c r="H72" i="45"/>
  <c r="N72" i="45" s="1"/>
  <c r="D72" i="45"/>
  <c r="B72" i="45"/>
  <c r="Z71" i="45"/>
  <c r="X71" i="45"/>
  <c r="N71" i="45"/>
  <c r="L71" i="45"/>
  <c r="B71" i="45"/>
  <c r="X70" i="45"/>
  <c r="Z70" i="45" s="1"/>
  <c r="L70" i="45"/>
  <c r="N70" i="45" s="1"/>
  <c r="B70" i="45"/>
  <c r="Z69" i="45"/>
  <c r="X69" i="45"/>
  <c r="L69" i="45"/>
  <c r="N69" i="45" s="1"/>
  <c r="B69" i="45"/>
  <c r="X68" i="45"/>
  <c r="Z68" i="45" s="1"/>
  <c r="L68" i="45"/>
  <c r="N68" i="45" s="1"/>
  <c r="B68" i="45"/>
  <c r="Z67" i="45"/>
  <c r="X67" i="45"/>
  <c r="N67" i="45"/>
  <c r="L67" i="45"/>
  <c r="B67" i="45"/>
  <c r="X66" i="45"/>
  <c r="Z66" i="45" s="1"/>
  <c r="L66" i="45"/>
  <c r="N66" i="45" s="1"/>
  <c r="B66" i="45"/>
  <c r="Z65" i="45"/>
  <c r="X65" i="45"/>
  <c r="N65" i="45"/>
  <c r="L65" i="45"/>
  <c r="B65" i="45"/>
  <c r="X64" i="45"/>
  <c r="T64" i="45"/>
  <c r="P64" i="45"/>
  <c r="H64" i="45"/>
  <c r="N64" i="45" s="1"/>
  <c r="D64" i="45"/>
  <c r="L64" i="45" s="1"/>
  <c r="B64" i="45"/>
  <c r="Z63" i="45"/>
  <c r="X63" i="45"/>
  <c r="N63" i="45"/>
  <c r="L63" i="45"/>
  <c r="B63" i="45"/>
  <c r="X62" i="45"/>
  <c r="Z62" i="45" s="1"/>
  <c r="L62" i="45"/>
  <c r="N62" i="45" s="1"/>
  <c r="B62" i="45"/>
  <c r="X61" i="45"/>
  <c r="Z61" i="45" s="1"/>
  <c r="N61" i="45"/>
  <c r="L61" i="45"/>
  <c r="B61" i="45"/>
  <c r="T60" i="45"/>
  <c r="P60" i="45"/>
  <c r="X60" i="45" s="1"/>
  <c r="H60" i="45"/>
  <c r="D60" i="45"/>
  <c r="L60" i="45" s="1"/>
  <c r="B60" i="45"/>
  <c r="Z59" i="45"/>
  <c r="X59" i="45"/>
  <c r="N59" i="45"/>
  <c r="L59" i="45"/>
  <c r="B59" i="45"/>
  <c r="X58" i="45"/>
  <c r="T58" i="45"/>
  <c r="P58" i="45"/>
  <c r="H58" i="45"/>
  <c r="N58" i="45" s="1"/>
  <c r="D58" i="45"/>
  <c r="L58" i="45" s="1"/>
  <c r="B58" i="45"/>
  <c r="Z57" i="45"/>
  <c r="X57" i="45"/>
  <c r="L57" i="45"/>
  <c r="N57" i="45" s="1"/>
  <c r="B57" i="45"/>
  <c r="X56" i="45"/>
  <c r="T56" i="45"/>
  <c r="P56" i="45"/>
  <c r="H56" i="45"/>
  <c r="D56" i="45"/>
  <c r="L56" i="45" s="1"/>
  <c r="B56" i="45"/>
  <c r="Z55" i="45"/>
  <c r="X55" i="45"/>
  <c r="N55" i="45"/>
  <c r="L55" i="45"/>
  <c r="B55" i="45"/>
  <c r="X54" i="45"/>
  <c r="T54" i="45"/>
  <c r="P54" i="45"/>
  <c r="H54" i="45"/>
  <c r="D54" i="45"/>
  <c r="L54" i="45" s="1"/>
  <c r="B54" i="45"/>
  <c r="Z53" i="45"/>
  <c r="X53" i="45"/>
  <c r="N53" i="45"/>
  <c r="L53" i="45"/>
  <c r="B53" i="45"/>
  <c r="T52" i="45"/>
  <c r="P52" i="45"/>
  <c r="L52" i="45"/>
  <c r="H52" i="45"/>
  <c r="D52" i="45"/>
  <c r="B52" i="45"/>
  <c r="Z51" i="45"/>
  <c r="X51" i="45"/>
  <c r="N51" i="45"/>
  <c r="L51" i="45"/>
  <c r="B51" i="45"/>
  <c r="T50" i="45"/>
  <c r="Z50" i="45" s="1"/>
  <c r="P50" i="45"/>
  <c r="X50" i="45" s="1"/>
  <c r="H50" i="45"/>
  <c r="D50" i="45"/>
  <c r="B50" i="45"/>
  <c r="Z49" i="45"/>
  <c r="X49" i="45"/>
  <c r="N49" i="45"/>
  <c r="L49" i="45"/>
  <c r="B49" i="45"/>
  <c r="T48" i="45"/>
  <c r="Z48" i="45" s="1"/>
  <c r="P48" i="45"/>
  <c r="X48" i="45" s="1"/>
  <c r="H48" i="45"/>
  <c r="N48" i="45" s="1"/>
  <c r="D48" i="45"/>
  <c r="L48" i="45" s="1"/>
  <c r="B48" i="45"/>
  <c r="Z47" i="45"/>
  <c r="X47" i="45"/>
  <c r="N47" i="45"/>
  <c r="L47" i="45"/>
  <c r="B47" i="45"/>
  <c r="X46" i="45"/>
  <c r="T46" i="45"/>
  <c r="P46" i="45"/>
  <c r="H46" i="45"/>
  <c r="D46" i="45"/>
  <c r="L46" i="45" s="1"/>
  <c r="B46" i="45"/>
  <c r="Z45" i="45"/>
  <c r="X45" i="45"/>
  <c r="L45" i="45"/>
  <c r="N45" i="45" s="1"/>
  <c r="B45" i="45"/>
  <c r="T44" i="45"/>
  <c r="P44" i="45"/>
  <c r="H44" i="45"/>
  <c r="N44" i="45" s="1"/>
  <c r="D44" i="45"/>
  <c r="L44" i="45" s="1"/>
  <c r="B44" i="45"/>
  <c r="Z43" i="45"/>
  <c r="X43" i="45"/>
  <c r="V43" i="45"/>
  <c r="N43" i="45"/>
  <c r="L43" i="45"/>
  <c r="B43" i="45"/>
  <c r="T42" i="45"/>
  <c r="P42" i="45"/>
  <c r="X42" i="45" s="1"/>
  <c r="H42" i="45"/>
  <c r="N42" i="45" s="1"/>
  <c r="D42" i="45"/>
  <c r="L42" i="45" s="1"/>
  <c r="B42" i="45"/>
  <c r="Z41" i="45"/>
  <c r="X41" i="45"/>
  <c r="V41" i="45"/>
  <c r="N41" i="45"/>
  <c r="L41" i="45"/>
  <c r="B41" i="45"/>
  <c r="X40" i="45"/>
  <c r="Z40" i="45" s="1"/>
  <c r="L40" i="45"/>
  <c r="N40" i="45" s="1"/>
  <c r="B40" i="45"/>
  <c r="Z39" i="45"/>
  <c r="X39" i="45"/>
  <c r="N39" i="45"/>
  <c r="L39" i="45"/>
  <c r="B39" i="45"/>
  <c r="X38" i="45"/>
  <c r="Z38" i="45" s="1"/>
  <c r="L38" i="45"/>
  <c r="N38" i="45" s="1"/>
  <c r="F38" i="45"/>
  <c r="B38" i="45"/>
  <c r="Z37" i="45"/>
  <c r="X37" i="45"/>
  <c r="N37" i="45"/>
  <c r="L37" i="45"/>
  <c r="B37" i="45"/>
  <c r="X36" i="45"/>
  <c r="Z36" i="45" s="1"/>
  <c r="L36" i="45"/>
  <c r="N36" i="45" s="1"/>
  <c r="B36" i="45"/>
  <c r="Z35" i="45"/>
  <c r="X35" i="45"/>
  <c r="N35" i="45"/>
  <c r="L35" i="45"/>
  <c r="B35" i="45"/>
  <c r="X34" i="45"/>
  <c r="T34" i="45"/>
  <c r="P34" i="45"/>
  <c r="H34" i="45"/>
  <c r="D34" i="45"/>
  <c r="L34" i="45" s="1"/>
  <c r="B34" i="45"/>
  <c r="Z33" i="45"/>
  <c r="X33" i="45"/>
  <c r="N33" i="45"/>
  <c r="L33" i="45"/>
  <c r="B33" i="45"/>
  <c r="X32" i="45"/>
  <c r="Z32" i="45" s="1"/>
  <c r="L32" i="45"/>
  <c r="N32" i="45" s="1"/>
  <c r="B32" i="45"/>
  <c r="Z31" i="45"/>
  <c r="X31" i="45"/>
  <c r="N31" i="45"/>
  <c r="L31" i="45"/>
  <c r="B31" i="45"/>
  <c r="X30" i="45"/>
  <c r="Z30" i="45" s="1"/>
  <c r="L30" i="45"/>
  <c r="N30" i="45" s="1"/>
  <c r="B30" i="45"/>
  <c r="Z29" i="45"/>
  <c r="X29" i="45"/>
  <c r="L29" i="45"/>
  <c r="N29" i="45" s="1"/>
  <c r="B29" i="45"/>
  <c r="X28" i="45"/>
  <c r="Z28" i="45" s="1"/>
  <c r="L28" i="45"/>
  <c r="N28" i="45" s="1"/>
  <c r="B28" i="45"/>
  <c r="Z27" i="45"/>
  <c r="X27" i="45"/>
  <c r="N27" i="45"/>
  <c r="L27" i="45"/>
  <c r="B27" i="45"/>
  <c r="X26" i="45"/>
  <c r="Z26" i="45" s="1"/>
  <c r="R26" i="45"/>
  <c r="L26" i="45"/>
  <c r="N26" i="45" s="1"/>
  <c r="F26" i="45"/>
  <c r="B26" i="45"/>
  <c r="Z25" i="45"/>
  <c r="X25" i="45"/>
  <c r="L25" i="45"/>
  <c r="N25" i="45" s="1"/>
  <c r="B25" i="45"/>
  <c r="X24" i="45"/>
  <c r="T24" i="45"/>
  <c r="P24" i="45"/>
  <c r="H24" i="45"/>
  <c r="D24" i="45"/>
  <c r="B24" i="45"/>
  <c r="T23" i="45"/>
  <c r="P23" i="45"/>
  <c r="X23" i="45" s="1"/>
  <c r="Z23" i="45" s="1"/>
  <c r="H23" i="45"/>
  <c r="N23" i="45" s="1"/>
  <c r="D23" i="45"/>
  <c r="L23" i="45" s="1"/>
  <c r="Z19" i="45"/>
  <c r="X19" i="45"/>
  <c r="N19" i="45"/>
  <c r="L19" i="45"/>
  <c r="B19" i="45"/>
  <c r="X18" i="45"/>
  <c r="Z18" i="45" s="1"/>
  <c r="L18" i="45"/>
  <c r="N18" i="45" s="1"/>
  <c r="B18" i="45"/>
  <c r="T17" i="45"/>
  <c r="Z17" i="45" s="1"/>
  <c r="P17" i="45"/>
  <c r="X17" i="45" s="1"/>
  <c r="H17" i="45"/>
  <c r="D17" i="45"/>
  <c r="L17" i="45" s="1"/>
  <c r="N17" i="45" s="1"/>
  <c r="T15" i="45"/>
  <c r="P15" i="45"/>
  <c r="H15" i="45"/>
  <c r="D15" i="45"/>
  <c r="B15" i="45"/>
  <c r="X14" i="45"/>
  <c r="T14" i="45"/>
  <c r="Z14" i="45" s="1"/>
  <c r="P14" i="45"/>
  <c r="H14" i="45"/>
  <c r="D14" i="45"/>
  <c r="D12" i="45" s="1"/>
  <c r="F40" i="45" s="1"/>
  <c r="B14" i="45"/>
  <c r="T13" i="45"/>
  <c r="T12" i="45" s="1"/>
  <c r="P13" i="45"/>
  <c r="X13" i="45" s="1"/>
  <c r="N13" i="45"/>
  <c r="L13" i="45"/>
  <c r="H13" i="45"/>
  <c r="D13" i="45"/>
  <c r="B13" i="45"/>
  <c r="P12" i="45"/>
  <c r="R68" i="45" s="1"/>
  <c r="D4" i="45"/>
  <c r="Z111" i="42"/>
  <c r="X111" i="42"/>
  <c r="N111" i="42"/>
  <c r="L111" i="42"/>
  <c r="T107" i="42"/>
  <c r="P107" i="42"/>
  <c r="X107" i="42" s="1"/>
  <c r="Z107" i="42" s="1"/>
  <c r="N107" i="42"/>
  <c r="L107" i="42"/>
  <c r="H107" i="42"/>
  <c r="D107" i="42"/>
  <c r="B107" i="42"/>
  <c r="T106" i="42"/>
  <c r="P106" i="42"/>
  <c r="X106" i="42" s="1"/>
  <c r="L106" i="42"/>
  <c r="H106" i="42"/>
  <c r="D106" i="42"/>
  <c r="B106" i="42"/>
  <c r="T105" i="42"/>
  <c r="P105" i="42"/>
  <c r="X105" i="42" s="1"/>
  <c r="H105" i="42"/>
  <c r="D105" i="42"/>
  <c r="D104" i="42" s="1"/>
  <c r="B105" i="42"/>
  <c r="T104" i="42"/>
  <c r="X102" i="42"/>
  <c r="Z102" i="42" s="1"/>
  <c r="L102" i="42"/>
  <c r="N102" i="42" s="1"/>
  <c r="B102" i="42"/>
  <c r="T101" i="42"/>
  <c r="P101" i="42"/>
  <c r="X101" i="42" s="1"/>
  <c r="Z101" i="42" s="1"/>
  <c r="N101" i="42"/>
  <c r="L101" i="42"/>
  <c r="H101" i="42"/>
  <c r="D101" i="42"/>
  <c r="B101" i="42"/>
  <c r="Z100" i="42"/>
  <c r="X100" i="42"/>
  <c r="L100" i="42"/>
  <c r="N100" i="42" s="1"/>
  <c r="F100" i="42"/>
  <c r="B100" i="42"/>
  <c r="Z99" i="42"/>
  <c r="X99" i="42"/>
  <c r="L99" i="42"/>
  <c r="N99" i="42" s="1"/>
  <c r="B99" i="42"/>
  <c r="X98" i="42"/>
  <c r="Z98" i="42" s="1"/>
  <c r="L98" i="42"/>
  <c r="N98" i="42" s="1"/>
  <c r="B98" i="42"/>
  <c r="Z97" i="42"/>
  <c r="X97" i="42"/>
  <c r="T97" i="42"/>
  <c r="P97" i="42"/>
  <c r="H97" i="42"/>
  <c r="D97" i="42"/>
  <c r="L97" i="42" s="1"/>
  <c r="N97" i="42" s="1"/>
  <c r="B97" i="42"/>
  <c r="X96" i="42"/>
  <c r="Z96" i="42" s="1"/>
  <c r="L96" i="42"/>
  <c r="N96" i="42" s="1"/>
  <c r="B96" i="42"/>
  <c r="T95" i="42"/>
  <c r="Z95" i="42" s="1"/>
  <c r="P95" i="42"/>
  <c r="X95" i="42" s="1"/>
  <c r="H95" i="42"/>
  <c r="D95" i="42"/>
  <c r="L95" i="42" s="1"/>
  <c r="N95" i="42" s="1"/>
  <c r="B95" i="42"/>
  <c r="X94" i="42"/>
  <c r="Z94" i="42" s="1"/>
  <c r="L94" i="42"/>
  <c r="N94" i="42" s="1"/>
  <c r="B94" i="42"/>
  <c r="Z93" i="42"/>
  <c r="X93" i="42"/>
  <c r="T93" i="42"/>
  <c r="P93" i="42"/>
  <c r="N93" i="42"/>
  <c r="L93" i="42"/>
  <c r="H93" i="42"/>
  <c r="F93" i="42"/>
  <c r="D93" i="42"/>
  <c r="B93" i="42"/>
  <c r="Z92" i="42"/>
  <c r="X92" i="42"/>
  <c r="L92" i="42"/>
  <c r="N92" i="42" s="1"/>
  <c r="B92" i="42"/>
  <c r="Z91" i="42"/>
  <c r="X91" i="42"/>
  <c r="N91" i="42"/>
  <c r="L91" i="42"/>
  <c r="B91" i="42"/>
  <c r="X90" i="42"/>
  <c r="Z90" i="42" s="1"/>
  <c r="L90" i="42"/>
  <c r="N90" i="42" s="1"/>
  <c r="B90" i="42"/>
  <c r="Z89" i="42"/>
  <c r="X89" i="42"/>
  <c r="N89" i="42"/>
  <c r="L89" i="42"/>
  <c r="B89" i="42"/>
  <c r="Z88" i="42"/>
  <c r="X88" i="42"/>
  <c r="L88" i="42"/>
  <c r="N88" i="42" s="1"/>
  <c r="B88" i="42"/>
  <c r="Z87" i="42"/>
  <c r="X87" i="42"/>
  <c r="N87" i="42"/>
  <c r="L87" i="42"/>
  <c r="B87" i="42"/>
  <c r="X86" i="42"/>
  <c r="Z86" i="42" s="1"/>
  <c r="L86" i="42"/>
  <c r="N86" i="42" s="1"/>
  <c r="B86" i="42"/>
  <c r="Z85" i="42"/>
  <c r="X85" i="42"/>
  <c r="N85" i="42"/>
  <c r="L85" i="42"/>
  <c r="B85" i="42"/>
  <c r="T84" i="42"/>
  <c r="P84" i="42"/>
  <c r="X84" i="42" s="1"/>
  <c r="H84" i="42"/>
  <c r="D84" i="42"/>
  <c r="B84" i="42"/>
  <c r="Z83" i="42"/>
  <c r="X83" i="42"/>
  <c r="N83" i="42"/>
  <c r="L83" i="42"/>
  <c r="B83" i="42"/>
  <c r="X82" i="42"/>
  <c r="T82" i="42"/>
  <c r="P82" i="42"/>
  <c r="H82" i="42"/>
  <c r="D82" i="42"/>
  <c r="L82" i="42" s="1"/>
  <c r="B82" i="42"/>
  <c r="Z81" i="42"/>
  <c r="X81" i="42"/>
  <c r="N81" i="42"/>
  <c r="L81" i="42"/>
  <c r="B81" i="42"/>
  <c r="X80" i="42"/>
  <c r="Z80" i="42" s="1"/>
  <c r="N80" i="42"/>
  <c r="L80" i="42"/>
  <c r="B80" i="42"/>
  <c r="Z79" i="42"/>
  <c r="X79" i="42"/>
  <c r="N79" i="42"/>
  <c r="L79" i="42"/>
  <c r="B79" i="42"/>
  <c r="X78" i="42"/>
  <c r="Z78" i="42" s="1"/>
  <c r="L78" i="42"/>
  <c r="N78" i="42" s="1"/>
  <c r="B78" i="42"/>
  <c r="Z77" i="42"/>
  <c r="X77" i="42"/>
  <c r="N77" i="42"/>
  <c r="L77" i="42"/>
  <c r="B77" i="42"/>
  <c r="T76" i="42"/>
  <c r="P76" i="42"/>
  <c r="H76" i="42"/>
  <c r="D76" i="42"/>
  <c r="L76" i="42" s="1"/>
  <c r="B76" i="42"/>
  <c r="Z75" i="42"/>
  <c r="X75" i="42"/>
  <c r="N75" i="42"/>
  <c r="L75" i="42"/>
  <c r="B75" i="42"/>
  <c r="X74" i="42"/>
  <c r="Z74" i="42" s="1"/>
  <c r="L74" i="42"/>
  <c r="N74" i="42" s="1"/>
  <c r="B74" i="42"/>
  <c r="Z73" i="42"/>
  <c r="X73" i="42"/>
  <c r="T73" i="42"/>
  <c r="P73" i="42"/>
  <c r="H73" i="42"/>
  <c r="D73" i="42"/>
  <c r="L73" i="42" s="1"/>
  <c r="N73" i="42" s="1"/>
  <c r="B73" i="42"/>
  <c r="X72" i="42"/>
  <c r="Z72" i="42" s="1"/>
  <c r="L72" i="42"/>
  <c r="N72" i="42" s="1"/>
  <c r="B72" i="42"/>
  <c r="Z71" i="42"/>
  <c r="X71" i="42"/>
  <c r="N71" i="42"/>
  <c r="L71" i="42"/>
  <c r="B71" i="42"/>
  <c r="X70" i="42"/>
  <c r="T70" i="42"/>
  <c r="P70" i="42"/>
  <c r="H70" i="42"/>
  <c r="D70" i="42"/>
  <c r="B70" i="42"/>
  <c r="Z69" i="42"/>
  <c r="X69" i="42"/>
  <c r="N69" i="42"/>
  <c r="L69" i="42"/>
  <c r="B69" i="42"/>
  <c r="X68" i="42"/>
  <c r="T68" i="42"/>
  <c r="P68" i="42"/>
  <c r="L68" i="42"/>
  <c r="H68" i="42"/>
  <c r="D68" i="42"/>
  <c r="B68" i="42"/>
  <c r="Z67" i="42"/>
  <c r="X67" i="42"/>
  <c r="N67" i="42"/>
  <c r="L67" i="42"/>
  <c r="B67" i="42"/>
  <c r="T66" i="42"/>
  <c r="P66" i="42"/>
  <c r="H66" i="42"/>
  <c r="D66" i="42"/>
  <c r="L66" i="42" s="1"/>
  <c r="N66" i="42" s="1"/>
  <c r="B66" i="42"/>
  <c r="Z65" i="42"/>
  <c r="X65" i="42"/>
  <c r="L65" i="42"/>
  <c r="N65" i="42" s="1"/>
  <c r="B65" i="42"/>
  <c r="T64" i="42"/>
  <c r="Z64" i="42" s="1"/>
  <c r="P64" i="42"/>
  <c r="X64" i="42" s="1"/>
  <c r="H64" i="42"/>
  <c r="F64" i="42"/>
  <c r="D64" i="42"/>
  <c r="B64" i="42"/>
  <c r="Z63" i="42"/>
  <c r="X63" i="42"/>
  <c r="N63" i="42"/>
  <c r="L63" i="42"/>
  <c r="B63" i="42"/>
  <c r="X62" i="42"/>
  <c r="T62" i="42"/>
  <c r="Z62" i="42" s="1"/>
  <c r="P62" i="42"/>
  <c r="H62" i="42"/>
  <c r="D62" i="42"/>
  <c r="L62" i="42" s="1"/>
  <c r="B62" i="42"/>
  <c r="Z61" i="42"/>
  <c r="X61" i="42"/>
  <c r="N61" i="42"/>
  <c r="L61" i="42"/>
  <c r="B61" i="42"/>
  <c r="T60" i="42"/>
  <c r="Z60" i="42" s="1"/>
  <c r="P60" i="42"/>
  <c r="X60" i="42" s="1"/>
  <c r="L60" i="42"/>
  <c r="H60" i="42"/>
  <c r="D60" i="42"/>
  <c r="B60" i="42"/>
  <c r="X59" i="42"/>
  <c r="Z59" i="42" s="1"/>
  <c r="L59" i="42"/>
  <c r="N59" i="42" s="1"/>
  <c r="B59" i="42"/>
  <c r="T58" i="42"/>
  <c r="Z58" i="42" s="1"/>
  <c r="P58" i="42"/>
  <c r="X58" i="42" s="1"/>
  <c r="H58" i="42"/>
  <c r="D58" i="42"/>
  <c r="B58" i="42"/>
  <c r="X57" i="42"/>
  <c r="Z57" i="42" s="1"/>
  <c r="N57" i="42"/>
  <c r="L57" i="42"/>
  <c r="B57" i="42"/>
  <c r="X56" i="42"/>
  <c r="Z56" i="42" s="1"/>
  <c r="N56" i="42"/>
  <c r="L56" i="42"/>
  <c r="B56" i="42"/>
  <c r="X55" i="42"/>
  <c r="Z55" i="42" s="1"/>
  <c r="N55" i="42"/>
  <c r="L55" i="42"/>
  <c r="B55" i="42"/>
  <c r="T54" i="42"/>
  <c r="P54" i="42"/>
  <c r="X54" i="42" s="1"/>
  <c r="Z54" i="42" s="1"/>
  <c r="L54" i="42"/>
  <c r="H54" i="42"/>
  <c r="N54" i="42" s="1"/>
  <c r="D54" i="42"/>
  <c r="B54" i="42"/>
  <c r="Z53" i="42"/>
  <c r="X53" i="42"/>
  <c r="N53" i="42"/>
  <c r="L53" i="42"/>
  <c r="B53" i="42"/>
  <c r="T52" i="42"/>
  <c r="Z52" i="42" s="1"/>
  <c r="P52" i="42"/>
  <c r="X52" i="42" s="1"/>
  <c r="L52" i="42"/>
  <c r="H52" i="42"/>
  <c r="N52" i="42" s="1"/>
  <c r="D52" i="42"/>
  <c r="B52" i="42"/>
  <c r="X51" i="42"/>
  <c r="Z51" i="42" s="1"/>
  <c r="L51" i="42"/>
  <c r="N51" i="42" s="1"/>
  <c r="B51" i="42"/>
  <c r="T50" i="42"/>
  <c r="P50" i="42"/>
  <c r="X50" i="42" s="1"/>
  <c r="H50" i="42"/>
  <c r="D50" i="42"/>
  <c r="B50" i="42"/>
  <c r="X49" i="42"/>
  <c r="Z49" i="42" s="1"/>
  <c r="N49" i="42"/>
  <c r="L49" i="42"/>
  <c r="B49" i="42"/>
  <c r="X48" i="42"/>
  <c r="T48" i="42"/>
  <c r="Z48" i="42" s="1"/>
  <c r="P48" i="42"/>
  <c r="H48" i="42"/>
  <c r="D48" i="42"/>
  <c r="L48" i="42" s="1"/>
  <c r="N48" i="42" s="1"/>
  <c r="B48" i="42"/>
  <c r="Z47" i="42"/>
  <c r="X47" i="42"/>
  <c r="L47" i="42"/>
  <c r="N47" i="42" s="1"/>
  <c r="B47" i="42"/>
  <c r="X46" i="42"/>
  <c r="Z46" i="42" s="1"/>
  <c r="L46" i="42"/>
  <c r="N46" i="42" s="1"/>
  <c r="B46" i="42"/>
  <c r="Z45" i="42"/>
  <c r="X45" i="42"/>
  <c r="N45" i="42"/>
  <c r="L45" i="42"/>
  <c r="B45" i="42"/>
  <c r="Z44" i="42"/>
  <c r="X44" i="42"/>
  <c r="N44" i="42"/>
  <c r="L44" i="42"/>
  <c r="F44" i="42"/>
  <c r="B44" i="42"/>
  <c r="Z43" i="42"/>
  <c r="X43" i="42"/>
  <c r="L43" i="42"/>
  <c r="N43" i="42" s="1"/>
  <c r="B43" i="42"/>
  <c r="X42" i="42"/>
  <c r="Z42" i="42" s="1"/>
  <c r="L42" i="42"/>
  <c r="N42" i="42" s="1"/>
  <c r="B42" i="42"/>
  <c r="Z41" i="42"/>
  <c r="X41" i="42"/>
  <c r="N41" i="42"/>
  <c r="L41" i="42"/>
  <c r="B41" i="42"/>
  <c r="T40" i="42"/>
  <c r="Z40" i="42" s="1"/>
  <c r="P40" i="42"/>
  <c r="X40" i="42" s="1"/>
  <c r="L40" i="42"/>
  <c r="H40" i="42"/>
  <c r="D40" i="42"/>
  <c r="B40" i="42"/>
  <c r="X39" i="42"/>
  <c r="Z39" i="42" s="1"/>
  <c r="L39" i="42"/>
  <c r="N39" i="42" s="1"/>
  <c r="B39" i="42"/>
  <c r="X38" i="42"/>
  <c r="Z38" i="42" s="1"/>
  <c r="N38" i="42"/>
  <c r="L38" i="42"/>
  <c r="B38" i="42"/>
  <c r="Z37" i="42"/>
  <c r="X37" i="42"/>
  <c r="L37" i="42"/>
  <c r="N37" i="42" s="1"/>
  <c r="B37" i="42"/>
  <c r="Z36" i="42"/>
  <c r="X36" i="42"/>
  <c r="L36" i="42"/>
  <c r="N36" i="42" s="1"/>
  <c r="B36" i="42"/>
  <c r="X35" i="42"/>
  <c r="Z35" i="42" s="1"/>
  <c r="L35" i="42"/>
  <c r="N35" i="42" s="1"/>
  <c r="B35" i="42"/>
  <c r="X34" i="42"/>
  <c r="Z34" i="42" s="1"/>
  <c r="N34" i="42"/>
  <c r="L34" i="42"/>
  <c r="B34" i="42"/>
  <c r="Z33" i="42"/>
  <c r="X33" i="42"/>
  <c r="L33" i="42"/>
  <c r="N33" i="42" s="1"/>
  <c r="B33" i="42"/>
  <c r="Z32" i="42"/>
  <c r="X32" i="42"/>
  <c r="L32" i="42"/>
  <c r="N32" i="42" s="1"/>
  <c r="B32" i="42"/>
  <c r="X31" i="42"/>
  <c r="Z31" i="42" s="1"/>
  <c r="L31" i="42"/>
  <c r="N31" i="42" s="1"/>
  <c r="B31" i="42"/>
  <c r="T30" i="42"/>
  <c r="Z30" i="42" s="1"/>
  <c r="P30" i="42"/>
  <c r="X30" i="42" s="1"/>
  <c r="H30" i="42"/>
  <c r="D30" i="42"/>
  <c r="B30" i="42"/>
  <c r="T29" i="42"/>
  <c r="P29" i="42"/>
  <c r="X29" i="42" s="1"/>
  <c r="L29" i="42"/>
  <c r="H29" i="42"/>
  <c r="N29" i="42" s="1"/>
  <c r="D29" i="42"/>
  <c r="X25" i="42"/>
  <c r="Z25" i="42" s="1"/>
  <c r="R25" i="42"/>
  <c r="N25" i="42"/>
  <c r="L25" i="42"/>
  <c r="B25" i="42"/>
  <c r="X24" i="42"/>
  <c r="Z24" i="42" s="1"/>
  <c r="N24" i="42"/>
  <c r="L24" i="42"/>
  <c r="B24" i="42"/>
  <c r="X23" i="42"/>
  <c r="T23" i="42"/>
  <c r="Z23" i="42" s="1"/>
  <c r="P23" i="42"/>
  <c r="H23" i="42"/>
  <c r="D23" i="42"/>
  <c r="L23" i="42" s="1"/>
  <c r="T21" i="42"/>
  <c r="P21" i="42"/>
  <c r="H21" i="42"/>
  <c r="D21" i="42"/>
  <c r="L21" i="42" s="1"/>
  <c r="N21" i="42" s="1"/>
  <c r="B21" i="42"/>
  <c r="Z20" i="42"/>
  <c r="X20" i="42"/>
  <c r="T20" i="42"/>
  <c r="P20" i="42"/>
  <c r="L20" i="42"/>
  <c r="N20" i="42" s="1"/>
  <c r="H20" i="42"/>
  <c r="D20" i="42"/>
  <c r="B20" i="42"/>
  <c r="T19" i="42"/>
  <c r="P19" i="42"/>
  <c r="X19" i="42" s="1"/>
  <c r="Z19" i="42" s="1"/>
  <c r="H19" i="42"/>
  <c r="D19" i="42"/>
  <c r="L19" i="42" s="1"/>
  <c r="N19" i="42" s="1"/>
  <c r="B19" i="42"/>
  <c r="X18" i="42"/>
  <c r="Z18" i="42" s="1"/>
  <c r="T18" i="42"/>
  <c r="P18" i="42"/>
  <c r="H18" i="42"/>
  <c r="D18" i="42"/>
  <c r="B18" i="42"/>
  <c r="T17" i="42"/>
  <c r="P17" i="42"/>
  <c r="H17" i="42"/>
  <c r="D17" i="42"/>
  <c r="L17" i="42" s="1"/>
  <c r="N17" i="42" s="1"/>
  <c r="B17" i="42"/>
  <c r="Z16" i="42"/>
  <c r="X16" i="42"/>
  <c r="T16" i="42"/>
  <c r="P16" i="42"/>
  <c r="L16" i="42"/>
  <c r="N16" i="42" s="1"/>
  <c r="H16" i="42"/>
  <c r="D16" i="42"/>
  <c r="B16" i="42"/>
  <c r="T15" i="42"/>
  <c r="P15" i="42"/>
  <c r="X15" i="42" s="1"/>
  <c r="Z15" i="42" s="1"/>
  <c r="H15" i="42"/>
  <c r="D15" i="42"/>
  <c r="L15" i="42" s="1"/>
  <c r="N15" i="42" s="1"/>
  <c r="B15" i="42"/>
  <c r="X14" i="42"/>
  <c r="Z14" i="42" s="1"/>
  <c r="T14" i="42"/>
  <c r="P14" i="42"/>
  <c r="H14" i="42"/>
  <c r="D14" i="42"/>
  <c r="B14" i="42"/>
  <c r="T13" i="42"/>
  <c r="P13" i="42"/>
  <c r="P12" i="42" s="1"/>
  <c r="H13" i="42"/>
  <c r="D13" i="42"/>
  <c r="L13" i="42" s="1"/>
  <c r="N13" i="42" s="1"/>
  <c r="B13" i="42"/>
  <c r="D12" i="42"/>
  <c r="F61" i="42" s="1"/>
  <c r="D4" i="42"/>
  <c r="X121" i="39"/>
  <c r="Z121" i="39" s="1"/>
  <c r="L121" i="39"/>
  <c r="N121" i="39" s="1"/>
  <c r="Z117" i="39"/>
  <c r="T117" i="39"/>
  <c r="P117" i="39"/>
  <c r="X117" i="39" s="1"/>
  <c r="H117" i="39"/>
  <c r="L117" i="39" s="1"/>
  <c r="N117" i="39" s="1"/>
  <c r="D117" i="39"/>
  <c r="B117" i="39"/>
  <c r="T116" i="39"/>
  <c r="P116" i="39"/>
  <c r="X116" i="39" s="1"/>
  <c r="Z116" i="39" s="1"/>
  <c r="H116" i="39"/>
  <c r="H114" i="39" s="1"/>
  <c r="D116" i="39"/>
  <c r="B116" i="39"/>
  <c r="T115" i="39"/>
  <c r="P115" i="39"/>
  <c r="X115" i="39" s="1"/>
  <c r="L115" i="39"/>
  <c r="H115" i="39"/>
  <c r="N115" i="39" s="1"/>
  <c r="D115" i="39"/>
  <c r="B115" i="39"/>
  <c r="Z112" i="39"/>
  <c r="X112" i="39"/>
  <c r="N112" i="39"/>
  <c r="L112" i="39"/>
  <c r="B112" i="39"/>
  <c r="T111" i="39"/>
  <c r="P111" i="39"/>
  <c r="X111" i="39" s="1"/>
  <c r="Z111" i="39" s="1"/>
  <c r="H111" i="39"/>
  <c r="L111" i="39" s="1"/>
  <c r="N111" i="39" s="1"/>
  <c r="D111" i="39"/>
  <c r="B111" i="39"/>
  <c r="X110" i="39"/>
  <c r="Z110" i="39" s="1"/>
  <c r="N110" i="39"/>
  <c r="L110" i="39"/>
  <c r="B110" i="39"/>
  <c r="Z109" i="39"/>
  <c r="X109" i="39"/>
  <c r="L109" i="39"/>
  <c r="N109" i="39" s="1"/>
  <c r="B109" i="39"/>
  <c r="Z108" i="39"/>
  <c r="X108" i="39"/>
  <c r="L108" i="39"/>
  <c r="N108" i="39" s="1"/>
  <c r="B108" i="39"/>
  <c r="X107" i="39"/>
  <c r="T107" i="39"/>
  <c r="Z107" i="39" s="1"/>
  <c r="P107" i="39"/>
  <c r="N107" i="39"/>
  <c r="H107" i="39"/>
  <c r="D107" i="39"/>
  <c r="L107" i="39" s="1"/>
  <c r="B107" i="39"/>
  <c r="Z106" i="39"/>
  <c r="X106" i="39"/>
  <c r="L106" i="39"/>
  <c r="N106" i="39" s="1"/>
  <c r="B106" i="39"/>
  <c r="T105" i="39"/>
  <c r="P105" i="39"/>
  <c r="L105" i="39"/>
  <c r="H105" i="39"/>
  <c r="N105" i="39" s="1"/>
  <c r="D105" i="39"/>
  <c r="B105" i="39"/>
  <c r="Z104" i="39"/>
  <c r="X104" i="39"/>
  <c r="N104" i="39"/>
  <c r="L104" i="39"/>
  <c r="B104" i="39"/>
  <c r="Z103" i="39"/>
  <c r="T103" i="39"/>
  <c r="P103" i="39"/>
  <c r="X103" i="39" s="1"/>
  <c r="H103" i="39"/>
  <c r="D103" i="39"/>
  <c r="B103" i="39"/>
  <c r="X102" i="39"/>
  <c r="Z102" i="39" s="1"/>
  <c r="N102" i="39"/>
  <c r="L102" i="39"/>
  <c r="B102" i="39"/>
  <c r="Z101" i="39"/>
  <c r="X101" i="39"/>
  <c r="L101" i="39"/>
  <c r="N101" i="39" s="1"/>
  <c r="B101" i="39"/>
  <c r="Z100" i="39"/>
  <c r="X100" i="39"/>
  <c r="L100" i="39"/>
  <c r="N100" i="39" s="1"/>
  <c r="B100" i="39"/>
  <c r="X99" i="39"/>
  <c r="Z99" i="39" s="1"/>
  <c r="L99" i="39"/>
  <c r="N99" i="39" s="1"/>
  <c r="B99" i="39"/>
  <c r="X98" i="39"/>
  <c r="Z98" i="39" s="1"/>
  <c r="N98" i="39"/>
  <c r="L98" i="39"/>
  <c r="B98" i="39"/>
  <c r="Z97" i="39"/>
  <c r="X97" i="39"/>
  <c r="L97" i="39"/>
  <c r="N97" i="39" s="1"/>
  <c r="B97" i="39"/>
  <c r="Z96" i="39"/>
  <c r="X96" i="39"/>
  <c r="L96" i="39"/>
  <c r="N96" i="39" s="1"/>
  <c r="B96" i="39"/>
  <c r="Z95" i="39"/>
  <c r="X95" i="39"/>
  <c r="N95" i="39"/>
  <c r="L95" i="39"/>
  <c r="B95" i="39"/>
  <c r="T94" i="39"/>
  <c r="P94" i="39"/>
  <c r="X94" i="39" s="1"/>
  <c r="Z94" i="39" s="1"/>
  <c r="H94" i="39"/>
  <c r="D94" i="39"/>
  <c r="L94" i="39" s="1"/>
  <c r="B94" i="39"/>
  <c r="X93" i="39"/>
  <c r="Z93" i="39" s="1"/>
  <c r="N93" i="39"/>
  <c r="L93" i="39"/>
  <c r="B93" i="39"/>
  <c r="X92" i="39"/>
  <c r="Z92" i="39" s="1"/>
  <c r="T92" i="39"/>
  <c r="P92" i="39"/>
  <c r="H92" i="39"/>
  <c r="D92" i="39"/>
  <c r="L92" i="39" s="1"/>
  <c r="N92" i="39" s="1"/>
  <c r="B92" i="39"/>
  <c r="Z91" i="39"/>
  <c r="X91" i="39"/>
  <c r="L91" i="39"/>
  <c r="N91" i="39" s="1"/>
  <c r="B91" i="39"/>
  <c r="X90" i="39"/>
  <c r="Z90" i="39" s="1"/>
  <c r="L90" i="39"/>
  <c r="N90" i="39" s="1"/>
  <c r="B90" i="39"/>
  <c r="Z89" i="39"/>
  <c r="X89" i="39"/>
  <c r="N89" i="39"/>
  <c r="L89" i="39"/>
  <c r="B89" i="39"/>
  <c r="Z88" i="39"/>
  <c r="X88" i="39"/>
  <c r="N88" i="39"/>
  <c r="L88" i="39"/>
  <c r="B88" i="39"/>
  <c r="Z87" i="39"/>
  <c r="X87" i="39"/>
  <c r="L87" i="39"/>
  <c r="N87" i="39" s="1"/>
  <c r="B87" i="39"/>
  <c r="T86" i="39"/>
  <c r="P86" i="39"/>
  <c r="H86" i="39"/>
  <c r="N86" i="39" s="1"/>
  <c r="D86" i="39"/>
  <c r="L86" i="39" s="1"/>
  <c r="B86" i="39"/>
  <c r="Z85" i="39"/>
  <c r="X85" i="39"/>
  <c r="L85" i="39"/>
  <c r="N85" i="39" s="1"/>
  <c r="B85" i="39"/>
  <c r="Z84" i="39"/>
  <c r="X84" i="39"/>
  <c r="L84" i="39"/>
  <c r="N84" i="39" s="1"/>
  <c r="B84" i="39"/>
  <c r="X83" i="39"/>
  <c r="T83" i="39"/>
  <c r="P83" i="39"/>
  <c r="H83" i="39"/>
  <c r="D83" i="39"/>
  <c r="L83" i="39" s="1"/>
  <c r="N83" i="39" s="1"/>
  <c r="B83" i="39"/>
  <c r="Z82" i="39"/>
  <c r="X82" i="39"/>
  <c r="L82" i="39"/>
  <c r="N82" i="39" s="1"/>
  <c r="B82" i="39"/>
  <c r="X81" i="39"/>
  <c r="Z81" i="39" s="1"/>
  <c r="N81" i="39"/>
  <c r="L81" i="39"/>
  <c r="B81" i="39"/>
  <c r="X80" i="39"/>
  <c r="Z80" i="39" s="1"/>
  <c r="T80" i="39"/>
  <c r="P80" i="39"/>
  <c r="H80" i="39"/>
  <c r="D80" i="39"/>
  <c r="L80" i="39" s="1"/>
  <c r="N80" i="39" s="1"/>
  <c r="B80" i="39"/>
  <c r="Z79" i="39"/>
  <c r="X79" i="39"/>
  <c r="L79" i="39"/>
  <c r="N79" i="39" s="1"/>
  <c r="B79" i="39"/>
  <c r="T78" i="39"/>
  <c r="P78" i="39"/>
  <c r="H78" i="39"/>
  <c r="D78" i="39"/>
  <c r="B78" i="39"/>
  <c r="Z77" i="39"/>
  <c r="X77" i="39"/>
  <c r="L77" i="39"/>
  <c r="N77" i="39" s="1"/>
  <c r="B77" i="39"/>
  <c r="T76" i="39"/>
  <c r="P76" i="39"/>
  <c r="H76" i="39"/>
  <c r="D76" i="39"/>
  <c r="L76" i="39" s="1"/>
  <c r="N76" i="39" s="1"/>
  <c r="B76" i="39"/>
  <c r="X75" i="39"/>
  <c r="Z75" i="39" s="1"/>
  <c r="N75" i="39"/>
  <c r="L75" i="39"/>
  <c r="B75" i="39"/>
  <c r="Z74" i="39"/>
  <c r="T74" i="39"/>
  <c r="P74" i="39"/>
  <c r="X74" i="39" s="1"/>
  <c r="L74" i="39"/>
  <c r="N74" i="39" s="1"/>
  <c r="H74" i="39"/>
  <c r="D74" i="39"/>
  <c r="B74" i="39"/>
  <c r="Z73" i="39"/>
  <c r="X73" i="39"/>
  <c r="N73" i="39"/>
  <c r="L73" i="39"/>
  <c r="B73" i="39"/>
  <c r="T72" i="39"/>
  <c r="P72" i="39"/>
  <c r="X72" i="39" s="1"/>
  <c r="L72" i="39"/>
  <c r="H72" i="39"/>
  <c r="N72" i="39" s="1"/>
  <c r="D72" i="39"/>
  <c r="B72" i="39"/>
  <c r="X71" i="39"/>
  <c r="Z71" i="39" s="1"/>
  <c r="L71" i="39"/>
  <c r="N71" i="39" s="1"/>
  <c r="B71" i="39"/>
  <c r="T70" i="39"/>
  <c r="P70" i="39"/>
  <c r="X70" i="39" s="1"/>
  <c r="Z70" i="39" s="1"/>
  <c r="H70" i="39"/>
  <c r="D70" i="39"/>
  <c r="B70" i="39"/>
  <c r="X69" i="39"/>
  <c r="Z69" i="39" s="1"/>
  <c r="N69" i="39"/>
  <c r="L69" i="39"/>
  <c r="B69" i="39"/>
  <c r="X68" i="39"/>
  <c r="Z68" i="39" s="1"/>
  <c r="T68" i="39"/>
  <c r="P68" i="39"/>
  <c r="N68" i="39"/>
  <c r="L68" i="39"/>
  <c r="H68" i="39"/>
  <c r="D68" i="39"/>
  <c r="B68" i="39"/>
  <c r="Z67" i="39"/>
  <c r="X67" i="39"/>
  <c r="L67" i="39"/>
  <c r="N67" i="39" s="1"/>
  <c r="B67" i="39"/>
  <c r="Z66" i="39"/>
  <c r="X66" i="39"/>
  <c r="T66" i="39"/>
  <c r="P66" i="39"/>
  <c r="H66" i="39"/>
  <c r="D66" i="39"/>
  <c r="B66" i="39"/>
  <c r="Z65" i="39"/>
  <c r="X65" i="39"/>
  <c r="L65" i="39"/>
  <c r="N65" i="39" s="1"/>
  <c r="B65" i="39"/>
  <c r="T64" i="39"/>
  <c r="P64" i="39"/>
  <c r="X64" i="39" s="1"/>
  <c r="H64" i="39"/>
  <c r="D64" i="39"/>
  <c r="L64" i="39" s="1"/>
  <c r="N64" i="39" s="1"/>
  <c r="B64" i="39"/>
  <c r="X63" i="39"/>
  <c r="Z63" i="39" s="1"/>
  <c r="N63" i="39"/>
  <c r="L63" i="39"/>
  <c r="B63" i="39"/>
  <c r="Z62" i="39"/>
  <c r="X62" i="39"/>
  <c r="N62" i="39"/>
  <c r="L62" i="39"/>
  <c r="B62" i="39"/>
  <c r="X61" i="39"/>
  <c r="Z61" i="39" s="1"/>
  <c r="N61" i="39"/>
  <c r="L61" i="39"/>
  <c r="B61" i="39"/>
  <c r="X60" i="39"/>
  <c r="Z60" i="39" s="1"/>
  <c r="T60" i="39"/>
  <c r="P60" i="39"/>
  <c r="H60" i="39"/>
  <c r="D60" i="39"/>
  <c r="L60" i="39" s="1"/>
  <c r="N60" i="39" s="1"/>
  <c r="B60" i="39"/>
  <c r="Z59" i="39"/>
  <c r="X59" i="39"/>
  <c r="L59" i="39"/>
  <c r="N59" i="39" s="1"/>
  <c r="B59" i="39"/>
  <c r="Z58" i="39"/>
  <c r="X58" i="39"/>
  <c r="T58" i="39"/>
  <c r="P58" i="39"/>
  <c r="H58" i="39"/>
  <c r="D58" i="39"/>
  <c r="L58" i="39" s="1"/>
  <c r="B58" i="39"/>
  <c r="Z57" i="39"/>
  <c r="X57" i="39"/>
  <c r="L57" i="39"/>
  <c r="N57" i="39" s="1"/>
  <c r="B57" i="39"/>
  <c r="T56" i="39"/>
  <c r="P56" i="39"/>
  <c r="X56" i="39" s="1"/>
  <c r="H56" i="39"/>
  <c r="N56" i="39" s="1"/>
  <c r="D56" i="39"/>
  <c r="L56" i="39" s="1"/>
  <c r="B56" i="39"/>
  <c r="X55" i="39"/>
  <c r="Z55" i="39" s="1"/>
  <c r="N55" i="39"/>
  <c r="L55" i="39"/>
  <c r="B55" i="39"/>
  <c r="T54" i="39"/>
  <c r="P54" i="39"/>
  <c r="X54" i="39" s="1"/>
  <c r="Z54" i="39" s="1"/>
  <c r="L54" i="39"/>
  <c r="N54" i="39" s="1"/>
  <c r="H54" i="39"/>
  <c r="D54" i="39"/>
  <c r="B54" i="39"/>
  <c r="Z53" i="39"/>
  <c r="X53" i="39"/>
  <c r="N53" i="39"/>
  <c r="L53" i="39"/>
  <c r="B53" i="39"/>
  <c r="Z52" i="39"/>
  <c r="X52" i="39"/>
  <c r="N52" i="39"/>
  <c r="L52" i="39"/>
  <c r="B52" i="39"/>
  <c r="Z51" i="39"/>
  <c r="X51" i="39"/>
  <c r="L51" i="39"/>
  <c r="N51" i="39" s="1"/>
  <c r="B51" i="39"/>
  <c r="X50" i="39"/>
  <c r="Z50" i="39" s="1"/>
  <c r="L50" i="39"/>
  <c r="N50" i="39" s="1"/>
  <c r="B50" i="39"/>
  <c r="Z49" i="39"/>
  <c r="X49" i="39"/>
  <c r="N49" i="39"/>
  <c r="L49" i="39"/>
  <c r="B49" i="39"/>
  <c r="Z48" i="39"/>
  <c r="X48" i="39"/>
  <c r="N48" i="39"/>
  <c r="L48" i="39"/>
  <c r="B48" i="39"/>
  <c r="Z47" i="39"/>
  <c r="X47" i="39"/>
  <c r="L47" i="39"/>
  <c r="N47" i="39" s="1"/>
  <c r="B47" i="39"/>
  <c r="T46" i="39"/>
  <c r="P46" i="39"/>
  <c r="H46" i="39"/>
  <c r="D46" i="39"/>
  <c r="B46" i="39"/>
  <c r="Z45" i="39"/>
  <c r="X45" i="39"/>
  <c r="L45" i="39"/>
  <c r="N45" i="39" s="1"/>
  <c r="B45" i="39"/>
  <c r="Z44" i="39"/>
  <c r="X44" i="39"/>
  <c r="L44" i="39"/>
  <c r="N44" i="39" s="1"/>
  <c r="B44" i="39"/>
  <c r="X43" i="39"/>
  <c r="Z43" i="39" s="1"/>
  <c r="L43" i="39"/>
  <c r="N43" i="39" s="1"/>
  <c r="B43" i="39"/>
  <c r="X42" i="39"/>
  <c r="Z42" i="39" s="1"/>
  <c r="N42" i="39"/>
  <c r="L42" i="39"/>
  <c r="B42" i="39"/>
  <c r="Z41" i="39"/>
  <c r="X41" i="39"/>
  <c r="L41" i="39"/>
  <c r="N41" i="39" s="1"/>
  <c r="B41" i="39"/>
  <c r="Z40" i="39"/>
  <c r="X40" i="39"/>
  <c r="L40" i="39"/>
  <c r="N40" i="39" s="1"/>
  <c r="B40" i="39"/>
  <c r="X39" i="39"/>
  <c r="Z39" i="39" s="1"/>
  <c r="L39" i="39"/>
  <c r="N39" i="39" s="1"/>
  <c r="B39" i="39"/>
  <c r="X38" i="39"/>
  <c r="Z38" i="39" s="1"/>
  <c r="N38" i="39"/>
  <c r="L38" i="39"/>
  <c r="B38" i="39"/>
  <c r="Z37" i="39"/>
  <c r="X37" i="39"/>
  <c r="L37" i="39"/>
  <c r="N37" i="39" s="1"/>
  <c r="B37" i="39"/>
  <c r="T36" i="39"/>
  <c r="P36" i="39"/>
  <c r="X36" i="39" s="1"/>
  <c r="H36" i="39"/>
  <c r="N36" i="39" s="1"/>
  <c r="D36" i="39"/>
  <c r="L36" i="39" s="1"/>
  <c r="B36" i="39"/>
  <c r="X35" i="39"/>
  <c r="T35" i="39"/>
  <c r="Z35" i="39" s="1"/>
  <c r="P35" i="39"/>
  <c r="H35" i="39"/>
  <c r="D35" i="39"/>
  <c r="X31" i="39"/>
  <c r="Z31" i="39" s="1"/>
  <c r="N31" i="39"/>
  <c r="L31" i="39"/>
  <c r="B31" i="39"/>
  <c r="Z30" i="39"/>
  <c r="X30" i="39"/>
  <c r="L30" i="39"/>
  <c r="N30" i="39" s="1"/>
  <c r="B30" i="39"/>
  <c r="T29" i="39"/>
  <c r="P29" i="39"/>
  <c r="L29" i="39"/>
  <c r="H29" i="39"/>
  <c r="D29" i="39"/>
  <c r="T27" i="39"/>
  <c r="P27" i="39"/>
  <c r="X27" i="39" s="1"/>
  <c r="Z27" i="39" s="1"/>
  <c r="H27" i="39"/>
  <c r="D27" i="39"/>
  <c r="L27" i="39" s="1"/>
  <c r="N27" i="39" s="1"/>
  <c r="B27" i="39"/>
  <c r="X26" i="39"/>
  <c r="Z26" i="39" s="1"/>
  <c r="T26" i="39"/>
  <c r="P26" i="39"/>
  <c r="H26" i="39"/>
  <c r="D26" i="39"/>
  <c r="B26" i="39"/>
  <c r="X25" i="39"/>
  <c r="T25" i="39"/>
  <c r="P25" i="39"/>
  <c r="N25" i="39"/>
  <c r="H25" i="39"/>
  <c r="D25" i="39"/>
  <c r="L25" i="39" s="1"/>
  <c r="B25" i="39"/>
  <c r="X24" i="39"/>
  <c r="T24" i="39"/>
  <c r="Z24" i="39" s="1"/>
  <c r="P24" i="39"/>
  <c r="L24" i="39"/>
  <c r="N24" i="39" s="1"/>
  <c r="H24" i="39"/>
  <c r="D24" i="39"/>
  <c r="B24" i="39"/>
  <c r="T23" i="39"/>
  <c r="P23" i="39"/>
  <c r="X23" i="39" s="1"/>
  <c r="Z23" i="39" s="1"/>
  <c r="H23" i="39"/>
  <c r="D23" i="39"/>
  <c r="L23" i="39" s="1"/>
  <c r="N23" i="39" s="1"/>
  <c r="B23" i="39"/>
  <c r="X22" i="39"/>
  <c r="Z22" i="39" s="1"/>
  <c r="T22" i="39"/>
  <c r="P22" i="39"/>
  <c r="H22" i="39"/>
  <c r="D22" i="39"/>
  <c r="L22" i="39" s="1"/>
  <c r="B22" i="39"/>
  <c r="T21" i="39"/>
  <c r="P21" i="39"/>
  <c r="N21" i="39"/>
  <c r="H21" i="39"/>
  <c r="D21" i="39"/>
  <c r="L21" i="39" s="1"/>
  <c r="B21" i="39"/>
  <c r="Z20" i="39"/>
  <c r="X20" i="39"/>
  <c r="T20" i="39"/>
  <c r="P20" i="39"/>
  <c r="N20" i="39"/>
  <c r="L20" i="39"/>
  <c r="H20" i="39"/>
  <c r="D20" i="39"/>
  <c r="B20" i="39"/>
  <c r="T19" i="39"/>
  <c r="P19" i="39"/>
  <c r="X19" i="39" s="1"/>
  <c r="Z19" i="39" s="1"/>
  <c r="L19" i="39"/>
  <c r="N19" i="39" s="1"/>
  <c r="H19" i="39"/>
  <c r="D19" i="39"/>
  <c r="B19" i="39"/>
  <c r="X18" i="39"/>
  <c r="Z18" i="39" s="1"/>
  <c r="T18" i="39"/>
  <c r="P18" i="39"/>
  <c r="H18" i="39"/>
  <c r="D18" i="39"/>
  <c r="L18" i="39" s="1"/>
  <c r="B18" i="39"/>
  <c r="X17" i="39"/>
  <c r="T17" i="39"/>
  <c r="P17" i="39"/>
  <c r="H17" i="39"/>
  <c r="D17" i="39"/>
  <c r="L17" i="39" s="1"/>
  <c r="N17" i="39" s="1"/>
  <c r="B17" i="39"/>
  <c r="X16" i="39"/>
  <c r="Z16" i="39" s="1"/>
  <c r="T16" i="39"/>
  <c r="P16" i="39"/>
  <c r="H16" i="39"/>
  <c r="D16" i="39"/>
  <c r="B16" i="39"/>
  <c r="T15" i="39"/>
  <c r="P15" i="39"/>
  <c r="X15" i="39" s="1"/>
  <c r="Z15" i="39" s="1"/>
  <c r="N15" i="39"/>
  <c r="L15" i="39"/>
  <c r="H15" i="39"/>
  <c r="D15" i="39"/>
  <c r="B15" i="39"/>
  <c r="X14" i="39"/>
  <c r="Z14" i="39" s="1"/>
  <c r="T14" i="39"/>
  <c r="P14" i="39"/>
  <c r="H14" i="39"/>
  <c r="D14" i="39"/>
  <c r="B14" i="39"/>
  <c r="X13" i="39"/>
  <c r="T13" i="39"/>
  <c r="P13" i="39"/>
  <c r="N13" i="39"/>
  <c r="L13" i="39"/>
  <c r="H13" i="39"/>
  <c r="D13" i="39"/>
  <c r="B13" i="39"/>
  <c r="D4" i="39"/>
  <c r="Z78" i="33"/>
  <c r="X78" i="33"/>
  <c r="N78" i="33"/>
  <c r="L78" i="33"/>
  <c r="T74" i="33"/>
  <c r="P74" i="33"/>
  <c r="H74" i="33"/>
  <c r="D74" i="33"/>
  <c r="L74" i="33" s="1"/>
  <c r="B74" i="33"/>
  <c r="T73" i="33"/>
  <c r="P73" i="33"/>
  <c r="L73" i="33"/>
  <c r="H73" i="33"/>
  <c r="D73" i="33"/>
  <c r="B73" i="33"/>
  <c r="T72" i="33"/>
  <c r="P72" i="33"/>
  <c r="N72" i="33"/>
  <c r="H72" i="33"/>
  <c r="H71" i="33" s="1"/>
  <c r="D72" i="33"/>
  <c r="L72" i="33" s="1"/>
  <c r="B72" i="33"/>
  <c r="P71" i="33"/>
  <c r="D71" i="33"/>
  <c r="L71" i="33" s="1"/>
  <c r="X69" i="33"/>
  <c r="Z69" i="33" s="1"/>
  <c r="L69" i="33"/>
  <c r="N69" i="33" s="1"/>
  <c r="B69" i="33"/>
  <c r="X68" i="33"/>
  <c r="T68" i="33"/>
  <c r="P68" i="33"/>
  <c r="J68" i="33"/>
  <c r="H68" i="33"/>
  <c r="D68" i="33"/>
  <c r="L68" i="33" s="1"/>
  <c r="B68" i="33"/>
  <c r="Z67" i="33"/>
  <c r="X67" i="33"/>
  <c r="N67" i="33"/>
  <c r="L67" i="33"/>
  <c r="B67" i="33"/>
  <c r="Z66" i="33"/>
  <c r="X66" i="33"/>
  <c r="N66" i="33"/>
  <c r="L66" i="33"/>
  <c r="B66" i="33"/>
  <c r="X65" i="33"/>
  <c r="Z65" i="33" s="1"/>
  <c r="N65" i="33"/>
  <c r="L65" i="33"/>
  <c r="B65" i="33"/>
  <c r="Z64" i="33"/>
  <c r="X64" i="33"/>
  <c r="N64" i="33"/>
  <c r="L64" i="33"/>
  <c r="B64" i="33"/>
  <c r="X63" i="33"/>
  <c r="Z63" i="33" s="1"/>
  <c r="N63" i="33"/>
  <c r="L63" i="33"/>
  <c r="B63" i="33"/>
  <c r="T62" i="33"/>
  <c r="X62" i="33" s="1"/>
  <c r="Z62" i="33" s="1"/>
  <c r="P62" i="33"/>
  <c r="N62" i="33"/>
  <c r="L62" i="33"/>
  <c r="H62" i="33"/>
  <c r="D62" i="33"/>
  <c r="B62" i="33"/>
  <c r="Z61" i="33"/>
  <c r="X61" i="33"/>
  <c r="N61" i="33"/>
  <c r="L61" i="33"/>
  <c r="B61" i="33"/>
  <c r="X60" i="33"/>
  <c r="Z60" i="33" s="1"/>
  <c r="T60" i="33"/>
  <c r="P60" i="33"/>
  <c r="N60" i="33"/>
  <c r="L60" i="33"/>
  <c r="H60" i="33"/>
  <c r="D60" i="33"/>
  <c r="B60" i="33"/>
  <c r="X59" i="33"/>
  <c r="Z59" i="33" s="1"/>
  <c r="L59" i="33"/>
  <c r="N59" i="33" s="1"/>
  <c r="B59" i="33"/>
  <c r="T58" i="33"/>
  <c r="P58" i="33"/>
  <c r="X58" i="33" s="1"/>
  <c r="H58" i="33"/>
  <c r="D58" i="33"/>
  <c r="L58" i="33" s="1"/>
  <c r="B58" i="33"/>
  <c r="X57" i="33"/>
  <c r="Z57" i="33" s="1"/>
  <c r="N57" i="33"/>
  <c r="L57" i="33"/>
  <c r="B57" i="33"/>
  <c r="Z56" i="33"/>
  <c r="X56" i="33"/>
  <c r="N56" i="33"/>
  <c r="L56" i="33"/>
  <c r="B56" i="33"/>
  <c r="Z55" i="33"/>
  <c r="X55" i="33"/>
  <c r="T55" i="33"/>
  <c r="P55" i="33"/>
  <c r="H55" i="33"/>
  <c r="D55" i="33"/>
  <c r="B55" i="33"/>
  <c r="Z54" i="33"/>
  <c r="X54" i="33"/>
  <c r="N54" i="33"/>
  <c r="L54" i="33"/>
  <c r="B54" i="33"/>
  <c r="T53" i="33"/>
  <c r="P53" i="33"/>
  <c r="N53" i="33"/>
  <c r="H53" i="33"/>
  <c r="D53" i="33"/>
  <c r="L53" i="33" s="1"/>
  <c r="B53" i="33"/>
  <c r="X52" i="33"/>
  <c r="Z52" i="33" s="1"/>
  <c r="L52" i="33"/>
  <c r="N52" i="33" s="1"/>
  <c r="B52" i="33"/>
  <c r="X51" i="33"/>
  <c r="Z51" i="33" s="1"/>
  <c r="T51" i="33"/>
  <c r="P51" i="33"/>
  <c r="H51" i="33"/>
  <c r="D51" i="33"/>
  <c r="L51" i="33" s="1"/>
  <c r="N51" i="33" s="1"/>
  <c r="B51" i="33"/>
  <c r="Z50" i="33"/>
  <c r="X50" i="33"/>
  <c r="N50" i="33"/>
  <c r="L50" i="33"/>
  <c r="B50" i="33"/>
  <c r="X49" i="33"/>
  <c r="T49" i="33"/>
  <c r="Z49" i="33" s="1"/>
  <c r="P49" i="33"/>
  <c r="N49" i="33"/>
  <c r="H49" i="33"/>
  <c r="L49" i="33" s="1"/>
  <c r="D49" i="33"/>
  <c r="B49" i="33"/>
  <c r="Z48" i="33"/>
  <c r="X48" i="33"/>
  <c r="L48" i="33"/>
  <c r="N48" i="33" s="1"/>
  <c r="B48" i="33"/>
  <c r="Z47" i="33"/>
  <c r="X47" i="33"/>
  <c r="L47" i="33"/>
  <c r="N47" i="33" s="1"/>
  <c r="B47" i="33"/>
  <c r="Z46" i="33"/>
  <c r="X46" i="33"/>
  <c r="N46" i="33"/>
  <c r="L46" i="33"/>
  <c r="B46" i="33"/>
  <c r="T45" i="33"/>
  <c r="P45" i="33"/>
  <c r="N45" i="33"/>
  <c r="H45" i="33"/>
  <c r="D45" i="33"/>
  <c r="L45" i="33" s="1"/>
  <c r="B45" i="33"/>
  <c r="X44" i="33"/>
  <c r="Z44" i="33" s="1"/>
  <c r="L44" i="33"/>
  <c r="N44" i="33" s="1"/>
  <c r="B44" i="33"/>
  <c r="X43" i="33"/>
  <c r="Z43" i="33" s="1"/>
  <c r="L43" i="33"/>
  <c r="N43" i="33" s="1"/>
  <c r="B43" i="33"/>
  <c r="Z42" i="33"/>
  <c r="X42" i="33"/>
  <c r="L42" i="33"/>
  <c r="N42" i="33" s="1"/>
  <c r="B42" i="33"/>
  <c r="Z41" i="33"/>
  <c r="X41" i="33"/>
  <c r="L41" i="33"/>
  <c r="N41" i="33" s="1"/>
  <c r="B41" i="33"/>
  <c r="X40" i="33"/>
  <c r="Z40" i="33" s="1"/>
  <c r="L40" i="33"/>
  <c r="N40" i="33" s="1"/>
  <c r="B40" i="33"/>
  <c r="X39" i="33"/>
  <c r="Z39" i="33" s="1"/>
  <c r="N39" i="33"/>
  <c r="L39" i="33"/>
  <c r="B39" i="33"/>
  <c r="Z38" i="33"/>
  <c r="X38" i="33"/>
  <c r="L38" i="33"/>
  <c r="N38" i="33" s="1"/>
  <c r="B38" i="33"/>
  <c r="X37" i="33"/>
  <c r="Z37" i="33" s="1"/>
  <c r="L37" i="33"/>
  <c r="N37" i="33" s="1"/>
  <c r="B37" i="33"/>
  <c r="T36" i="33"/>
  <c r="P36" i="33"/>
  <c r="X36" i="33" s="1"/>
  <c r="H36" i="33"/>
  <c r="D36" i="33"/>
  <c r="B36" i="33"/>
  <c r="T35" i="33"/>
  <c r="P35" i="33"/>
  <c r="X35" i="33" s="1"/>
  <c r="Z35" i="33" s="1"/>
  <c r="L35" i="33"/>
  <c r="H35" i="33"/>
  <c r="D35" i="33"/>
  <c r="X31" i="33"/>
  <c r="Z31" i="33" s="1"/>
  <c r="N31" i="33"/>
  <c r="L31" i="33"/>
  <c r="B31" i="33"/>
  <c r="X30" i="33"/>
  <c r="Z30" i="33" s="1"/>
  <c r="N30" i="33"/>
  <c r="L30" i="33"/>
  <c r="B30" i="33"/>
  <c r="Z29" i="33"/>
  <c r="X29" i="33"/>
  <c r="L29" i="33"/>
  <c r="N29" i="33" s="1"/>
  <c r="B29" i="33"/>
  <c r="X28" i="33"/>
  <c r="Z28" i="33" s="1"/>
  <c r="L28" i="33"/>
  <c r="N28" i="33" s="1"/>
  <c r="B28" i="33"/>
  <c r="X27" i="33"/>
  <c r="Z27" i="33" s="1"/>
  <c r="T27" i="33"/>
  <c r="P27" i="33"/>
  <c r="H27" i="33"/>
  <c r="D27" i="33"/>
  <c r="L27" i="33" s="1"/>
  <c r="N27" i="33" s="1"/>
  <c r="X25" i="33"/>
  <c r="T25" i="33"/>
  <c r="Z25" i="33" s="1"/>
  <c r="P25" i="33"/>
  <c r="H25" i="33"/>
  <c r="N25" i="33" s="1"/>
  <c r="D25" i="33"/>
  <c r="L25" i="33" s="1"/>
  <c r="B25" i="33"/>
  <c r="T24" i="33"/>
  <c r="P24" i="33"/>
  <c r="N24" i="33"/>
  <c r="L24" i="33"/>
  <c r="H24" i="33"/>
  <c r="D24" i="33"/>
  <c r="B24" i="33"/>
  <c r="T23" i="33"/>
  <c r="X23" i="33" s="1"/>
  <c r="Z23" i="33" s="1"/>
  <c r="P23" i="33"/>
  <c r="L23" i="33"/>
  <c r="N23" i="33" s="1"/>
  <c r="H23" i="33"/>
  <c r="D23" i="33"/>
  <c r="B23" i="33"/>
  <c r="T22" i="33"/>
  <c r="Z22" i="33" s="1"/>
  <c r="P22" i="33"/>
  <c r="X22" i="33" s="1"/>
  <c r="L22" i="33"/>
  <c r="N22" i="33" s="1"/>
  <c r="H22" i="33"/>
  <c r="D22" i="33"/>
  <c r="B22" i="33"/>
  <c r="X21" i="33"/>
  <c r="T21" i="33"/>
  <c r="Z21" i="33" s="1"/>
  <c r="P21" i="33"/>
  <c r="H21" i="33"/>
  <c r="D21" i="33"/>
  <c r="L21" i="33" s="1"/>
  <c r="B21" i="33"/>
  <c r="T20" i="33"/>
  <c r="P20" i="33"/>
  <c r="N20" i="33"/>
  <c r="L20" i="33"/>
  <c r="H20" i="33"/>
  <c r="D20" i="33"/>
  <c r="B20" i="33"/>
  <c r="T19" i="33"/>
  <c r="X19" i="33" s="1"/>
  <c r="Z19" i="33" s="1"/>
  <c r="P19" i="33"/>
  <c r="L19" i="33"/>
  <c r="N19" i="33" s="1"/>
  <c r="H19" i="33"/>
  <c r="D19" i="33"/>
  <c r="B19" i="33"/>
  <c r="T18" i="33"/>
  <c r="P18" i="33"/>
  <c r="X18" i="33" s="1"/>
  <c r="L18" i="33"/>
  <c r="N18" i="33" s="1"/>
  <c r="H18" i="33"/>
  <c r="D18" i="33"/>
  <c r="B18" i="33"/>
  <c r="T17" i="33"/>
  <c r="P17" i="33"/>
  <c r="H17" i="33"/>
  <c r="D17" i="33"/>
  <c r="L17" i="33" s="1"/>
  <c r="B17" i="33"/>
  <c r="T16" i="33"/>
  <c r="P16" i="33"/>
  <c r="L16" i="33"/>
  <c r="N16" i="33" s="1"/>
  <c r="H16" i="33"/>
  <c r="D16" i="33"/>
  <c r="B16" i="33"/>
  <c r="T15" i="33"/>
  <c r="X15" i="33" s="1"/>
  <c r="Z15" i="33" s="1"/>
  <c r="P15" i="33"/>
  <c r="L15" i="33"/>
  <c r="N15" i="33" s="1"/>
  <c r="H15" i="33"/>
  <c r="D15" i="33"/>
  <c r="B15" i="33"/>
  <c r="T14" i="33"/>
  <c r="P14" i="33"/>
  <c r="P12" i="33" s="1"/>
  <c r="R40" i="33" s="1"/>
  <c r="L14" i="33"/>
  <c r="N14" i="33" s="1"/>
  <c r="H14" i="33"/>
  <c r="D14" i="33"/>
  <c r="B14" i="33"/>
  <c r="T13" i="33"/>
  <c r="P13" i="33"/>
  <c r="H13" i="33"/>
  <c r="H12" i="33" s="1"/>
  <c r="J57" i="33" s="1"/>
  <c r="D13" i="33"/>
  <c r="D12" i="33" s="1"/>
  <c r="F36" i="33" s="1"/>
  <c r="B13" i="33"/>
  <c r="D4" i="33"/>
  <c r="Z134" i="30"/>
  <c r="X134" i="30"/>
  <c r="L134" i="30"/>
  <c r="N134" i="30" s="1"/>
  <c r="T130" i="30"/>
  <c r="Z130" i="30" s="1"/>
  <c r="P130" i="30"/>
  <c r="X130" i="30" s="1"/>
  <c r="L130" i="30"/>
  <c r="H130" i="30"/>
  <c r="N130" i="30" s="1"/>
  <c r="D130" i="30"/>
  <c r="B130" i="30"/>
  <c r="X129" i="30"/>
  <c r="T129" i="30"/>
  <c r="Z129" i="30" s="1"/>
  <c r="P129" i="30"/>
  <c r="H129" i="30"/>
  <c r="L129" i="30" s="1"/>
  <c r="N129" i="30" s="1"/>
  <c r="D129" i="30"/>
  <c r="D128" i="30" s="1"/>
  <c r="B129" i="30"/>
  <c r="P128" i="30"/>
  <c r="Z126" i="30"/>
  <c r="X126" i="30"/>
  <c r="L126" i="30"/>
  <c r="N126" i="30" s="1"/>
  <c r="B126" i="30"/>
  <c r="T125" i="30"/>
  <c r="Z125" i="30" s="1"/>
  <c r="P125" i="30"/>
  <c r="X125" i="30" s="1"/>
  <c r="H125" i="30"/>
  <c r="D125" i="30"/>
  <c r="L125" i="30" s="1"/>
  <c r="N125" i="30" s="1"/>
  <c r="B125" i="30"/>
  <c r="Z124" i="30"/>
  <c r="X124" i="30"/>
  <c r="N124" i="30"/>
  <c r="L124" i="30"/>
  <c r="B124" i="30"/>
  <c r="Z123" i="30"/>
  <c r="T123" i="30"/>
  <c r="P123" i="30"/>
  <c r="X123" i="30" s="1"/>
  <c r="N123" i="30"/>
  <c r="L123" i="30"/>
  <c r="H123" i="30"/>
  <c r="D123" i="30"/>
  <c r="B123" i="30"/>
  <c r="Z122" i="30"/>
  <c r="X122" i="30"/>
  <c r="N122" i="30"/>
  <c r="L122" i="30"/>
  <c r="B122" i="30"/>
  <c r="Z121" i="30"/>
  <c r="T121" i="30"/>
  <c r="X121" i="30" s="1"/>
  <c r="P121" i="30"/>
  <c r="L121" i="30"/>
  <c r="H121" i="30"/>
  <c r="N121" i="30" s="1"/>
  <c r="D121" i="30"/>
  <c r="B121" i="30"/>
  <c r="X120" i="30"/>
  <c r="Z120" i="30" s="1"/>
  <c r="N120" i="30"/>
  <c r="L120" i="30"/>
  <c r="B120" i="30"/>
  <c r="T119" i="30"/>
  <c r="Z119" i="30" s="1"/>
  <c r="P119" i="30"/>
  <c r="X119" i="30" s="1"/>
  <c r="H119" i="30"/>
  <c r="N119" i="30" s="1"/>
  <c r="D119" i="30"/>
  <c r="L119" i="30" s="1"/>
  <c r="B119" i="30"/>
  <c r="X118" i="30"/>
  <c r="Z118" i="30" s="1"/>
  <c r="N118" i="30"/>
  <c r="L118" i="30"/>
  <c r="B118" i="30"/>
  <c r="Z117" i="30"/>
  <c r="X117" i="30"/>
  <c r="N117" i="30"/>
  <c r="L117" i="30"/>
  <c r="B117" i="30"/>
  <c r="Z116" i="30"/>
  <c r="X116" i="30"/>
  <c r="N116" i="30"/>
  <c r="L116" i="30"/>
  <c r="B116" i="30"/>
  <c r="X115" i="30"/>
  <c r="Z115" i="30" s="1"/>
  <c r="L115" i="30"/>
  <c r="N115" i="30" s="1"/>
  <c r="B115" i="30"/>
  <c r="X114" i="30"/>
  <c r="T114" i="30"/>
  <c r="Z114" i="30" s="1"/>
  <c r="P114" i="30"/>
  <c r="H114" i="30"/>
  <c r="N114" i="30" s="1"/>
  <c r="D114" i="30"/>
  <c r="L114" i="30" s="1"/>
  <c r="B114" i="30"/>
  <c r="Z113" i="30"/>
  <c r="X113" i="30"/>
  <c r="L113" i="30"/>
  <c r="N113" i="30" s="1"/>
  <c r="B113" i="30"/>
  <c r="T112" i="30"/>
  <c r="P112" i="30"/>
  <c r="H112" i="30"/>
  <c r="D112" i="30"/>
  <c r="L112" i="30" s="1"/>
  <c r="N112" i="30" s="1"/>
  <c r="B112" i="30"/>
  <c r="X111" i="30"/>
  <c r="Z111" i="30" s="1"/>
  <c r="L111" i="30"/>
  <c r="N111" i="30" s="1"/>
  <c r="B111" i="30"/>
  <c r="Z110" i="30"/>
  <c r="X110" i="30"/>
  <c r="L110" i="30"/>
  <c r="N110" i="30" s="1"/>
  <c r="B110" i="30"/>
  <c r="X109" i="30"/>
  <c r="Z109" i="30" s="1"/>
  <c r="L109" i="30"/>
  <c r="N109" i="30" s="1"/>
  <c r="B109" i="30"/>
  <c r="X108" i="30"/>
  <c r="Z108" i="30" s="1"/>
  <c r="T108" i="30"/>
  <c r="P108" i="30"/>
  <c r="H108" i="30"/>
  <c r="D108" i="30"/>
  <c r="L108" i="30" s="1"/>
  <c r="N108" i="30" s="1"/>
  <c r="B108" i="30"/>
  <c r="X107" i="30"/>
  <c r="Z107" i="30" s="1"/>
  <c r="L107" i="30"/>
  <c r="N107" i="30" s="1"/>
  <c r="B107" i="30"/>
  <c r="X106" i="30"/>
  <c r="Z106" i="30" s="1"/>
  <c r="N106" i="30"/>
  <c r="L106" i="30"/>
  <c r="B106" i="30"/>
  <c r="X105" i="30"/>
  <c r="Z105" i="30" s="1"/>
  <c r="T105" i="30"/>
  <c r="P105" i="30"/>
  <c r="H105" i="30"/>
  <c r="D105" i="30"/>
  <c r="L105" i="30" s="1"/>
  <c r="N105" i="30" s="1"/>
  <c r="B105" i="30"/>
  <c r="Z104" i="30"/>
  <c r="X104" i="30"/>
  <c r="L104" i="30"/>
  <c r="N104" i="30" s="1"/>
  <c r="B104" i="30"/>
  <c r="X103" i="30"/>
  <c r="T103" i="30"/>
  <c r="Z103" i="30" s="1"/>
  <c r="P103" i="30"/>
  <c r="H103" i="30"/>
  <c r="L103" i="30" s="1"/>
  <c r="N103" i="30" s="1"/>
  <c r="D103" i="30"/>
  <c r="B103" i="30"/>
  <c r="Z102" i="30"/>
  <c r="X102" i="30"/>
  <c r="L102" i="30"/>
  <c r="N102" i="30" s="1"/>
  <c r="B102" i="30"/>
  <c r="T101" i="30"/>
  <c r="P101" i="30"/>
  <c r="X101" i="30" s="1"/>
  <c r="H101" i="30"/>
  <c r="D101" i="30"/>
  <c r="L101" i="30" s="1"/>
  <c r="N101" i="30" s="1"/>
  <c r="B101" i="30"/>
  <c r="Z100" i="30"/>
  <c r="X100" i="30"/>
  <c r="N100" i="30"/>
  <c r="L100" i="30"/>
  <c r="B100" i="30"/>
  <c r="T99" i="30"/>
  <c r="P99" i="30"/>
  <c r="X99" i="30" s="1"/>
  <c r="Z99" i="30" s="1"/>
  <c r="L99" i="30"/>
  <c r="N99" i="30" s="1"/>
  <c r="H99" i="30"/>
  <c r="D99" i="30"/>
  <c r="B99" i="30"/>
  <c r="Z98" i="30"/>
  <c r="X98" i="30"/>
  <c r="N98" i="30"/>
  <c r="L98" i="30"/>
  <c r="B98" i="30"/>
  <c r="T97" i="30"/>
  <c r="X97" i="30" s="1"/>
  <c r="Z97" i="30" s="1"/>
  <c r="P97" i="30"/>
  <c r="L97" i="30"/>
  <c r="H97" i="30"/>
  <c r="N97" i="30" s="1"/>
  <c r="D97" i="30"/>
  <c r="B97" i="30"/>
  <c r="Z96" i="30"/>
  <c r="X96" i="30"/>
  <c r="N96" i="30"/>
  <c r="L96" i="30"/>
  <c r="B96" i="30"/>
  <c r="T95" i="30"/>
  <c r="Z95" i="30" s="1"/>
  <c r="P95" i="30"/>
  <c r="X95" i="30" s="1"/>
  <c r="H95" i="30"/>
  <c r="N95" i="30" s="1"/>
  <c r="D95" i="30"/>
  <c r="L95" i="30" s="1"/>
  <c r="B95" i="30"/>
  <c r="X94" i="30"/>
  <c r="Z94" i="30" s="1"/>
  <c r="N94" i="30"/>
  <c r="L94" i="30"/>
  <c r="B94" i="30"/>
  <c r="X93" i="30"/>
  <c r="Z93" i="30" s="1"/>
  <c r="T93" i="30"/>
  <c r="P93" i="30"/>
  <c r="H93" i="30"/>
  <c r="D93" i="30"/>
  <c r="L93" i="30" s="1"/>
  <c r="N93" i="30" s="1"/>
  <c r="B93" i="30"/>
  <c r="Z92" i="30"/>
  <c r="X92" i="30"/>
  <c r="L92" i="30"/>
  <c r="N92" i="30" s="1"/>
  <c r="B92" i="30"/>
  <c r="X91" i="30"/>
  <c r="T91" i="30"/>
  <c r="Z91" i="30" s="1"/>
  <c r="P91" i="30"/>
  <c r="N91" i="30"/>
  <c r="H91" i="30"/>
  <c r="L91" i="30" s="1"/>
  <c r="D91" i="30"/>
  <c r="B91" i="30"/>
  <c r="Z90" i="30"/>
  <c r="X90" i="30"/>
  <c r="L90" i="30"/>
  <c r="N90" i="30" s="1"/>
  <c r="B90" i="30"/>
  <c r="T89" i="30"/>
  <c r="Z89" i="30" s="1"/>
  <c r="P89" i="30"/>
  <c r="X89" i="30" s="1"/>
  <c r="H89" i="30"/>
  <c r="D89" i="30"/>
  <c r="L89" i="30" s="1"/>
  <c r="N89" i="30" s="1"/>
  <c r="B89" i="30"/>
  <c r="Z88" i="30"/>
  <c r="X88" i="30"/>
  <c r="N88" i="30"/>
  <c r="L88" i="30"/>
  <c r="B88" i="30"/>
  <c r="T87" i="30"/>
  <c r="P87" i="30"/>
  <c r="X87" i="30" s="1"/>
  <c r="Z87" i="30" s="1"/>
  <c r="L87" i="30"/>
  <c r="N87" i="30" s="1"/>
  <c r="H87" i="30"/>
  <c r="D87" i="30"/>
  <c r="B87" i="30"/>
  <c r="Z86" i="30"/>
  <c r="X86" i="30"/>
  <c r="N86" i="30"/>
  <c r="L86" i="30"/>
  <c r="B86" i="30"/>
  <c r="Z85" i="30"/>
  <c r="T85" i="30"/>
  <c r="X85" i="30" s="1"/>
  <c r="P85" i="30"/>
  <c r="L85" i="30"/>
  <c r="H85" i="30"/>
  <c r="N85" i="30" s="1"/>
  <c r="D85" i="30"/>
  <c r="B85" i="30"/>
  <c r="X84" i="30"/>
  <c r="Z84" i="30" s="1"/>
  <c r="N84" i="30"/>
  <c r="L84" i="30"/>
  <c r="B84" i="30"/>
  <c r="X83" i="30"/>
  <c r="Z83" i="30" s="1"/>
  <c r="N83" i="30"/>
  <c r="L83" i="30"/>
  <c r="B83" i="30"/>
  <c r="Z82" i="30"/>
  <c r="X82" i="30"/>
  <c r="N82" i="30"/>
  <c r="L82" i="30"/>
  <c r="B82" i="30"/>
  <c r="X81" i="30"/>
  <c r="Z81" i="30" s="1"/>
  <c r="L81" i="30"/>
  <c r="N81" i="30" s="1"/>
  <c r="B81" i="30"/>
  <c r="X80" i="30"/>
  <c r="Z80" i="30" s="1"/>
  <c r="T80" i="30"/>
  <c r="P80" i="30"/>
  <c r="N80" i="30"/>
  <c r="H80" i="30"/>
  <c r="D80" i="30"/>
  <c r="L80" i="30" s="1"/>
  <c r="B80" i="30"/>
  <c r="X79" i="30"/>
  <c r="Z79" i="30" s="1"/>
  <c r="L79" i="30"/>
  <c r="N79" i="30" s="1"/>
  <c r="B79" i="30"/>
  <c r="X78" i="30"/>
  <c r="Z78" i="30" s="1"/>
  <c r="N78" i="30"/>
  <c r="L78" i="30"/>
  <c r="B78" i="30"/>
  <c r="X77" i="30"/>
  <c r="Z77" i="30" s="1"/>
  <c r="N77" i="30"/>
  <c r="L77" i="30"/>
  <c r="B77" i="30"/>
  <c r="Z76" i="30"/>
  <c r="X76" i="30"/>
  <c r="N76" i="30"/>
  <c r="L76" i="30"/>
  <c r="B76" i="30"/>
  <c r="X75" i="30"/>
  <c r="Z75" i="30" s="1"/>
  <c r="L75" i="30"/>
  <c r="N75" i="30" s="1"/>
  <c r="B75" i="30"/>
  <c r="X74" i="30"/>
  <c r="Z74" i="30" s="1"/>
  <c r="N74" i="30"/>
  <c r="L74" i="30"/>
  <c r="B74" i="30"/>
  <c r="X73" i="30"/>
  <c r="Z73" i="30" s="1"/>
  <c r="N73" i="30"/>
  <c r="L73" i="30"/>
  <c r="B73" i="30"/>
  <c r="Z72" i="30"/>
  <c r="X72" i="30"/>
  <c r="N72" i="30"/>
  <c r="L72" i="30"/>
  <c r="B72" i="30"/>
  <c r="T71" i="30"/>
  <c r="P71" i="30"/>
  <c r="X71" i="30" s="1"/>
  <c r="Z71" i="30" s="1"/>
  <c r="L71" i="30"/>
  <c r="N71" i="30" s="1"/>
  <c r="H71" i="30"/>
  <c r="D71" i="30"/>
  <c r="B71" i="30"/>
  <c r="T70" i="30"/>
  <c r="P70" i="30"/>
  <c r="X70" i="30" s="1"/>
  <c r="Z70" i="30" s="1"/>
  <c r="H70" i="30"/>
  <c r="D70" i="30"/>
  <c r="L70" i="30" s="1"/>
  <c r="Z66" i="30"/>
  <c r="X66" i="30"/>
  <c r="N66" i="30"/>
  <c r="L66" i="30"/>
  <c r="B66" i="30"/>
  <c r="Z65" i="30"/>
  <c r="X65" i="30"/>
  <c r="L65" i="30"/>
  <c r="N65" i="30" s="1"/>
  <c r="B65" i="30"/>
  <c r="Z64" i="30"/>
  <c r="X64" i="30"/>
  <c r="L64" i="30"/>
  <c r="N64" i="30" s="1"/>
  <c r="B64" i="30"/>
  <c r="X63" i="30"/>
  <c r="Z63" i="30" s="1"/>
  <c r="N63" i="30"/>
  <c r="L63" i="30"/>
  <c r="B63" i="30"/>
  <c r="Z62" i="30"/>
  <c r="X62" i="30"/>
  <c r="N62" i="30"/>
  <c r="L62" i="30"/>
  <c r="B62" i="30"/>
  <c r="Z61" i="30"/>
  <c r="X61" i="30"/>
  <c r="L61" i="30"/>
  <c r="N61" i="30" s="1"/>
  <c r="B61" i="30"/>
  <c r="Z60" i="30"/>
  <c r="X60" i="30"/>
  <c r="L60" i="30"/>
  <c r="N60" i="30" s="1"/>
  <c r="B60" i="30"/>
  <c r="X59" i="30"/>
  <c r="Z59" i="30" s="1"/>
  <c r="N59" i="30"/>
  <c r="L59" i="30"/>
  <c r="B59" i="30"/>
  <c r="Z58" i="30"/>
  <c r="X58" i="30"/>
  <c r="N58" i="30"/>
  <c r="L58" i="30"/>
  <c r="B58" i="30"/>
  <c r="Z57" i="30"/>
  <c r="X57" i="30"/>
  <c r="L57" i="30"/>
  <c r="N57" i="30" s="1"/>
  <c r="B57" i="30"/>
  <c r="Z56" i="30"/>
  <c r="X56" i="30"/>
  <c r="L56" i="30"/>
  <c r="N56" i="30" s="1"/>
  <c r="B56" i="30"/>
  <c r="X55" i="30"/>
  <c r="Z55" i="30" s="1"/>
  <c r="N55" i="30"/>
  <c r="L55" i="30"/>
  <c r="B55" i="30"/>
  <c r="Z54" i="30"/>
  <c r="X54" i="30"/>
  <c r="N54" i="30"/>
  <c r="L54" i="30"/>
  <c r="B54" i="30"/>
  <c r="Z53" i="30"/>
  <c r="X53" i="30"/>
  <c r="L53" i="30"/>
  <c r="N53" i="30" s="1"/>
  <c r="B53" i="30"/>
  <c r="Z52" i="30"/>
  <c r="X52" i="30"/>
  <c r="L52" i="30"/>
  <c r="N52" i="30" s="1"/>
  <c r="B52" i="30"/>
  <c r="X51" i="30"/>
  <c r="Z51" i="30" s="1"/>
  <c r="L51" i="30"/>
  <c r="N51" i="30" s="1"/>
  <c r="B51" i="30"/>
  <c r="Z50" i="30"/>
  <c r="X50" i="30"/>
  <c r="N50" i="30"/>
  <c r="L50" i="30"/>
  <c r="B50" i="30"/>
  <c r="T49" i="30"/>
  <c r="P49" i="30"/>
  <c r="X49" i="30" s="1"/>
  <c r="Z49" i="30" s="1"/>
  <c r="L49" i="30"/>
  <c r="H49" i="30"/>
  <c r="D49" i="30"/>
  <c r="Z47" i="30"/>
  <c r="T47" i="30"/>
  <c r="P47" i="30"/>
  <c r="X47" i="30" s="1"/>
  <c r="N47" i="30"/>
  <c r="H47" i="30"/>
  <c r="D47" i="30"/>
  <c r="L47" i="30" s="1"/>
  <c r="B47" i="30"/>
  <c r="Z46" i="30"/>
  <c r="T46" i="30"/>
  <c r="P46" i="30"/>
  <c r="X46" i="30" s="1"/>
  <c r="L46" i="30"/>
  <c r="H46" i="30"/>
  <c r="N46" i="30" s="1"/>
  <c r="D46" i="30"/>
  <c r="B46" i="30"/>
  <c r="X45" i="30"/>
  <c r="T45" i="30"/>
  <c r="Z45" i="30" s="1"/>
  <c r="P45" i="30"/>
  <c r="H45" i="30"/>
  <c r="D45" i="30"/>
  <c r="B45" i="30"/>
  <c r="Z44" i="30"/>
  <c r="T44" i="30"/>
  <c r="X44" i="30" s="1"/>
  <c r="P44" i="30"/>
  <c r="N44" i="30"/>
  <c r="L44" i="30"/>
  <c r="H44" i="30"/>
  <c r="D44" i="30"/>
  <c r="B44" i="30"/>
  <c r="Z43" i="30"/>
  <c r="T43" i="30"/>
  <c r="P43" i="30"/>
  <c r="X43" i="30" s="1"/>
  <c r="H43" i="30"/>
  <c r="D43" i="30"/>
  <c r="L43" i="30" s="1"/>
  <c r="N43" i="30" s="1"/>
  <c r="B43" i="30"/>
  <c r="T42" i="30"/>
  <c r="P42" i="30"/>
  <c r="X42" i="30" s="1"/>
  <c r="Z42" i="30" s="1"/>
  <c r="L42" i="30"/>
  <c r="H42" i="30"/>
  <c r="N42" i="30" s="1"/>
  <c r="D42" i="30"/>
  <c r="B42" i="30"/>
  <c r="X41" i="30"/>
  <c r="T41" i="30"/>
  <c r="Z41" i="30" s="1"/>
  <c r="P41" i="30"/>
  <c r="H41" i="30"/>
  <c r="D41" i="30"/>
  <c r="B41" i="30"/>
  <c r="T40" i="30"/>
  <c r="X40" i="30" s="1"/>
  <c r="Z40" i="30" s="1"/>
  <c r="P40" i="30"/>
  <c r="N40" i="30"/>
  <c r="L40" i="30"/>
  <c r="H40" i="30"/>
  <c r="D40" i="30"/>
  <c r="B40" i="30"/>
  <c r="Z39" i="30"/>
  <c r="T39" i="30"/>
  <c r="P39" i="30"/>
  <c r="X39" i="30" s="1"/>
  <c r="N39" i="30"/>
  <c r="H39" i="30"/>
  <c r="D39" i="30"/>
  <c r="L39" i="30" s="1"/>
  <c r="B39" i="30"/>
  <c r="Z38" i="30"/>
  <c r="T38" i="30"/>
  <c r="P38" i="30"/>
  <c r="X38" i="30" s="1"/>
  <c r="L38" i="30"/>
  <c r="H38" i="30"/>
  <c r="N38" i="30" s="1"/>
  <c r="D38" i="30"/>
  <c r="B38" i="30"/>
  <c r="X37" i="30"/>
  <c r="T37" i="30"/>
  <c r="Z37" i="30" s="1"/>
  <c r="P37" i="30"/>
  <c r="H37" i="30"/>
  <c r="D37" i="30"/>
  <c r="B37" i="30"/>
  <c r="T36" i="30"/>
  <c r="P36" i="30"/>
  <c r="N36" i="30"/>
  <c r="L36" i="30"/>
  <c r="H36" i="30"/>
  <c r="D36" i="30"/>
  <c r="B36" i="30"/>
  <c r="Z35" i="30"/>
  <c r="T35" i="30"/>
  <c r="P35" i="30"/>
  <c r="X35" i="30" s="1"/>
  <c r="H35" i="30"/>
  <c r="D35" i="30"/>
  <c r="L35" i="30" s="1"/>
  <c r="N35" i="30" s="1"/>
  <c r="B35" i="30"/>
  <c r="T34" i="30"/>
  <c r="P34" i="30"/>
  <c r="X34" i="30" s="1"/>
  <c r="Z34" i="30" s="1"/>
  <c r="L34" i="30"/>
  <c r="H34" i="30"/>
  <c r="N34" i="30" s="1"/>
  <c r="D34" i="30"/>
  <c r="B34" i="30"/>
  <c r="X33" i="30"/>
  <c r="T33" i="30"/>
  <c r="P33" i="30"/>
  <c r="H33" i="30"/>
  <c r="D33" i="30"/>
  <c r="B33" i="30"/>
  <c r="T32" i="30"/>
  <c r="P32" i="30"/>
  <c r="N32" i="30"/>
  <c r="L32" i="30"/>
  <c r="H32" i="30"/>
  <c r="D32" i="30"/>
  <c r="B32" i="30"/>
  <c r="Z31" i="30"/>
  <c r="T31" i="30"/>
  <c r="P31" i="30"/>
  <c r="X31" i="30" s="1"/>
  <c r="N31" i="30"/>
  <c r="H31" i="30"/>
  <c r="D31" i="30"/>
  <c r="L31" i="30" s="1"/>
  <c r="B31" i="30"/>
  <c r="Z30" i="30"/>
  <c r="T30" i="30"/>
  <c r="P30" i="30"/>
  <c r="X30" i="30" s="1"/>
  <c r="L30" i="30"/>
  <c r="H30" i="30"/>
  <c r="N30" i="30" s="1"/>
  <c r="D30" i="30"/>
  <c r="B30" i="30"/>
  <c r="X29" i="30"/>
  <c r="T29" i="30"/>
  <c r="Z29" i="30" s="1"/>
  <c r="P29" i="30"/>
  <c r="H29" i="30"/>
  <c r="D29" i="30"/>
  <c r="B29" i="30"/>
  <c r="T28" i="30"/>
  <c r="Z28" i="30" s="1"/>
  <c r="P28" i="30"/>
  <c r="N28" i="30"/>
  <c r="L28" i="30"/>
  <c r="H28" i="30"/>
  <c r="D28" i="30"/>
  <c r="B28" i="30"/>
  <c r="Z27" i="30"/>
  <c r="T27" i="30"/>
  <c r="P27" i="30"/>
  <c r="X27" i="30" s="1"/>
  <c r="N27" i="30"/>
  <c r="H27" i="30"/>
  <c r="D27" i="30"/>
  <c r="L27" i="30" s="1"/>
  <c r="B27" i="30"/>
  <c r="Z26" i="30"/>
  <c r="T26" i="30"/>
  <c r="P26" i="30"/>
  <c r="X26" i="30" s="1"/>
  <c r="L26" i="30"/>
  <c r="H26" i="30"/>
  <c r="N26" i="30" s="1"/>
  <c r="D26" i="30"/>
  <c r="B26" i="30"/>
  <c r="X25" i="30"/>
  <c r="T25" i="30"/>
  <c r="Z25" i="30" s="1"/>
  <c r="P25" i="30"/>
  <c r="H25" i="30"/>
  <c r="D25" i="30"/>
  <c r="B25" i="30"/>
  <c r="T24" i="30"/>
  <c r="P24" i="30"/>
  <c r="N24" i="30"/>
  <c r="L24" i="30"/>
  <c r="H24" i="30"/>
  <c r="D24" i="30"/>
  <c r="B24" i="30"/>
  <c r="T23" i="30"/>
  <c r="P23" i="30"/>
  <c r="X23" i="30" s="1"/>
  <c r="Z23" i="30" s="1"/>
  <c r="H23" i="30"/>
  <c r="D23" i="30"/>
  <c r="L23" i="30" s="1"/>
  <c r="N23" i="30" s="1"/>
  <c r="B23" i="30"/>
  <c r="T22" i="30"/>
  <c r="P22" i="30"/>
  <c r="X22" i="30" s="1"/>
  <c r="Z22" i="30" s="1"/>
  <c r="L22" i="30"/>
  <c r="H22" i="30"/>
  <c r="N22" i="30" s="1"/>
  <c r="D22" i="30"/>
  <c r="B22" i="30"/>
  <c r="X21" i="30"/>
  <c r="T21" i="30"/>
  <c r="P21" i="30"/>
  <c r="H21" i="30"/>
  <c r="D21" i="30"/>
  <c r="B21" i="30"/>
  <c r="T20" i="30"/>
  <c r="P20" i="30"/>
  <c r="N20" i="30"/>
  <c r="L20" i="30"/>
  <c r="H20" i="30"/>
  <c r="D20" i="30"/>
  <c r="B20" i="30"/>
  <c r="Z19" i="30"/>
  <c r="T19" i="30"/>
  <c r="P19" i="30"/>
  <c r="X19" i="30" s="1"/>
  <c r="H19" i="30"/>
  <c r="D19" i="30"/>
  <c r="L19" i="30" s="1"/>
  <c r="N19" i="30" s="1"/>
  <c r="B19" i="30"/>
  <c r="Z18" i="30"/>
  <c r="T18" i="30"/>
  <c r="P18" i="30"/>
  <c r="X18" i="30" s="1"/>
  <c r="L18" i="30"/>
  <c r="H18" i="30"/>
  <c r="N18" i="30" s="1"/>
  <c r="D18" i="30"/>
  <c r="B18" i="30"/>
  <c r="X17" i="30"/>
  <c r="T17" i="30"/>
  <c r="Z17" i="30" s="1"/>
  <c r="P17" i="30"/>
  <c r="H17" i="30"/>
  <c r="D17" i="30"/>
  <c r="B17" i="30"/>
  <c r="T16" i="30"/>
  <c r="Z16" i="30" s="1"/>
  <c r="P16" i="30"/>
  <c r="N16" i="30"/>
  <c r="L16" i="30"/>
  <c r="H16" i="30"/>
  <c r="D16" i="30"/>
  <c r="B16" i="30"/>
  <c r="Z15" i="30"/>
  <c r="T15" i="30"/>
  <c r="P15" i="30"/>
  <c r="X15" i="30" s="1"/>
  <c r="N15" i="30"/>
  <c r="H15" i="30"/>
  <c r="D15" i="30"/>
  <c r="B15" i="30"/>
  <c r="T14" i="30"/>
  <c r="P14" i="30"/>
  <c r="X14" i="30" s="1"/>
  <c r="Z14" i="30" s="1"/>
  <c r="L14" i="30"/>
  <c r="H14" i="30"/>
  <c r="N14" i="30" s="1"/>
  <c r="D14" i="30"/>
  <c r="B14" i="30"/>
  <c r="T13" i="30"/>
  <c r="P13" i="30"/>
  <c r="H13" i="30"/>
  <c r="D13" i="30"/>
  <c r="B13" i="30"/>
  <c r="D4" i="30"/>
  <c r="Z104" i="27"/>
  <c r="X104" i="27"/>
  <c r="L104" i="27"/>
  <c r="N104" i="27" s="1"/>
  <c r="J104" i="27"/>
  <c r="X100" i="27"/>
  <c r="T100" i="27"/>
  <c r="Z100" i="27" s="1"/>
  <c r="P100" i="27"/>
  <c r="H100" i="27"/>
  <c r="N100" i="27" s="1"/>
  <c r="D100" i="27"/>
  <c r="B100" i="27"/>
  <c r="X99" i="27"/>
  <c r="T99" i="27"/>
  <c r="P99" i="27"/>
  <c r="H99" i="27"/>
  <c r="D99" i="27"/>
  <c r="B99" i="27"/>
  <c r="P98" i="27"/>
  <c r="Z96" i="27"/>
  <c r="X96" i="27"/>
  <c r="N96" i="27"/>
  <c r="L96" i="27"/>
  <c r="B96" i="27"/>
  <c r="T95" i="27"/>
  <c r="Z95" i="27" s="1"/>
  <c r="P95" i="27"/>
  <c r="X95" i="27" s="1"/>
  <c r="N95" i="27"/>
  <c r="H95" i="27"/>
  <c r="D95" i="27"/>
  <c r="L95" i="27" s="1"/>
  <c r="B95" i="27"/>
  <c r="X94" i="27"/>
  <c r="Z94" i="27" s="1"/>
  <c r="N94" i="27"/>
  <c r="L94" i="27"/>
  <c r="B94" i="27"/>
  <c r="T93" i="27"/>
  <c r="P93" i="27"/>
  <c r="X93" i="27" s="1"/>
  <c r="Z93" i="27" s="1"/>
  <c r="L93" i="27"/>
  <c r="H93" i="27"/>
  <c r="N93" i="27" s="1"/>
  <c r="D93" i="27"/>
  <c r="B93" i="27"/>
  <c r="X92" i="27"/>
  <c r="Z92" i="27" s="1"/>
  <c r="N92" i="27"/>
  <c r="L92" i="27"/>
  <c r="B92" i="27"/>
  <c r="Z91" i="27"/>
  <c r="X91" i="27"/>
  <c r="N91" i="27"/>
  <c r="L91" i="27"/>
  <c r="B91" i="27"/>
  <c r="Z90" i="27"/>
  <c r="T90" i="27"/>
  <c r="P90" i="27"/>
  <c r="X90" i="27" s="1"/>
  <c r="L90" i="27"/>
  <c r="H90" i="27"/>
  <c r="N90" i="27" s="1"/>
  <c r="D90" i="27"/>
  <c r="B90" i="27"/>
  <c r="X89" i="27"/>
  <c r="Z89" i="27" s="1"/>
  <c r="N89" i="27"/>
  <c r="L89" i="27"/>
  <c r="B89" i="27"/>
  <c r="Z88" i="27"/>
  <c r="X88" i="27"/>
  <c r="L88" i="27"/>
  <c r="N88" i="27" s="1"/>
  <c r="B88" i="27"/>
  <c r="T87" i="27"/>
  <c r="P87" i="27"/>
  <c r="H87" i="27"/>
  <c r="N87" i="27" s="1"/>
  <c r="D87" i="27"/>
  <c r="L87" i="27" s="1"/>
  <c r="B87" i="27"/>
  <c r="X86" i="27"/>
  <c r="Z86" i="27" s="1"/>
  <c r="N86" i="27"/>
  <c r="L86" i="27"/>
  <c r="B86" i="27"/>
  <c r="T85" i="27"/>
  <c r="P85" i="27"/>
  <c r="X85" i="27" s="1"/>
  <c r="Z85" i="27" s="1"/>
  <c r="L85" i="27"/>
  <c r="H85" i="27"/>
  <c r="N85" i="27" s="1"/>
  <c r="D85" i="27"/>
  <c r="B85" i="27"/>
  <c r="Z84" i="27"/>
  <c r="X84" i="27"/>
  <c r="N84" i="27"/>
  <c r="L84" i="27"/>
  <c r="B84" i="27"/>
  <c r="Z83" i="27"/>
  <c r="T83" i="27"/>
  <c r="X83" i="27" s="1"/>
  <c r="P83" i="27"/>
  <c r="H83" i="27"/>
  <c r="L83" i="27" s="1"/>
  <c r="N83" i="27" s="1"/>
  <c r="D83" i="27"/>
  <c r="B83" i="27"/>
  <c r="X82" i="27"/>
  <c r="Z82" i="27" s="1"/>
  <c r="L82" i="27"/>
  <c r="N82" i="27" s="1"/>
  <c r="B82" i="27"/>
  <c r="T81" i="27"/>
  <c r="Z81" i="27" s="1"/>
  <c r="P81" i="27"/>
  <c r="X81" i="27" s="1"/>
  <c r="H81" i="27"/>
  <c r="D81" i="27"/>
  <c r="L81" i="27" s="1"/>
  <c r="N81" i="27" s="1"/>
  <c r="B81" i="27"/>
  <c r="X80" i="27"/>
  <c r="Z80" i="27" s="1"/>
  <c r="N80" i="27"/>
  <c r="L80" i="27"/>
  <c r="B80" i="27"/>
  <c r="X79" i="27"/>
  <c r="T79" i="27"/>
  <c r="Z79" i="27" s="1"/>
  <c r="P79" i="27"/>
  <c r="N79" i="27"/>
  <c r="L79" i="27"/>
  <c r="J79" i="27"/>
  <c r="H79" i="27"/>
  <c r="D79" i="27"/>
  <c r="B79" i="27"/>
  <c r="Z78" i="27"/>
  <c r="X78" i="27"/>
  <c r="L78" i="27"/>
  <c r="N78" i="27" s="1"/>
  <c r="B78" i="27"/>
  <c r="Z77" i="27"/>
  <c r="X77" i="27"/>
  <c r="T77" i="27"/>
  <c r="P77" i="27"/>
  <c r="N77" i="27"/>
  <c r="H77" i="27"/>
  <c r="L77" i="27" s="1"/>
  <c r="D77" i="27"/>
  <c r="B77" i="27"/>
  <c r="Z76" i="27"/>
  <c r="X76" i="27"/>
  <c r="L76" i="27"/>
  <c r="N76" i="27" s="1"/>
  <c r="B76" i="27"/>
  <c r="Z75" i="27"/>
  <c r="T75" i="27"/>
  <c r="P75" i="27"/>
  <c r="X75" i="27" s="1"/>
  <c r="H75" i="27"/>
  <c r="D75" i="27"/>
  <c r="L75" i="27" s="1"/>
  <c r="B75" i="27"/>
  <c r="Z74" i="27"/>
  <c r="X74" i="27"/>
  <c r="N74" i="27"/>
  <c r="L74" i="27"/>
  <c r="B74" i="27"/>
  <c r="Z73" i="27"/>
  <c r="T73" i="27"/>
  <c r="P73" i="27"/>
  <c r="X73" i="27" s="1"/>
  <c r="L73" i="27"/>
  <c r="H73" i="27"/>
  <c r="N73" i="27" s="1"/>
  <c r="D73" i="27"/>
  <c r="B73" i="27"/>
  <c r="Z72" i="27"/>
  <c r="X72" i="27"/>
  <c r="N72" i="27"/>
  <c r="L72" i="27"/>
  <c r="B72" i="27"/>
  <c r="X71" i="27"/>
  <c r="T71" i="27"/>
  <c r="Z71" i="27" s="1"/>
  <c r="P71" i="27"/>
  <c r="H71" i="27"/>
  <c r="D71" i="27"/>
  <c r="L71" i="27" s="1"/>
  <c r="B71" i="27"/>
  <c r="Z70" i="27"/>
  <c r="X70" i="27"/>
  <c r="L70" i="27"/>
  <c r="N70" i="27" s="1"/>
  <c r="B70" i="27"/>
  <c r="T69" i="27"/>
  <c r="P69" i="27"/>
  <c r="X69" i="27" s="1"/>
  <c r="Z69" i="27" s="1"/>
  <c r="H69" i="27"/>
  <c r="D69" i="27"/>
  <c r="L69" i="27" s="1"/>
  <c r="B69" i="27"/>
  <c r="Z68" i="27"/>
  <c r="X68" i="27"/>
  <c r="N68" i="27"/>
  <c r="L68" i="27"/>
  <c r="B68" i="27"/>
  <c r="Z67" i="27"/>
  <c r="X67" i="27"/>
  <c r="N67" i="27"/>
  <c r="L67" i="27"/>
  <c r="B67" i="27"/>
  <c r="X66" i="27"/>
  <c r="Z66" i="27" s="1"/>
  <c r="N66" i="27"/>
  <c r="L66" i="27"/>
  <c r="J66" i="27"/>
  <c r="B66" i="27"/>
  <c r="X65" i="27"/>
  <c r="Z65" i="27" s="1"/>
  <c r="N65" i="27"/>
  <c r="L65" i="27"/>
  <c r="B65" i="27"/>
  <c r="Z64" i="27"/>
  <c r="X64" i="27"/>
  <c r="N64" i="27"/>
  <c r="L64" i="27"/>
  <c r="B64" i="27"/>
  <c r="Z63" i="27"/>
  <c r="X63" i="27"/>
  <c r="N63" i="27"/>
  <c r="L63" i="27"/>
  <c r="B63" i="27"/>
  <c r="X62" i="27"/>
  <c r="Z62" i="27" s="1"/>
  <c r="T62" i="27"/>
  <c r="P62" i="27"/>
  <c r="N62" i="27"/>
  <c r="L62" i="27"/>
  <c r="H62" i="27"/>
  <c r="D62" i="27"/>
  <c r="B62" i="27"/>
  <c r="Z61" i="27"/>
  <c r="X61" i="27"/>
  <c r="L61" i="27"/>
  <c r="N61" i="27" s="1"/>
  <c r="B61" i="27"/>
  <c r="Z60" i="27"/>
  <c r="X60" i="27"/>
  <c r="N60" i="27"/>
  <c r="L60" i="27"/>
  <c r="J60" i="27"/>
  <c r="B60" i="27"/>
  <c r="Z59" i="27"/>
  <c r="X59" i="27"/>
  <c r="L59" i="27"/>
  <c r="N59" i="27" s="1"/>
  <c r="B59" i="27"/>
  <c r="Z58" i="27"/>
  <c r="X58" i="27"/>
  <c r="N58" i="27"/>
  <c r="L58" i="27"/>
  <c r="J58" i="27"/>
  <c r="B58" i="27"/>
  <c r="Z57" i="27"/>
  <c r="X57" i="27"/>
  <c r="L57" i="27"/>
  <c r="N57" i="27" s="1"/>
  <c r="B57" i="27"/>
  <c r="Z56" i="27"/>
  <c r="X56" i="27"/>
  <c r="N56" i="27"/>
  <c r="L56" i="27"/>
  <c r="J56" i="27"/>
  <c r="B56" i="27"/>
  <c r="Z55" i="27"/>
  <c r="X55" i="27"/>
  <c r="L55" i="27"/>
  <c r="N55" i="27" s="1"/>
  <c r="B55" i="27"/>
  <c r="Z54" i="27"/>
  <c r="X54" i="27"/>
  <c r="N54" i="27"/>
  <c r="L54" i="27"/>
  <c r="J54" i="27"/>
  <c r="B54" i="27"/>
  <c r="Z53" i="27"/>
  <c r="X53" i="27"/>
  <c r="L53" i="27"/>
  <c r="N53" i="27" s="1"/>
  <c r="B53" i="27"/>
  <c r="T52" i="27"/>
  <c r="P52" i="27"/>
  <c r="X52" i="27" s="1"/>
  <c r="Z52" i="27" s="1"/>
  <c r="N52" i="27"/>
  <c r="L52" i="27"/>
  <c r="J52" i="27"/>
  <c r="H52" i="27"/>
  <c r="D52" i="27"/>
  <c r="B52" i="27"/>
  <c r="T51" i="27"/>
  <c r="Z51" i="27" s="1"/>
  <c r="P51" i="27"/>
  <c r="X51" i="27" s="1"/>
  <c r="H51" i="27"/>
  <c r="D51" i="27"/>
  <c r="L51" i="27" s="1"/>
  <c r="X47" i="27"/>
  <c r="Z47" i="27" s="1"/>
  <c r="L47" i="27"/>
  <c r="N47" i="27" s="1"/>
  <c r="B47" i="27"/>
  <c r="Z46" i="27"/>
  <c r="X46" i="27"/>
  <c r="L46" i="27"/>
  <c r="N46" i="27" s="1"/>
  <c r="B46" i="27"/>
  <c r="X45" i="27"/>
  <c r="Z45" i="27" s="1"/>
  <c r="L45" i="27"/>
  <c r="N45" i="27" s="1"/>
  <c r="B45" i="27"/>
  <c r="Z44" i="27"/>
  <c r="X44" i="27"/>
  <c r="N44" i="27"/>
  <c r="L44" i="27"/>
  <c r="B44" i="27"/>
  <c r="X43" i="27"/>
  <c r="Z43" i="27" s="1"/>
  <c r="L43" i="27"/>
  <c r="N43" i="27" s="1"/>
  <c r="B43" i="27"/>
  <c r="Z42" i="27"/>
  <c r="X42" i="27"/>
  <c r="L42" i="27"/>
  <c r="N42" i="27" s="1"/>
  <c r="B42" i="27"/>
  <c r="X41" i="27"/>
  <c r="Z41" i="27" s="1"/>
  <c r="L41" i="27"/>
  <c r="N41" i="27" s="1"/>
  <c r="B41" i="27"/>
  <c r="Z40" i="27"/>
  <c r="X40" i="27"/>
  <c r="N40" i="27"/>
  <c r="L40" i="27"/>
  <c r="B40" i="27"/>
  <c r="X39" i="27"/>
  <c r="Z39" i="27" s="1"/>
  <c r="L39" i="27"/>
  <c r="N39" i="27" s="1"/>
  <c r="B39" i="27"/>
  <c r="Z38" i="27"/>
  <c r="X38" i="27"/>
  <c r="L38" i="27"/>
  <c r="N38" i="27" s="1"/>
  <c r="B38" i="27"/>
  <c r="X37" i="27"/>
  <c r="Z37" i="27" s="1"/>
  <c r="L37" i="27"/>
  <c r="N37" i="27" s="1"/>
  <c r="B37" i="27"/>
  <c r="Z36" i="27"/>
  <c r="X36" i="27"/>
  <c r="N36" i="27"/>
  <c r="L36" i="27"/>
  <c r="B36" i="27"/>
  <c r="T35" i="27"/>
  <c r="P35" i="27"/>
  <c r="X35" i="27" s="1"/>
  <c r="H35" i="27"/>
  <c r="N35" i="27" s="1"/>
  <c r="D35" i="27"/>
  <c r="L35" i="27" s="1"/>
  <c r="T33" i="27"/>
  <c r="P33" i="27"/>
  <c r="H33" i="27"/>
  <c r="D33" i="27"/>
  <c r="L33" i="27" s="1"/>
  <c r="B33" i="27"/>
  <c r="T32" i="27"/>
  <c r="Z32" i="27" s="1"/>
  <c r="P32" i="27"/>
  <c r="N32" i="27"/>
  <c r="L32" i="27"/>
  <c r="H32" i="27"/>
  <c r="D32" i="27"/>
  <c r="B32" i="27"/>
  <c r="X31" i="27"/>
  <c r="T31" i="27"/>
  <c r="Z31" i="27" s="1"/>
  <c r="P31" i="27"/>
  <c r="N31" i="27"/>
  <c r="L31" i="27"/>
  <c r="H31" i="27"/>
  <c r="D31" i="27"/>
  <c r="B31" i="27"/>
  <c r="T30" i="27"/>
  <c r="P30" i="27"/>
  <c r="X30" i="27" s="1"/>
  <c r="H30" i="27"/>
  <c r="L30" i="27" s="1"/>
  <c r="N30" i="27" s="1"/>
  <c r="D30" i="27"/>
  <c r="B30" i="27"/>
  <c r="T29" i="27"/>
  <c r="P29" i="27"/>
  <c r="H29" i="27"/>
  <c r="D29" i="27"/>
  <c r="L29" i="27" s="1"/>
  <c r="B29" i="27"/>
  <c r="T28" i="27"/>
  <c r="P28" i="27"/>
  <c r="L28" i="27"/>
  <c r="N28" i="27" s="1"/>
  <c r="H28" i="27"/>
  <c r="D28" i="27"/>
  <c r="B28" i="27"/>
  <c r="X27" i="27"/>
  <c r="T27" i="27"/>
  <c r="Z27" i="27" s="1"/>
  <c r="P27" i="27"/>
  <c r="L27" i="27"/>
  <c r="N27" i="27" s="1"/>
  <c r="H27" i="27"/>
  <c r="D27" i="27"/>
  <c r="B27" i="27"/>
  <c r="T26" i="27"/>
  <c r="P26" i="27"/>
  <c r="X26" i="27" s="1"/>
  <c r="N26" i="27"/>
  <c r="L26" i="27"/>
  <c r="H26" i="27"/>
  <c r="D26" i="27"/>
  <c r="B26" i="27"/>
  <c r="T25" i="27"/>
  <c r="P25" i="27"/>
  <c r="H25" i="27"/>
  <c r="D25" i="27"/>
  <c r="L25" i="27" s="1"/>
  <c r="B25" i="27"/>
  <c r="T24" i="27"/>
  <c r="P24" i="27"/>
  <c r="L24" i="27"/>
  <c r="N24" i="27" s="1"/>
  <c r="H24" i="27"/>
  <c r="D24" i="27"/>
  <c r="B24" i="27"/>
  <c r="X23" i="27"/>
  <c r="T23" i="27"/>
  <c r="Z23" i="27" s="1"/>
  <c r="P23" i="27"/>
  <c r="L23" i="27"/>
  <c r="N23" i="27" s="1"/>
  <c r="H23" i="27"/>
  <c r="D23" i="27"/>
  <c r="B23" i="27"/>
  <c r="T22" i="27"/>
  <c r="P22" i="27"/>
  <c r="X22" i="27" s="1"/>
  <c r="N22" i="27"/>
  <c r="L22" i="27"/>
  <c r="H22" i="27"/>
  <c r="D22" i="27"/>
  <c r="B22" i="27"/>
  <c r="T21" i="27"/>
  <c r="P21" i="27"/>
  <c r="H21" i="27"/>
  <c r="N21" i="27" s="1"/>
  <c r="D21" i="27"/>
  <c r="L21" i="27" s="1"/>
  <c r="B21" i="27"/>
  <c r="T20" i="27"/>
  <c r="P20" i="27"/>
  <c r="L20" i="27"/>
  <c r="N20" i="27" s="1"/>
  <c r="H20" i="27"/>
  <c r="D20" i="27"/>
  <c r="B20" i="27"/>
  <c r="X19" i="27"/>
  <c r="T19" i="27"/>
  <c r="Z19" i="27" s="1"/>
  <c r="P19" i="27"/>
  <c r="L19" i="27"/>
  <c r="N19" i="27" s="1"/>
  <c r="H19" i="27"/>
  <c r="D19" i="27"/>
  <c r="B19" i="27"/>
  <c r="T18" i="27"/>
  <c r="P18" i="27"/>
  <c r="X18" i="27" s="1"/>
  <c r="N18" i="27"/>
  <c r="L18" i="27"/>
  <c r="H18" i="27"/>
  <c r="D18" i="27"/>
  <c r="B18" i="27"/>
  <c r="T17" i="27"/>
  <c r="P17" i="27"/>
  <c r="H17" i="27"/>
  <c r="N17" i="27" s="1"/>
  <c r="D17" i="27"/>
  <c r="L17" i="27" s="1"/>
  <c r="B17" i="27"/>
  <c r="T16" i="27"/>
  <c r="P16" i="27"/>
  <c r="L16" i="27"/>
  <c r="N16" i="27" s="1"/>
  <c r="H16" i="27"/>
  <c r="D16" i="27"/>
  <c r="B16" i="27"/>
  <c r="X15" i="27"/>
  <c r="T15" i="27"/>
  <c r="Z15" i="27" s="1"/>
  <c r="P15" i="27"/>
  <c r="L15" i="27"/>
  <c r="N15" i="27" s="1"/>
  <c r="H15" i="27"/>
  <c r="D15" i="27"/>
  <c r="B15" i="27"/>
  <c r="T14" i="27"/>
  <c r="Z14" i="27" s="1"/>
  <c r="P14" i="27"/>
  <c r="X14" i="27" s="1"/>
  <c r="N14" i="27"/>
  <c r="L14" i="27"/>
  <c r="H14" i="27"/>
  <c r="D14" i="27"/>
  <c r="B14" i="27"/>
  <c r="T13" i="27"/>
  <c r="Z13" i="27" s="1"/>
  <c r="P13" i="27"/>
  <c r="P12" i="27" s="1"/>
  <c r="H13" i="27"/>
  <c r="N13" i="27" s="1"/>
  <c r="D13" i="27"/>
  <c r="D12" i="27" s="1"/>
  <c r="B13" i="27"/>
  <c r="T12" i="27"/>
  <c r="H12" i="27"/>
  <c r="J84" i="27" s="1"/>
  <c r="D4" i="27"/>
  <c r="Z93" i="24"/>
  <c r="X93" i="24"/>
  <c r="L93" i="24"/>
  <c r="N93" i="24" s="1"/>
  <c r="T89" i="24"/>
  <c r="Z89" i="24" s="1"/>
  <c r="P89" i="24"/>
  <c r="L89" i="24"/>
  <c r="H89" i="24"/>
  <c r="N89" i="24" s="1"/>
  <c r="D89" i="24"/>
  <c r="X87" i="24"/>
  <c r="Z87" i="24" s="1"/>
  <c r="N87" i="24"/>
  <c r="L87" i="24"/>
  <c r="B87" i="24"/>
  <c r="X86" i="24"/>
  <c r="Z86" i="24" s="1"/>
  <c r="T86" i="24"/>
  <c r="P86" i="24"/>
  <c r="N86" i="24"/>
  <c r="L86" i="24"/>
  <c r="H86" i="24"/>
  <c r="D86" i="24"/>
  <c r="B86" i="24"/>
  <c r="Z85" i="24"/>
  <c r="X85" i="24"/>
  <c r="L85" i="24"/>
  <c r="N85" i="24" s="1"/>
  <c r="B85" i="24"/>
  <c r="Z84" i="24"/>
  <c r="X84" i="24"/>
  <c r="N84" i="24"/>
  <c r="L84" i="24"/>
  <c r="B84" i="24"/>
  <c r="T83" i="24"/>
  <c r="P83" i="24"/>
  <c r="X83" i="24" s="1"/>
  <c r="H83" i="24"/>
  <c r="N83" i="24" s="1"/>
  <c r="D83" i="24"/>
  <c r="L83" i="24" s="1"/>
  <c r="B83" i="24"/>
  <c r="Z82" i="24"/>
  <c r="X82" i="24"/>
  <c r="L82" i="24"/>
  <c r="N82" i="24" s="1"/>
  <c r="B82" i="24"/>
  <c r="X81" i="24"/>
  <c r="Z81" i="24" s="1"/>
  <c r="L81" i="24"/>
  <c r="N81" i="24" s="1"/>
  <c r="B81" i="24"/>
  <c r="T80" i="24"/>
  <c r="P80" i="24"/>
  <c r="X80" i="24" s="1"/>
  <c r="J80" i="24"/>
  <c r="H80" i="24"/>
  <c r="D80" i="24"/>
  <c r="L80" i="24" s="1"/>
  <c r="N80" i="24" s="1"/>
  <c r="B80" i="24"/>
  <c r="X79" i="24"/>
  <c r="Z79" i="24" s="1"/>
  <c r="N79" i="24"/>
  <c r="L79" i="24"/>
  <c r="B79" i="24"/>
  <c r="X78" i="24"/>
  <c r="Z78" i="24" s="1"/>
  <c r="T78" i="24"/>
  <c r="P78" i="24"/>
  <c r="N78" i="24"/>
  <c r="L78" i="24"/>
  <c r="H78" i="24"/>
  <c r="D78" i="24"/>
  <c r="B78" i="24"/>
  <c r="Z77" i="24"/>
  <c r="X77" i="24"/>
  <c r="L77" i="24"/>
  <c r="N77" i="24" s="1"/>
  <c r="B77" i="24"/>
  <c r="T76" i="24"/>
  <c r="X76" i="24" s="1"/>
  <c r="Z76" i="24" s="1"/>
  <c r="P76" i="24"/>
  <c r="H76" i="24"/>
  <c r="L76" i="24" s="1"/>
  <c r="N76" i="24" s="1"/>
  <c r="D76" i="24"/>
  <c r="B76" i="24"/>
  <c r="X75" i="24"/>
  <c r="Z75" i="24" s="1"/>
  <c r="L75" i="24"/>
  <c r="N75" i="24" s="1"/>
  <c r="B75" i="24"/>
  <c r="V74" i="24"/>
  <c r="T74" i="24"/>
  <c r="P74" i="24"/>
  <c r="X74" i="24" s="1"/>
  <c r="Z74" i="24" s="1"/>
  <c r="H74" i="24"/>
  <c r="D74" i="24"/>
  <c r="L74" i="24" s="1"/>
  <c r="N74" i="24" s="1"/>
  <c r="B74" i="24"/>
  <c r="X73" i="24"/>
  <c r="Z73" i="24" s="1"/>
  <c r="N73" i="24"/>
  <c r="L73" i="24"/>
  <c r="B73" i="24"/>
  <c r="Z72" i="24"/>
  <c r="X72" i="24"/>
  <c r="T72" i="24"/>
  <c r="P72" i="24"/>
  <c r="L72" i="24"/>
  <c r="N72" i="24" s="1"/>
  <c r="H72" i="24"/>
  <c r="D72" i="24"/>
  <c r="B72" i="24"/>
  <c r="Z71" i="24"/>
  <c r="X71" i="24"/>
  <c r="L71" i="24"/>
  <c r="N71" i="24" s="1"/>
  <c r="B71" i="24"/>
  <c r="Z70" i="24"/>
  <c r="X70" i="24"/>
  <c r="N70" i="24"/>
  <c r="L70" i="24"/>
  <c r="J70" i="24"/>
  <c r="B70" i="24"/>
  <c r="Z69" i="24"/>
  <c r="X69" i="24"/>
  <c r="L69" i="24"/>
  <c r="N69" i="24" s="1"/>
  <c r="B69" i="24"/>
  <c r="T68" i="24"/>
  <c r="X68" i="24" s="1"/>
  <c r="Z68" i="24" s="1"/>
  <c r="P68" i="24"/>
  <c r="H68" i="24"/>
  <c r="L68" i="24" s="1"/>
  <c r="N68" i="24" s="1"/>
  <c r="D68" i="24"/>
  <c r="B68" i="24"/>
  <c r="X67" i="24"/>
  <c r="Z67" i="24" s="1"/>
  <c r="L67" i="24"/>
  <c r="N67" i="24" s="1"/>
  <c r="B67" i="24"/>
  <c r="Z66" i="24"/>
  <c r="X66" i="24"/>
  <c r="L66" i="24"/>
  <c r="N66" i="24" s="1"/>
  <c r="B66" i="24"/>
  <c r="X65" i="24"/>
  <c r="Z65" i="24" s="1"/>
  <c r="L65" i="24"/>
  <c r="N65" i="24" s="1"/>
  <c r="B65" i="24"/>
  <c r="Z64" i="24"/>
  <c r="X64" i="24"/>
  <c r="N64" i="24"/>
  <c r="L64" i="24"/>
  <c r="B64" i="24"/>
  <c r="X63" i="24"/>
  <c r="Z63" i="24" s="1"/>
  <c r="L63" i="24"/>
  <c r="N63" i="24" s="1"/>
  <c r="B63" i="24"/>
  <c r="Z62" i="24"/>
  <c r="X62" i="24"/>
  <c r="L62" i="24"/>
  <c r="N62" i="24" s="1"/>
  <c r="B62" i="24"/>
  <c r="X61" i="24"/>
  <c r="Z61" i="24" s="1"/>
  <c r="L61" i="24"/>
  <c r="N61" i="24" s="1"/>
  <c r="B61" i="24"/>
  <c r="Z60" i="24"/>
  <c r="X60" i="24"/>
  <c r="N60" i="24"/>
  <c r="L60" i="24"/>
  <c r="B60" i="24"/>
  <c r="T59" i="24"/>
  <c r="Z59" i="24" s="1"/>
  <c r="P59" i="24"/>
  <c r="X59" i="24" s="1"/>
  <c r="H59" i="24"/>
  <c r="D59" i="24"/>
  <c r="L59" i="24" s="1"/>
  <c r="N59" i="24" s="1"/>
  <c r="B59" i="24"/>
  <c r="X58" i="24"/>
  <c r="Z58" i="24" s="1"/>
  <c r="T58" i="24"/>
  <c r="P58" i="24"/>
  <c r="N58" i="24"/>
  <c r="L58" i="24"/>
  <c r="H58" i="24"/>
  <c r="D58" i="24"/>
  <c r="X54" i="24"/>
  <c r="Z54" i="24" s="1"/>
  <c r="N54" i="24"/>
  <c r="L54" i="24"/>
  <c r="B54" i="24"/>
  <c r="X53" i="24"/>
  <c r="Z53" i="24" s="1"/>
  <c r="N53" i="24"/>
  <c r="L53" i="24"/>
  <c r="B53" i="24"/>
  <c r="Z52" i="24"/>
  <c r="X52" i="24"/>
  <c r="N52" i="24"/>
  <c r="L52" i="24"/>
  <c r="B52" i="24"/>
  <c r="X51" i="24"/>
  <c r="Z51" i="24" s="1"/>
  <c r="N51" i="24"/>
  <c r="L51" i="24"/>
  <c r="B51" i="24"/>
  <c r="X50" i="24"/>
  <c r="Z50" i="24" s="1"/>
  <c r="N50" i="24"/>
  <c r="L50" i="24"/>
  <c r="B50" i="24"/>
  <c r="X49" i="24"/>
  <c r="Z49" i="24" s="1"/>
  <c r="N49" i="24"/>
  <c r="L49" i="24"/>
  <c r="B49" i="24"/>
  <c r="Z48" i="24"/>
  <c r="X48" i="24"/>
  <c r="N48" i="24"/>
  <c r="L48" i="24"/>
  <c r="B48" i="24"/>
  <c r="X47" i="24"/>
  <c r="Z47" i="24" s="1"/>
  <c r="N47" i="24"/>
  <c r="L47" i="24"/>
  <c r="B47" i="24"/>
  <c r="X46" i="24"/>
  <c r="Z46" i="24" s="1"/>
  <c r="N46" i="24"/>
  <c r="L46" i="24"/>
  <c r="B46" i="24"/>
  <c r="X45" i="24"/>
  <c r="Z45" i="24" s="1"/>
  <c r="N45" i="24"/>
  <c r="L45" i="24"/>
  <c r="B45" i="24"/>
  <c r="Z44" i="24"/>
  <c r="X44" i="24"/>
  <c r="N44" i="24"/>
  <c r="L44" i="24"/>
  <c r="B44" i="24"/>
  <c r="X43" i="24"/>
  <c r="Z43" i="24" s="1"/>
  <c r="N43" i="24"/>
  <c r="L43" i="24"/>
  <c r="B43" i="24"/>
  <c r="X42" i="24"/>
  <c r="Z42" i="24" s="1"/>
  <c r="N42" i="24"/>
  <c r="L42" i="24"/>
  <c r="B42" i="24"/>
  <c r="X41" i="24"/>
  <c r="T41" i="24"/>
  <c r="P41" i="24"/>
  <c r="H41" i="24"/>
  <c r="D41" i="24"/>
  <c r="X39" i="24"/>
  <c r="T39" i="24"/>
  <c r="Z39" i="24" s="1"/>
  <c r="P39" i="24"/>
  <c r="H39" i="24"/>
  <c r="D39" i="24"/>
  <c r="L39" i="24" s="1"/>
  <c r="N39" i="24" s="1"/>
  <c r="B39" i="24"/>
  <c r="Z38" i="24"/>
  <c r="X38" i="24"/>
  <c r="T38" i="24"/>
  <c r="P38" i="24"/>
  <c r="N38" i="24"/>
  <c r="H38" i="24"/>
  <c r="D38" i="24"/>
  <c r="L38" i="24" s="1"/>
  <c r="B38" i="24"/>
  <c r="T37" i="24"/>
  <c r="Z37" i="24" s="1"/>
  <c r="P37" i="24"/>
  <c r="X37" i="24" s="1"/>
  <c r="H37" i="24"/>
  <c r="D37" i="24"/>
  <c r="L37" i="24" s="1"/>
  <c r="N37" i="24" s="1"/>
  <c r="B37" i="24"/>
  <c r="X36" i="24"/>
  <c r="T36" i="24"/>
  <c r="Z36" i="24" s="1"/>
  <c r="P36" i="24"/>
  <c r="H36" i="24"/>
  <c r="D36" i="24"/>
  <c r="L36" i="24" s="1"/>
  <c r="B36" i="24"/>
  <c r="X35" i="24"/>
  <c r="T35" i="24"/>
  <c r="P35" i="24"/>
  <c r="H35" i="24"/>
  <c r="D35" i="24"/>
  <c r="L35" i="24" s="1"/>
  <c r="N35" i="24" s="1"/>
  <c r="B35" i="24"/>
  <c r="Z34" i="24"/>
  <c r="X34" i="24"/>
  <c r="T34" i="24"/>
  <c r="P34" i="24"/>
  <c r="N34" i="24"/>
  <c r="H34" i="24"/>
  <c r="D34" i="24"/>
  <c r="L34" i="24" s="1"/>
  <c r="B34" i="24"/>
  <c r="T33" i="24"/>
  <c r="P33" i="24"/>
  <c r="X33" i="24" s="1"/>
  <c r="H33" i="24"/>
  <c r="D33" i="24"/>
  <c r="L33" i="24" s="1"/>
  <c r="N33" i="24" s="1"/>
  <c r="B33" i="24"/>
  <c r="X32" i="24"/>
  <c r="T32" i="24"/>
  <c r="Z32" i="24" s="1"/>
  <c r="P32" i="24"/>
  <c r="H32" i="24"/>
  <c r="N32" i="24" s="1"/>
  <c r="D32" i="24"/>
  <c r="L32" i="24" s="1"/>
  <c r="B32" i="24"/>
  <c r="X31" i="24"/>
  <c r="T31" i="24"/>
  <c r="P31" i="24"/>
  <c r="H31" i="24"/>
  <c r="D31" i="24"/>
  <c r="L31" i="24" s="1"/>
  <c r="N31" i="24" s="1"/>
  <c r="B31" i="24"/>
  <c r="Z30" i="24"/>
  <c r="X30" i="24"/>
  <c r="T30" i="24"/>
  <c r="P30" i="24"/>
  <c r="H30" i="24"/>
  <c r="D30" i="24"/>
  <c r="L30" i="24" s="1"/>
  <c r="N30" i="24" s="1"/>
  <c r="B30" i="24"/>
  <c r="T29" i="24"/>
  <c r="P29" i="24"/>
  <c r="X29" i="24" s="1"/>
  <c r="H29" i="24"/>
  <c r="D29" i="24"/>
  <c r="L29" i="24" s="1"/>
  <c r="N29" i="24" s="1"/>
  <c r="B29" i="24"/>
  <c r="X28" i="24"/>
  <c r="T28" i="24"/>
  <c r="Z28" i="24" s="1"/>
  <c r="P28" i="24"/>
  <c r="H28" i="24"/>
  <c r="D28" i="24"/>
  <c r="L28" i="24" s="1"/>
  <c r="B28" i="24"/>
  <c r="X27" i="24"/>
  <c r="T27" i="24"/>
  <c r="Z27" i="24" s="1"/>
  <c r="P27" i="24"/>
  <c r="H27" i="24"/>
  <c r="D27" i="24"/>
  <c r="L27" i="24" s="1"/>
  <c r="N27" i="24" s="1"/>
  <c r="B27" i="24"/>
  <c r="Z26" i="24"/>
  <c r="X26" i="24"/>
  <c r="T26" i="24"/>
  <c r="P26" i="24"/>
  <c r="N26" i="24"/>
  <c r="H26" i="24"/>
  <c r="D26" i="24"/>
  <c r="L26" i="24" s="1"/>
  <c r="B26" i="24"/>
  <c r="T25" i="24"/>
  <c r="P25" i="24"/>
  <c r="X25" i="24" s="1"/>
  <c r="H25" i="24"/>
  <c r="D25" i="24"/>
  <c r="L25" i="24" s="1"/>
  <c r="N25" i="24" s="1"/>
  <c r="B25" i="24"/>
  <c r="X24" i="24"/>
  <c r="T24" i="24"/>
  <c r="Z24" i="24" s="1"/>
  <c r="P24" i="24"/>
  <c r="H24" i="24"/>
  <c r="D24" i="24"/>
  <c r="B24" i="24"/>
  <c r="X23" i="24"/>
  <c r="T23" i="24"/>
  <c r="Z23" i="24" s="1"/>
  <c r="P23" i="24"/>
  <c r="H23" i="24"/>
  <c r="D23" i="24"/>
  <c r="L23" i="24" s="1"/>
  <c r="N23" i="24" s="1"/>
  <c r="B23" i="24"/>
  <c r="Z22" i="24"/>
  <c r="X22" i="24"/>
  <c r="T22" i="24"/>
  <c r="P22" i="24"/>
  <c r="N22" i="24"/>
  <c r="H22" i="24"/>
  <c r="D22" i="24"/>
  <c r="L22" i="24" s="1"/>
  <c r="B22" i="24"/>
  <c r="T21" i="24"/>
  <c r="Z21" i="24" s="1"/>
  <c r="P21" i="24"/>
  <c r="X21" i="24" s="1"/>
  <c r="H21" i="24"/>
  <c r="D21" i="24"/>
  <c r="L21" i="24" s="1"/>
  <c r="N21" i="24" s="1"/>
  <c r="B21" i="24"/>
  <c r="X20" i="24"/>
  <c r="T20" i="24"/>
  <c r="Z20" i="24" s="1"/>
  <c r="P20" i="24"/>
  <c r="H20" i="24"/>
  <c r="D20" i="24"/>
  <c r="B20" i="24"/>
  <c r="X19" i="24"/>
  <c r="T19" i="24"/>
  <c r="Z19" i="24" s="1"/>
  <c r="P19" i="24"/>
  <c r="H19" i="24"/>
  <c r="D19" i="24"/>
  <c r="L19" i="24" s="1"/>
  <c r="N19" i="24" s="1"/>
  <c r="B19" i="24"/>
  <c r="Z18" i="24"/>
  <c r="X18" i="24"/>
  <c r="T18" i="24"/>
  <c r="P18" i="24"/>
  <c r="H18" i="24"/>
  <c r="D18" i="24"/>
  <c r="L18" i="24" s="1"/>
  <c r="N18" i="24" s="1"/>
  <c r="B18" i="24"/>
  <c r="T17" i="24"/>
  <c r="Z17" i="24" s="1"/>
  <c r="P17" i="24"/>
  <c r="X17" i="24" s="1"/>
  <c r="H17" i="24"/>
  <c r="D17" i="24"/>
  <c r="L17" i="24" s="1"/>
  <c r="N17" i="24" s="1"/>
  <c r="B17" i="24"/>
  <c r="X16" i="24"/>
  <c r="T16" i="24"/>
  <c r="Z16" i="24" s="1"/>
  <c r="P16" i="24"/>
  <c r="H16" i="24"/>
  <c r="D16" i="24"/>
  <c r="B16" i="24"/>
  <c r="X15" i="24"/>
  <c r="T15" i="24"/>
  <c r="P15" i="24"/>
  <c r="H15" i="24"/>
  <c r="D15" i="24"/>
  <c r="L15" i="24" s="1"/>
  <c r="N15" i="24" s="1"/>
  <c r="B15" i="24"/>
  <c r="Z14" i="24"/>
  <c r="X14" i="24"/>
  <c r="T14" i="24"/>
  <c r="P14" i="24"/>
  <c r="H14" i="24"/>
  <c r="D14" i="24"/>
  <c r="L14" i="24" s="1"/>
  <c r="N14" i="24" s="1"/>
  <c r="B14" i="24"/>
  <c r="T13" i="24"/>
  <c r="T12" i="24" s="1"/>
  <c r="P13" i="24"/>
  <c r="P12" i="24" s="1"/>
  <c r="R93" i="24" s="1"/>
  <c r="H13" i="24"/>
  <c r="D13" i="24"/>
  <c r="B13" i="24"/>
  <c r="H12" i="24"/>
  <c r="D4" i="24"/>
  <c r="Z90" i="21"/>
  <c r="X90" i="21"/>
  <c r="L90" i="21"/>
  <c r="N90" i="21" s="1"/>
  <c r="T86" i="21"/>
  <c r="P86" i="21"/>
  <c r="H86" i="21"/>
  <c r="N86" i="21" s="1"/>
  <c r="D86" i="21"/>
  <c r="L86" i="21" s="1"/>
  <c r="Z84" i="21"/>
  <c r="X84" i="21"/>
  <c r="N84" i="21"/>
  <c r="L84" i="21"/>
  <c r="B84" i="21"/>
  <c r="Z83" i="21"/>
  <c r="X83" i="21"/>
  <c r="T83" i="21"/>
  <c r="P83" i="21"/>
  <c r="H83" i="21"/>
  <c r="L83" i="21" s="1"/>
  <c r="N83" i="21" s="1"/>
  <c r="D83" i="21"/>
  <c r="B83" i="21"/>
  <c r="X82" i="21"/>
  <c r="Z82" i="21" s="1"/>
  <c r="L82" i="21"/>
  <c r="N82" i="21" s="1"/>
  <c r="B82" i="21"/>
  <c r="T81" i="21"/>
  <c r="P81" i="21"/>
  <c r="X81" i="21" s="1"/>
  <c r="H81" i="21"/>
  <c r="D81" i="21"/>
  <c r="L81" i="21" s="1"/>
  <c r="N81" i="21" s="1"/>
  <c r="B81" i="21"/>
  <c r="X80" i="21"/>
  <c r="Z80" i="21" s="1"/>
  <c r="N80" i="21"/>
  <c r="L80" i="21"/>
  <c r="B80" i="21"/>
  <c r="X79" i="21"/>
  <c r="Z79" i="21" s="1"/>
  <c r="N79" i="21"/>
  <c r="L79" i="21"/>
  <c r="B79" i="21"/>
  <c r="X78" i="21"/>
  <c r="Z78" i="21" s="1"/>
  <c r="N78" i="21"/>
  <c r="L78" i="21"/>
  <c r="B78" i="21"/>
  <c r="Z77" i="21"/>
  <c r="X77" i="21"/>
  <c r="N77" i="21"/>
  <c r="L77" i="21"/>
  <c r="B77" i="21"/>
  <c r="T76" i="21"/>
  <c r="P76" i="21"/>
  <c r="L76" i="21"/>
  <c r="H76" i="21"/>
  <c r="N76" i="21" s="1"/>
  <c r="D76" i="21"/>
  <c r="B76" i="21"/>
  <c r="Z75" i="21"/>
  <c r="X75" i="21"/>
  <c r="N75" i="21"/>
  <c r="L75" i="21"/>
  <c r="B75" i="21"/>
  <c r="T74" i="21"/>
  <c r="P74" i="21"/>
  <c r="X74" i="21" s="1"/>
  <c r="H74" i="21"/>
  <c r="D74" i="21"/>
  <c r="B74" i="21"/>
  <c r="Z73" i="21"/>
  <c r="X73" i="21"/>
  <c r="N73" i="21"/>
  <c r="L73" i="21"/>
  <c r="B73" i="21"/>
  <c r="Z72" i="21"/>
  <c r="X72" i="21"/>
  <c r="L72" i="21"/>
  <c r="N72" i="21" s="1"/>
  <c r="B72" i="21"/>
  <c r="Z71" i="21"/>
  <c r="X71" i="21"/>
  <c r="L71" i="21"/>
  <c r="N71" i="21" s="1"/>
  <c r="B71" i="21"/>
  <c r="X70" i="21"/>
  <c r="Z70" i="21" s="1"/>
  <c r="L70" i="21"/>
  <c r="N70" i="21" s="1"/>
  <c r="B70" i="21"/>
  <c r="T69" i="21"/>
  <c r="P69" i="21"/>
  <c r="X69" i="21" s="1"/>
  <c r="H69" i="21"/>
  <c r="D69" i="21"/>
  <c r="L69" i="21" s="1"/>
  <c r="N69" i="21" s="1"/>
  <c r="B69" i="21"/>
  <c r="X68" i="21"/>
  <c r="Z68" i="21" s="1"/>
  <c r="N68" i="21"/>
  <c r="L68" i="21"/>
  <c r="B68" i="21"/>
  <c r="T67" i="21"/>
  <c r="P67" i="21"/>
  <c r="X67" i="21" s="1"/>
  <c r="Z67" i="21" s="1"/>
  <c r="N67" i="21"/>
  <c r="L67" i="21"/>
  <c r="H67" i="21"/>
  <c r="D67" i="21"/>
  <c r="B67" i="21"/>
  <c r="Z66" i="21"/>
  <c r="X66" i="21"/>
  <c r="L66" i="21"/>
  <c r="N66" i="21" s="1"/>
  <c r="B66" i="21"/>
  <c r="T65" i="21"/>
  <c r="X65" i="21" s="1"/>
  <c r="Z65" i="21" s="1"/>
  <c r="P65" i="21"/>
  <c r="H65" i="21"/>
  <c r="L65" i="21" s="1"/>
  <c r="N65" i="21" s="1"/>
  <c r="D65" i="21"/>
  <c r="B65" i="21"/>
  <c r="Z64" i="21"/>
  <c r="X64" i="21"/>
  <c r="L64" i="21"/>
  <c r="N64" i="21" s="1"/>
  <c r="B64" i="21"/>
  <c r="T63" i="21"/>
  <c r="P63" i="21"/>
  <c r="X63" i="21" s="1"/>
  <c r="Z63" i="21" s="1"/>
  <c r="H63" i="21"/>
  <c r="D63" i="21"/>
  <c r="L63" i="21" s="1"/>
  <c r="B63" i="21"/>
  <c r="X62" i="21"/>
  <c r="Z62" i="21" s="1"/>
  <c r="N62" i="21"/>
  <c r="L62" i="21"/>
  <c r="B62" i="21"/>
  <c r="Z61" i="21"/>
  <c r="X61" i="21"/>
  <c r="T61" i="21"/>
  <c r="P61" i="21"/>
  <c r="H61" i="21"/>
  <c r="D61" i="21"/>
  <c r="L61" i="21" s="1"/>
  <c r="N61" i="21" s="1"/>
  <c r="B61" i="21"/>
  <c r="Z60" i="21"/>
  <c r="X60" i="21"/>
  <c r="N60" i="21"/>
  <c r="L60" i="21"/>
  <c r="B60" i="21"/>
  <c r="T59" i="21"/>
  <c r="X59" i="21" s="1"/>
  <c r="Z59" i="21" s="1"/>
  <c r="P59" i="21"/>
  <c r="H59" i="21"/>
  <c r="L59" i="21" s="1"/>
  <c r="N59" i="21" s="1"/>
  <c r="D59" i="21"/>
  <c r="B59" i="21"/>
  <c r="X58" i="21"/>
  <c r="Z58" i="21" s="1"/>
  <c r="L58" i="21"/>
  <c r="N58" i="21" s="1"/>
  <c r="B58" i="21"/>
  <c r="T57" i="21"/>
  <c r="P57" i="21"/>
  <c r="X57" i="21" s="1"/>
  <c r="H57" i="21"/>
  <c r="D57" i="21"/>
  <c r="L57" i="21" s="1"/>
  <c r="N57" i="21" s="1"/>
  <c r="B57" i="21"/>
  <c r="X56" i="21"/>
  <c r="Z56" i="21" s="1"/>
  <c r="N56" i="21"/>
  <c r="L56" i="21"/>
  <c r="B56" i="21"/>
  <c r="T55" i="21"/>
  <c r="P55" i="21"/>
  <c r="X55" i="21" s="1"/>
  <c r="Z55" i="21" s="1"/>
  <c r="N55" i="21"/>
  <c r="L55" i="21"/>
  <c r="H55" i="21"/>
  <c r="D55" i="21"/>
  <c r="B55" i="21"/>
  <c r="Z54" i="21"/>
  <c r="X54" i="21"/>
  <c r="L54" i="21"/>
  <c r="N54" i="21" s="1"/>
  <c r="B54" i="21"/>
  <c r="T53" i="21"/>
  <c r="X53" i="21" s="1"/>
  <c r="Z53" i="21" s="1"/>
  <c r="P53" i="21"/>
  <c r="N53" i="21"/>
  <c r="H53" i="21"/>
  <c r="L53" i="21" s="1"/>
  <c r="D53" i="21"/>
  <c r="B53" i="21"/>
  <c r="Z52" i="21"/>
  <c r="X52" i="21"/>
  <c r="L52" i="21"/>
  <c r="N52" i="21" s="1"/>
  <c r="B52" i="21"/>
  <c r="Z51" i="21"/>
  <c r="X51" i="21"/>
  <c r="L51" i="21"/>
  <c r="N51" i="21" s="1"/>
  <c r="B51" i="21"/>
  <c r="T50" i="21"/>
  <c r="P50" i="21"/>
  <c r="X50" i="21" s="1"/>
  <c r="Z50" i="21" s="1"/>
  <c r="H50" i="21"/>
  <c r="N50" i="21" s="1"/>
  <c r="D50" i="21"/>
  <c r="L50" i="21" s="1"/>
  <c r="B50" i="21"/>
  <c r="X49" i="21"/>
  <c r="Z49" i="21" s="1"/>
  <c r="N49" i="21"/>
  <c r="L49" i="21"/>
  <c r="B49" i="21"/>
  <c r="X48" i="21"/>
  <c r="T48" i="21"/>
  <c r="P48" i="21"/>
  <c r="L48" i="21"/>
  <c r="H48" i="21"/>
  <c r="D48" i="21"/>
  <c r="B48" i="21"/>
  <c r="Z47" i="21"/>
  <c r="X47" i="21"/>
  <c r="N47" i="21"/>
  <c r="L47" i="21"/>
  <c r="B47" i="21"/>
  <c r="T46" i="21"/>
  <c r="P46" i="21"/>
  <c r="H46" i="21"/>
  <c r="L46" i="21" s="1"/>
  <c r="D46" i="21"/>
  <c r="B46" i="21"/>
  <c r="Z45" i="21"/>
  <c r="X45" i="21"/>
  <c r="L45" i="21"/>
  <c r="N45" i="21" s="1"/>
  <c r="B45" i="21"/>
  <c r="T44" i="21"/>
  <c r="Z44" i="21" s="1"/>
  <c r="P44" i="21"/>
  <c r="X44" i="21" s="1"/>
  <c r="L44" i="21"/>
  <c r="N44" i="21" s="1"/>
  <c r="H44" i="21"/>
  <c r="D44" i="21"/>
  <c r="B44" i="21"/>
  <c r="X43" i="21"/>
  <c r="Z43" i="21" s="1"/>
  <c r="L43" i="21"/>
  <c r="N43" i="21" s="1"/>
  <c r="B43" i="21"/>
  <c r="X42" i="21"/>
  <c r="Z42" i="21" s="1"/>
  <c r="N42" i="21"/>
  <c r="L42" i="21"/>
  <c r="B42" i="21"/>
  <c r="Z41" i="21"/>
  <c r="X41" i="21"/>
  <c r="N41" i="21"/>
  <c r="L41" i="21"/>
  <c r="B41" i="21"/>
  <c r="X40" i="21"/>
  <c r="Z40" i="21" s="1"/>
  <c r="N40" i="21"/>
  <c r="L40" i="21"/>
  <c r="B40" i="21"/>
  <c r="X39" i="21"/>
  <c r="Z39" i="21" s="1"/>
  <c r="N39" i="21"/>
  <c r="L39" i="21"/>
  <c r="B39" i="21"/>
  <c r="X38" i="21"/>
  <c r="T38" i="21"/>
  <c r="P38" i="21"/>
  <c r="L38" i="21"/>
  <c r="H38" i="21"/>
  <c r="D38" i="21"/>
  <c r="B38" i="21"/>
  <c r="Z37" i="21"/>
  <c r="X37" i="21"/>
  <c r="N37" i="21"/>
  <c r="L37" i="21"/>
  <c r="B37" i="21"/>
  <c r="Z36" i="21"/>
  <c r="X36" i="21"/>
  <c r="N36" i="21"/>
  <c r="L36" i="21"/>
  <c r="B36" i="21"/>
  <c r="X35" i="21"/>
  <c r="Z35" i="21" s="1"/>
  <c r="N35" i="21"/>
  <c r="L35" i="21"/>
  <c r="B35" i="21"/>
  <c r="Z34" i="21"/>
  <c r="X34" i="21"/>
  <c r="N34" i="21"/>
  <c r="L34" i="21"/>
  <c r="B34" i="21"/>
  <c r="Z33" i="21"/>
  <c r="X33" i="21"/>
  <c r="N33" i="21"/>
  <c r="L33" i="21"/>
  <c r="B33" i="21"/>
  <c r="Z32" i="21"/>
  <c r="X32" i="21"/>
  <c r="N32" i="21"/>
  <c r="L32" i="21"/>
  <c r="B32" i="21"/>
  <c r="X31" i="21"/>
  <c r="Z31" i="21" s="1"/>
  <c r="N31" i="21"/>
  <c r="L31" i="21"/>
  <c r="B31" i="21"/>
  <c r="Z30" i="21"/>
  <c r="X30" i="21"/>
  <c r="N30" i="21"/>
  <c r="L30" i="21"/>
  <c r="B30" i="21"/>
  <c r="Z29" i="21"/>
  <c r="T29" i="21"/>
  <c r="X29" i="21" s="1"/>
  <c r="P29" i="21"/>
  <c r="N29" i="21"/>
  <c r="L29" i="21"/>
  <c r="H29" i="21"/>
  <c r="D29" i="21"/>
  <c r="B29" i="21"/>
  <c r="T28" i="21"/>
  <c r="P28" i="21"/>
  <c r="H28" i="21"/>
  <c r="N28" i="21" s="1"/>
  <c r="D28" i="21"/>
  <c r="L28" i="21" s="1"/>
  <c r="X24" i="21"/>
  <c r="Z24" i="21" s="1"/>
  <c r="L24" i="21"/>
  <c r="N24" i="21" s="1"/>
  <c r="B24" i="21"/>
  <c r="Z23" i="21"/>
  <c r="X23" i="21"/>
  <c r="L23" i="21"/>
  <c r="N23" i="21" s="1"/>
  <c r="B23" i="21"/>
  <c r="Z22" i="21"/>
  <c r="X22" i="21"/>
  <c r="T22" i="21"/>
  <c r="P22" i="21"/>
  <c r="H22" i="21"/>
  <c r="D22" i="21"/>
  <c r="L22" i="21" s="1"/>
  <c r="T20" i="21"/>
  <c r="P20" i="21"/>
  <c r="X20" i="21" s="1"/>
  <c r="Z20" i="21" s="1"/>
  <c r="L20" i="21"/>
  <c r="H20" i="21"/>
  <c r="D20" i="21"/>
  <c r="B20" i="21"/>
  <c r="T19" i="21"/>
  <c r="Z19" i="21" s="1"/>
  <c r="P19" i="21"/>
  <c r="X19" i="21" s="1"/>
  <c r="L19" i="21"/>
  <c r="N19" i="21" s="1"/>
  <c r="H19" i="21"/>
  <c r="D19" i="21"/>
  <c r="B19" i="21"/>
  <c r="T18" i="21"/>
  <c r="P18" i="21"/>
  <c r="L18" i="21"/>
  <c r="H18" i="21"/>
  <c r="D18" i="21"/>
  <c r="B18" i="21"/>
  <c r="T17" i="21"/>
  <c r="Z17" i="21" s="1"/>
  <c r="P17" i="21"/>
  <c r="X17" i="21" s="1"/>
  <c r="H17" i="21"/>
  <c r="D17" i="21"/>
  <c r="B17" i="21"/>
  <c r="Z16" i="21"/>
  <c r="X16" i="21"/>
  <c r="T16" i="21"/>
  <c r="P16" i="21"/>
  <c r="H16" i="21"/>
  <c r="D16" i="21"/>
  <c r="L16" i="21" s="1"/>
  <c r="B16" i="21"/>
  <c r="T15" i="21"/>
  <c r="P15" i="21"/>
  <c r="P12" i="21" s="1"/>
  <c r="L15" i="21"/>
  <c r="N15" i="21" s="1"/>
  <c r="H15" i="21"/>
  <c r="D15" i="21"/>
  <c r="B15" i="21"/>
  <c r="T14" i="21"/>
  <c r="P14" i="21"/>
  <c r="H14" i="21"/>
  <c r="D14" i="21"/>
  <c r="L14" i="21" s="1"/>
  <c r="B14" i="21"/>
  <c r="T13" i="21"/>
  <c r="P13" i="21"/>
  <c r="H13" i="21"/>
  <c r="D13" i="21"/>
  <c r="B13" i="21"/>
  <c r="D4" i="21"/>
  <c r="X251" i="18"/>
  <c r="Z251" i="18" s="1"/>
  <c r="N251" i="18"/>
  <c r="L251" i="18"/>
  <c r="Z247" i="18"/>
  <c r="T247" i="18"/>
  <c r="P247" i="18"/>
  <c r="X247" i="18" s="1"/>
  <c r="N247" i="18"/>
  <c r="L247" i="18"/>
  <c r="H247" i="18"/>
  <c r="D247" i="18"/>
  <c r="B247" i="18"/>
  <c r="Z246" i="18"/>
  <c r="X246" i="18"/>
  <c r="T246" i="18"/>
  <c r="P246" i="18"/>
  <c r="N246" i="18"/>
  <c r="L246" i="18"/>
  <c r="H246" i="18"/>
  <c r="D246" i="18"/>
  <c r="B246" i="18"/>
  <c r="T245" i="18"/>
  <c r="P245" i="18"/>
  <c r="X245" i="18" s="1"/>
  <c r="Z245" i="18" s="1"/>
  <c r="H245" i="18"/>
  <c r="D245" i="18"/>
  <c r="L245" i="18" s="1"/>
  <c r="N245" i="18" s="1"/>
  <c r="B245" i="18"/>
  <c r="T244" i="18"/>
  <c r="P244" i="18"/>
  <c r="P239" i="18" s="1"/>
  <c r="X239" i="18" s="1"/>
  <c r="H244" i="18"/>
  <c r="D244" i="18"/>
  <c r="L244" i="18" s="1"/>
  <c r="B244" i="18"/>
  <c r="X243" i="18"/>
  <c r="T243" i="18"/>
  <c r="Z243" i="18" s="1"/>
  <c r="P243" i="18"/>
  <c r="H243" i="18"/>
  <c r="N243" i="18" s="1"/>
  <c r="D243" i="18"/>
  <c r="L243" i="18" s="1"/>
  <c r="B243" i="18"/>
  <c r="T242" i="18"/>
  <c r="T239" i="18" s="1"/>
  <c r="P242" i="18"/>
  <c r="H242" i="18"/>
  <c r="D242" i="18"/>
  <c r="B242" i="18"/>
  <c r="Z241" i="18"/>
  <c r="X241" i="18"/>
  <c r="T241" i="18"/>
  <c r="P241" i="18"/>
  <c r="H241" i="18"/>
  <c r="D241" i="18"/>
  <c r="L241" i="18" s="1"/>
  <c r="N241" i="18" s="1"/>
  <c r="B241" i="18"/>
  <c r="X240" i="18"/>
  <c r="Z240" i="18" s="1"/>
  <c r="T240" i="18"/>
  <c r="P240" i="18"/>
  <c r="L240" i="18"/>
  <c r="N240" i="18" s="1"/>
  <c r="H240" i="18"/>
  <c r="D240" i="18"/>
  <c r="D239" i="18" s="1"/>
  <c r="B240" i="18"/>
  <c r="Z237" i="18"/>
  <c r="X237" i="18"/>
  <c r="L237" i="18"/>
  <c r="N237" i="18" s="1"/>
  <c r="B237" i="18"/>
  <c r="T236" i="18"/>
  <c r="P236" i="18"/>
  <c r="H236" i="18"/>
  <c r="D236" i="18"/>
  <c r="B236" i="18"/>
  <c r="Z235" i="18"/>
  <c r="X235" i="18"/>
  <c r="L235" i="18"/>
  <c r="N235" i="18" s="1"/>
  <c r="B235" i="18"/>
  <c r="Z234" i="18"/>
  <c r="X234" i="18"/>
  <c r="N234" i="18"/>
  <c r="L234" i="18"/>
  <c r="B234" i="18"/>
  <c r="X233" i="18"/>
  <c r="Z233" i="18" s="1"/>
  <c r="L233" i="18"/>
  <c r="N233" i="18" s="1"/>
  <c r="B233" i="18"/>
  <c r="T232" i="18"/>
  <c r="Z232" i="18" s="1"/>
  <c r="P232" i="18"/>
  <c r="X232" i="18" s="1"/>
  <c r="H232" i="18"/>
  <c r="N232" i="18" s="1"/>
  <c r="D232" i="18"/>
  <c r="L232" i="18" s="1"/>
  <c r="B232" i="18"/>
  <c r="X231" i="18"/>
  <c r="Z231" i="18" s="1"/>
  <c r="N231" i="18"/>
  <c r="L231" i="18"/>
  <c r="B231" i="18"/>
  <c r="X230" i="18"/>
  <c r="Z230" i="18" s="1"/>
  <c r="T230" i="18"/>
  <c r="P230" i="18"/>
  <c r="H230" i="18"/>
  <c r="D230" i="18"/>
  <c r="L230" i="18" s="1"/>
  <c r="N230" i="18" s="1"/>
  <c r="B230" i="18"/>
  <c r="Z229" i="18"/>
  <c r="X229" i="18"/>
  <c r="L229" i="18"/>
  <c r="N229" i="18" s="1"/>
  <c r="B229" i="18"/>
  <c r="X228" i="18"/>
  <c r="Z228" i="18" s="1"/>
  <c r="N228" i="18"/>
  <c r="L228" i="18"/>
  <c r="B228" i="18"/>
  <c r="T227" i="18"/>
  <c r="P227" i="18"/>
  <c r="X227" i="18" s="1"/>
  <c r="Z227" i="18" s="1"/>
  <c r="H227" i="18"/>
  <c r="D227" i="18"/>
  <c r="L227" i="18" s="1"/>
  <c r="N227" i="18" s="1"/>
  <c r="B227" i="18"/>
  <c r="Z226" i="18"/>
  <c r="X226" i="18"/>
  <c r="L226" i="18"/>
  <c r="N226" i="18" s="1"/>
  <c r="B226" i="18"/>
  <c r="Z225" i="18"/>
  <c r="X225" i="18"/>
  <c r="N225" i="18"/>
  <c r="L225" i="18"/>
  <c r="B225" i="18"/>
  <c r="Z224" i="18"/>
  <c r="X224" i="18"/>
  <c r="L224" i="18"/>
  <c r="N224" i="18" s="1"/>
  <c r="B224" i="18"/>
  <c r="Z223" i="18"/>
  <c r="X223" i="18"/>
  <c r="L223" i="18"/>
  <c r="N223" i="18" s="1"/>
  <c r="B223" i="18"/>
  <c r="Z222" i="18"/>
  <c r="X222" i="18"/>
  <c r="L222" i="18"/>
  <c r="N222" i="18" s="1"/>
  <c r="B222" i="18"/>
  <c r="Z221" i="18"/>
  <c r="X221" i="18"/>
  <c r="N221" i="18"/>
  <c r="L221" i="18"/>
  <c r="B221" i="18"/>
  <c r="Z220" i="18"/>
  <c r="X220" i="18"/>
  <c r="L220" i="18"/>
  <c r="N220" i="18" s="1"/>
  <c r="B220" i="18"/>
  <c r="Z219" i="18"/>
  <c r="X219" i="18"/>
  <c r="T219" i="18"/>
  <c r="P219" i="18"/>
  <c r="H219" i="18"/>
  <c r="D219" i="18"/>
  <c r="L219" i="18" s="1"/>
  <c r="N219" i="18" s="1"/>
  <c r="B219" i="18"/>
  <c r="X218" i="18"/>
  <c r="Z218" i="18" s="1"/>
  <c r="L218" i="18"/>
  <c r="N218" i="18" s="1"/>
  <c r="B218" i="18"/>
  <c r="X217" i="18"/>
  <c r="Z217" i="18" s="1"/>
  <c r="N217" i="18"/>
  <c r="L217" i="18"/>
  <c r="B217" i="18"/>
  <c r="T216" i="18"/>
  <c r="P216" i="18"/>
  <c r="X216" i="18" s="1"/>
  <c r="Z216" i="18" s="1"/>
  <c r="L216" i="18"/>
  <c r="N216" i="18" s="1"/>
  <c r="H216" i="18"/>
  <c r="D216" i="18"/>
  <c r="B216" i="18"/>
  <c r="Z215" i="18"/>
  <c r="X215" i="18"/>
  <c r="N215" i="18"/>
  <c r="L215" i="18"/>
  <c r="B215" i="18"/>
  <c r="X214" i="18"/>
  <c r="Z214" i="18" s="1"/>
  <c r="N214" i="18"/>
  <c r="L214" i="18"/>
  <c r="B214" i="18"/>
  <c r="Z213" i="18"/>
  <c r="X213" i="18"/>
  <c r="L213" i="18"/>
  <c r="N213" i="18" s="1"/>
  <c r="B213" i="18"/>
  <c r="X212" i="18"/>
  <c r="Z212" i="18" s="1"/>
  <c r="L212" i="18"/>
  <c r="N212" i="18" s="1"/>
  <c r="B212" i="18"/>
  <c r="T211" i="18"/>
  <c r="P211" i="18"/>
  <c r="X211" i="18" s="1"/>
  <c r="Z211" i="18" s="1"/>
  <c r="H211" i="18"/>
  <c r="D211" i="18"/>
  <c r="L211" i="18" s="1"/>
  <c r="N211" i="18" s="1"/>
  <c r="B211" i="18"/>
  <c r="Z210" i="18"/>
  <c r="X210" i="18"/>
  <c r="L210" i="18"/>
  <c r="N210" i="18" s="1"/>
  <c r="B210" i="18"/>
  <c r="X209" i="18"/>
  <c r="Z209" i="18" s="1"/>
  <c r="L209" i="18"/>
  <c r="N209" i="18" s="1"/>
  <c r="B209" i="18"/>
  <c r="X208" i="18"/>
  <c r="Z208" i="18" s="1"/>
  <c r="L208" i="18"/>
  <c r="N208" i="18" s="1"/>
  <c r="B208" i="18"/>
  <c r="Z207" i="18"/>
  <c r="X207" i="18"/>
  <c r="T207" i="18"/>
  <c r="P207" i="18"/>
  <c r="H207" i="18"/>
  <c r="D207" i="18"/>
  <c r="L207" i="18" s="1"/>
  <c r="N207" i="18" s="1"/>
  <c r="B207" i="18"/>
  <c r="X206" i="18"/>
  <c r="Z206" i="18" s="1"/>
  <c r="L206" i="18"/>
  <c r="N206" i="18" s="1"/>
  <c r="B206" i="18"/>
  <c r="X205" i="18"/>
  <c r="Z205" i="18" s="1"/>
  <c r="N205" i="18"/>
  <c r="L205" i="18"/>
  <c r="B205" i="18"/>
  <c r="X204" i="18"/>
  <c r="Z204" i="18" s="1"/>
  <c r="L204" i="18"/>
  <c r="N204" i="18" s="1"/>
  <c r="B204" i="18"/>
  <c r="T203" i="18"/>
  <c r="Z203" i="18" s="1"/>
  <c r="P203" i="18"/>
  <c r="X203" i="18" s="1"/>
  <c r="L203" i="18"/>
  <c r="H203" i="18"/>
  <c r="N203" i="18" s="1"/>
  <c r="D203" i="18"/>
  <c r="B203" i="18"/>
  <c r="X202" i="18"/>
  <c r="Z202" i="18" s="1"/>
  <c r="N202" i="18"/>
  <c r="L202" i="18"/>
  <c r="B202" i="18"/>
  <c r="T201" i="18"/>
  <c r="P201" i="18"/>
  <c r="X201" i="18" s="1"/>
  <c r="Z201" i="18" s="1"/>
  <c r="H201" i="18"/>
  <c r="N201" i="18" s="1"/>
  <c r="D201" i="18"/>
  <c r="L201" i="18" s="1"/>
  <c r="B201" i="18"/>
  <c r="Z200" i="18"/>
  <c r="X200" i="18"/>
  <c r="L200" i="18"/>
  <c r="N200" i="18" s="1"/>
  <c r="B200" i="18"/>
  <c r="Z199" i="18"/>
  <c r="X199" i="18"/>
  <c r="T199" i="18"/>
  <c r="P199" i="18"/>
  <c r="H199" i="18"/>
  <c r="D199" i="18"/>
  <c r="L199" i="18" s="1"/>
  <c r="N199" i="18" s="1"/>
  <c r="B199" i="18"/>
  <c r="X198" i="18"/>
  <c r="Z198" i="18" s="1"/>
  <c r="L198" i="18"/>
  <c r="N198" i="18" s="1"/>
  <c r="B198" i="18"/>
  <c r="X197" i="18"/>
  <c r="T197" i="18"/>
  <c r="Z197" i="18" s="1"/>
  <c r="P197" i="18"/>
  <c r="H197" i="18"/>
  <c r="N197" i="18" s="1"/>
  <c r="D197" i="18"/>
  <c r="L197" i="18" s="1"/>
  <c r="B197" i="18"/>
  <c r="X196" i="18"/>
  <c r="Z196" i="18" s="1"/>
  <c r="N196" i="18"/>
  <c r="L196" i="18"/>
  <c r="B196" i="18"/>
  <c r="T195" i="18"/>
  <c r="P195" i="18"/>
  <c r="X195" i="18" s="1"/>
  <c r="H195" i="18"/>
  <c r="D195" i="18"/>
  <c r="L195" i="18" s="1"/>
  <c r="N195" i="18" s="1"/>
  <c r="B195" i="18"/>
  <c r="Z194" i="18"/>
  <c r="X194" i="18"/>
  <c r="L194" i="18"/>
  <c r="N194" i="18" s="1"/>
  <c r="B194" i="18"/>
  <c r="T193" i="18"/>
  <c r="P193" i="18"/>
  <c r="X193" i="18" s="1"/>
  <c r="Z193" i="18" s="1"/>
  <c r="N193" i="18"/>
  <c r="L193" i="18"/>
  <c r="H193" i="18"/>
  <c r="D193" i="18"/>
  <c r="B193" i="18"/>
  <c r="X192" i="18"/>
  <c r="Z192" i="18" s="1"/>
  <c r="L192" i="18"/>
  <c r="N192" i="18" s="1"/>
  <c r="B192" i="18"/>
  <c r="X191" i="18"/>
  <c r="Z191" i="18" s="1"/>
  <c r="N191" i="18"/>
  <c r="L191" i="18"/>
  <c r="B191" i="18"/>
  <c r="X190" i="18"/>
  <c r="Z190" i="18" s="1"/>
  <c r="T190" i="18"/>
  <c r="P190" i="18"/>
  <c r="H190" i="18"/>
  <c r="D190" i="18"/>
  <c r="L190" i="18" s="1"/>
  <c r="N190" i="18" s="1"/>
  <c r="B190" i="18"/>
  <c r="Z189" i="18"/>
  <c r="X189" i="18"/>
  <c r="L189" i="18"/>
  <c r="N189" i="18" s="1"/>
  <c r="B189" i="18"/>
  <c r="X188" i="18"/>
  <c r="T188" i="18"/>
  <c r="Z188" i="18" s="1"/>
  <c r="P188" i="18"/>
  <c r="H188" i="18"/>
  <c r="D188" i="18"/>
  <c r="B188" i="18"/>
  <c r="Z187" i="18"/>
  <c r="X187" i="18"/>
  <c r="L187" i="18"/>
  <c r="N187" i="18" s="1"/>
  <c r="B187" i="18"/>
  <c r="T186" i="18"/>
  <c r="Z186" i="18" s="1"/>
  <c r="P186" i="18"/>
  <c r="X186" i="18" s="1"/>
  <c r="H186" i="18"/>
  <c r="N186" i="18" s="1"/>
  <c r="D186" i="18"/>
  <c r="L186" i="18" s="1"/>
  <c r="B186" i="18"/>
  <c r="X185" i="18"/>
  <c r="Z185" i="18" s="1"/>
  <c r="N185" i="18"/>
  <c r="L185" i="18"/>
  <c r="B185" i="18"/>
  <c r="T184" i="18"/>
  <c r="P184" i="18"/>
  <c r="X184" i="18" s="1"/>
  <c r="Z184" i="18" s="1"/>
  <c r="L184" i="18"/>
  <c r="N184" i="18" s="1"/>
  <c r="H184" i="18"/>
  <c r="D184" i="18"/>
  <c r="B184" i="18"/>
  <c r="Z183" i="18"/>
  <c r="X183" i="18"/>
  <c r="N183" i="18"/>
  <c r="L183" i="18"/>
  <c r="B183" i="18"/>
  <c r="X182" i="18"/>
  <c r="Z182" i="18" s="1"/>
  <c r="N182" i="18"/>
  <c r="L182" i="18"/>
  <c r="B182" i="18"/>
  <c r="T181" i="18"/>
  <c r="P181" i="18"/>
  <c r="X181" i="18" s="1"/>
  <c r="Z181" i="18" s="1"/>
  <c r="H181" i="18"/>
  <c r="N181" i="18" s="1"/>
  <c r="D181" i="18"/>
  <c r="L181" i="18" s="1"/>
  <c r="B181" i="18"/>
  <c r="X180" i="18"/>
  <c r="Z180" i="18" s="1"/>
  <c r="N180" i="18"/>
  <c r="L180" i="18"/>
  <c r="B180" i="18"/>
  <c r="Z179" i="18"/>
  <c r="X179" i="18"/>
  <c r="L179" i="18"/>
  <c r="N179" i="18" s="1"/>
  <c r="B179" i="18"/>
  <c r="T178" i="18"/>
  <c r="Z178" i="18" s="1"/>
  <c r="P178" i="18"/>
  <c r="X178" i="18" s="1"/>
  <c r="H178" i="18"/>
  <c r="D178" i="18"/>
  <c r="L178" i="18" s="1"/>
  <c r="B178" i="18"/>
  <c r="X177" i="18"/>
  <c r="Z177" i="18" s="1"/>
  <c r="N177" i="18"/>
  <c r="L177" i="18"/>
  <c r="B177" i="18"/>
  <c r="T176" i="18"/>
  <c r="P176" i="18"/>
  <c r="X176" i="18" s="1"/>
  <c r="Z176" i="18" s="1"/>
  <c r="L176" i="18"/>
  <c r="N176" i="18" s="1"/>
  <c r="H176" i="18"/>
  <c r="D176" i="18"/>
  <c r="B176" i="18"/>
  <c r="Z175" i="18"/>
  <c r="X175" i="18"/>
  <c r="N175" i="18"/>
  <c r="L175" i="18"/>
  <c r="B175" i="18"/>
  <c r="T174" i="18"/>
  <c r="P174" i="18"/>
  <c r="N174" i="18"/>
  <c r="L174" i="18"/>
  <c r="H174" i="18"/>
  <c r="D174" i="18"/>
  <c r="B174" i="18"/>
  <c r="X173" i="18"/>
  <c r="Z173" i="18" s="1"/>
  <c r="L173" i="18"/>
  <c r="N173" i="18" s="1"/>
  <c r="B173" i="18"/>
  <c r="T172" i="18"/>
  <c r="P172" i="18"/>
  <c r="X172" i="18" s="1"/>
  <c r="H172" i="18"/>
  <c r="N172" i="18" s="1"/>
  <c r="D172" i="18"/>
  <c r="L172" i="18" s="1"/>
  <c r="B172" i="18"/>
  <c r="X171" i="18"/>
  <c r="Z171" i="18" s="1"/>
  <c r="N171" i="18"/>
  <c r="L171" i="18"/>
  <c r="B171" i="18"/>
  <c r="X170" i="18"/>
  <c r="Z170" i="18" s="1"/>
  <c r="L170" i="18"/>
  <c r="N170" i="18" s="1"/>
  <c r="B170" i="18"/>
  <c r="X169" i="18"/>
  <c r="Z169" i="18" s="1"/>
  <c r="N169" i="18"/>
  <c r="L169" i="18"/>
  <c r="B169" i="18"/>
  <c r="Z168" i="18"/>
  <c r="X168" i="18"/>
  <c r="N168" i="18"/>
  <c r="L168" i="18"/>
  <c r="B168" i="18"/>
  <c r="X167" i="18"/>
  <c r="Z167" i="18" s="1"/>
  <c r="N167" i="18"/>
  <c r="L167" i="18"/>
  <c r="B167" i="18"/>
  <c r="X166" i="18"/>
  <c r="Z166" i="18" s="1"/>
  <c r="L166" i="18"/>
  <c r="N166" i="18" s="1"/>
  <c r="B166" i="18"/>
  <c r="X165" i="18"/>
  <c r="Z165" i="18" s="1"/>
  <c r="N165" i="18"/>
  <c r="L165" i="18"/>
  <c r="B165" i="18"/>
  <c r="T164" i="18"/>
  <c r="P164" i="18"/>
  <c r="X164" i="18" s="1"/>
  <c r="Z164" i="18" s="1"/>
  <c r="L164" i="18"/>
  <c r="N164" i="18" s="1"/>
  <c r="H164" i="18"/>
  <c r="D164" i="18"/>
  <c r="B164" i="18"/>
  <c r="Z163" i="18"/>
  <c r="X163" i="18"/>
  <c r="N163" i="18"/>
  <c r="L163" i="18"/>
  <c r="B163" i="18"/>
  <c r="X162" i="18"/>
  <c r="Z162" i="18" s="1"/>
  <c r="N162" i="18"/>
  <c r="L162" i="18"/>
  <c r="B162" i="18"/>
  <c r="Z161" i="18"/>
  <c r="X161" i="18"/>
  <c r="L161" i="18"/>
  <c r="N161" i="18" s="1"/>
  <c r="B161" i="18"/>
  <c r="Z160" i="18"/>
  <c r="X160" i="18"/>
  <c r="L160" i="18"/>
  <c r="N160" i="18" s="1"/>
  <c r="B160" i="18"/>
  <c r="Z159" i="18"/>
  <c r="X159" i="18"/>
  <c r="N159" i="18"/>
  <c r="L159" i="18"/>
  <c r="B159" i="18"/>
  <c r="X158" i="18"/>
  <c r="Z158" i="18" s="1"/>
  <c r="N158" i="18"/>
  <c r="L158" i="18"/>
  <c r="B158" i="18"/>
  <c r="Z157" i="18"/>
  <c r="X157" i="18"/>
  <c r="L157" i="18"/>
  <c r="N157" i="18" s="1"/>
  <c r="B157" i="18"/>
  <c r="X156" i="18"/>
  <c r="Z156" i="18" s="1"/>
  <c r="L156" i="18"/>
  <c r="N156" i="18" s="1"/>
  <c r="B156" i="18"/>
  <c r="Z155" i="18"/>
  <c r="X155" i="18"/>
  <c r="N155" i="18"/>
  <c r="L155" i="18"/>
  <c r="B155" i="18"/>
  <c r="X154" i="18"/>
  <c r="Z154" i="18" s="1"/>
  <c r="N154" i="18"/>
  <c r="L154" i="18"/>
  <c r="B154" i="18"/>
  <c r="T153" i="18"/>
  <c r="P153" i="18"/>
  <c r="X153" i="18" s="1"/>
  <c r="Z153" i="18" s="1"/>
  <c r="H153" i="18"/>
  <c r="D153" i="18"/>
  <c r="B153" i="18"/>
  <c r="T152" i="18"/>
  <c r="Z152" i="18" s="1"/>
  <c r="P152" i="18"/>
  <c r="X152" i="18" s="1"/>
  <c r="H152" i="18"/>
  <c r="D152" i="18"/>
  <c r="X148" i="18"/>
  <c r="Z148" i="18" s="1"/>
  <c r="N148" i="18"/>
  <c r="L148" i="18"/>
  <c r="B148" i="18"/>
  <c r="Z147" i="18"/>
  <c r="X147" i="18"/>
  <c r="N147" i="18"/>
  <c r="L147" i="18"/>
  <c r="B147" i="18"/>
  <c r="Z146" i="18"/>
  <c r="X146" i="18"/>
  <c r="L146" i="18"/>
  <c r="N146" i="18" s="1"/>
  <c r="B146" i="18"/>
  <c r="Z145" i="18"/>
  <c r="X145" i="18"/>
  <c r="L145" i="18"/>
  <c r="N145" i="18" s="1"/>
  <c r="B145" i="18"/>
  <c r="X144" i="18"/>
  <c r="Z144" i="18" s="1"/>
  <c r="L144" i="18"/>
  <c r="N144" i="18" s="1"/>
  <c r="B144" i="18"/>
  <c r="Z143" i="18"/>
  <c r="X143" i="18"/>
  <c r="N143" i="18"/>
  <c r="L143" i="18"/>
  <c r="B143" i="18"/>
  <c r="Z142" i="18"/>
  <c r="X142" i="18"/>
  <c r="L142" i="18"/>
  <c r="N142" i="18" s="1"/>
  <c r="B142" i="18"/>
  <c r="Z141" i="18"/>
  <c r="X141" i="18"/>
  <c r="L141" i="18"/>
  <c r="N141" i="18" s="1"/>
  <c r="B141" i="18"/>
  <c r="X140" i="18"/>
  <c r="Z140" i="18" s="1"/>
  <c r="N140" i="18"/>
  <c r="L140" i="18"/>
  <c r="B140" i="18"/>
  <c r="Z139" i="18"/>
  <c r="X139" i="18"/>
  <c r="N139" i="18"/>
  <c r="L139" i="18"/>
  <c r="B139" i="18"/>
  <c r="Z138" i="18"/>
  <c r="X138" i="18"/>
  <c r="L138" i="18"/>
  <c r="N138" i="18" s="1"/>
  <c r="B138" i="18"/>
  <c r="X137" i="18"/>
  <c r="Z137" i="18" s="1"/>
  <c r="L137" i="18"/>
  <c r="N137" i="18" s="1"/>
  <c r="B137" i="18"/>
  <c r="X136" i="18"/>
  <c r="Z136" i="18" s="1"/>
  <c r="L136" i="18"/>
  <c r="N136" i="18" s="1"/>
  <c r="B136" i="18"/>
  <c r="Z135" i="18"/>
  <c r="X135" i="18"/>
  <c r="N135" i="18"/>
  <c r="L135" i="18"/>
  <c r="B135" i="18"/>
  <c r="Z134" i="18"/>
  <c r="X134" i="18"/>
  <c r="L134" i="18"/>
  <c r="N134" i="18" s="1"/>
  <c r="B134" i="18"/>
  <c r="Z133" i="18"/>
  <c r="X133" i="18"/>
  <c r="N133" i="18"/>
  <c r="L133" i="18"/>
  <c r="B133" i="18"/>
  <c r="X132" i="18"/>
  <c r="Z132" i="18" s="1"/>
  <c r="N132" i="18"/>
  <c r="L132" i="18"/>
  <c r="B132" i="18"/>
  <c r="Z131" i="18"/>
  <c r="X131" i="18"/>
  <c r="N131" i="18"/>
  <c r="L131" i="18"/>
  <c r="B131" i="18"/>
  <c r="Z130" i="18"/>
  <c r="X130" i="18"/>
  <c r="L130" i="18"/>
  <c r="N130" i="18" s="1"/>
  <c r="B130" i="18"/>
  <c r="Z129" i="18"/>
  <c r="X129" i="18"/>
  <c r="N129" i="18"/>
  <c r="L129" i="18"/>
  <c r="B129" i="18"/>
  <c r="X128" i="18"/>
  <c r="Z128" i="18" s="1"/>
  <c r="L128" i="18"/>
  <c r="N128" i="18" s="1"/>
  <c r="B128" i="18"/>
  <c r="Z127" i="18"/>
  <c r="X127" i="18"/>
  <c r="L127" i="18"/>
  <c r="N127" i="18" s="1"/>
  <c r="B127" i="18"/>
  <c r="Z126" i="18"/>
  <c r="X126" i="18"/>
  <c r="L126" i="18"/>
  <c r="N126" i="18" s="1"/>
  <c r="B126" i="18"/>
  <c r="X125" i="18"/>
  <c r="Z125" i="18" s="1"/>
  <c r="L125" i="18"/>
  <c r="N125" i="18" s="1"/>
  <c r="B125" i="18"/>
  <c r="X124" i="18"/>
  <c r="Z124" i="18" s="1"/>
  <c r="L124" i="18"/>
  <c r="N124" i="18" s="1"/>
  <c r="B124" i="18"/>
  <c r="Z123" i="18"/>
  <c r="X123" i="18"/>
  <c r="L123" i="18"/>
  <c r="N123" i="18" s="1"/>
  <c r="B123" i="18"/>
  <c r="Z122" i="18"/>
  <c r="X122" i="18"/>
  <c r="L122" i="18"/>
  <c r="N122" i="18" s="1"/>
  <c r="B122" i="18"/>
  <c r="X121" i="18"/>
  <c r="Z121" i="18" s="1"/>
  <c r="L121" i="18"/>
  <c r="N121" i="18" s="1"/>
  <c r="B121" i="18"/>
  <c r="X120" i="18"/>
  <c r="Z120" i="18" s="1"/>
  <c r="L120" i="18"/>
  <c r="N120" i="18" s="1"/>
  <c r="B120" i="18"/>
  <c r="Z119" i="18"/>
  <c r="X119" i="18"/>
  <c r="L119" i="18"/>
  <c r="N119" i="18" s="1"/>
  <c r="B119" i="18"/>
  <c r="Z118" i="18"/>
  <c r="X118" i="18"/>
  <c r="L118" i="18"/>
  <c r="N118" i="18" s="1"/>
  <c r="B118" i="18"/>
  <c r="X117" i="18"/>
  <c r="Z117" i="18" s="1"/>
  <c r="L117" i="18"/>
  <c r="N117" i="18" s="1"/>
  <c r="B117" i="18"/>
  <c r="X116" i="18"/>
  <c r="Z116" i="18" s="1"/>
  <c r="L116" i="18"/>
  <c r="N116" i="18" s="1"/>
  <c r="B116" i="18"/>
  <c r="Z115" i="18"/>
  <c r="X115" i="18"/>
  <c r="L115" i="18"/>
  <c r="N115" i="18" s="1"/>
  <c r="B115" i="18"/>
  <c r="Z114" i="18"/>
  <c r="X114" i="18"/>
  <c r="L114" i="18"/>
  <c r="N114" i="18" s="1"/>
  <c r="B114" i="18"/>
  <c r="X113" i="18"/>
  <c r="Z113" i="18" s="1"/>
  <c r="L113" i="18"/>
  <c r="N113" i="18" s="1"/>
  <c r="B113" i="18"/>
  <c r="X112" i="18"/>
  <c r="Z112" i="18" s="1"/>
  <c r="N112" i="18"/>
  <c r="L112" i="18"/>
  <c r="B112" i="18"/>
  <c r="Z111" i="18"/>
  <c r="X111" i="18"/>
  <c r="L111" i="18"/>
  <c r="N111" i="18" s="1"/>
  <c r="B111" i="18"/>
  <c r="Z110" i="18"/>
  <c r="X110" i="18"/>
  <c r="L110" i="18"/>
  <c r="N110" i="18" s="1"/>
  <c r="B110" i="18"/>
  <c r="X109" i="18"/>
  <c r="Z109" i="18" s="1"/>
  <c r="L109" i="18"/>
  <c r="N109" i="18" s="1"/>
  <c r="B109" i="18"/>
  <c r="X108" i="18"/>
  <c r="Z108" i="18" s="1"/>
  <c r="N108" i="18"/>
  <c r="L108" i="18"/>
  <c r="B108" i="18"/>
  <c r="Z107" i="18"/>
  <c r="X107" i="18"/>
  <c r="L107" i="18"/>
  <c r="N107" i="18" s="1"/>
  <c r="B107" i="18"/>
  <c r="Z106" i="18"/>
  <c r="X106" i="18"/>
  <c r="L106" i="18"/>
  <c r="N106" i="18" s="1"/>
  <c r="B106" i="18"/>
  <c r="X105" i="18"/>
  <c r="Z105" i="18" s="1"/>
  <c r="L105" i="18"/>
  <c r="N105" i="18" s="1"/>
  <c r="B105" i="18"/>
  <c r="T104" i="18"/>
  <c r="P104" i="18"/>
  <c r="H104" i="18"/>
  <c r="D104" i="18"/>
  <c r="L104" i="18" s="1"/>
  <c r="T102" i="18"/>
  <c r="Z102" i="18" s="1"/>
  <c r="P102" i="18"/>
  <c r="X102" i="18" s="1"/>
  <c r="N102" i="18"/>
  <c r="L102" i="18"/>
  <c r="H102" i="18"/>
  <c r="D102" i="18"/>
  <c r="B102" i="18"/>
  <c r="Z101" i="18"/>
  <c r="T101" i="18"/>
  <c r="X101" i="18" s="1"/>
  <c r="P101" i="18"/>
  <c r="H101" i="18"/>
  <c r="N101" i="18" s="1"/>
  <c r="D101" i="18"/>
  <c r="L101" i="18" s="1"/>
  <c r="B101" i="18"/>
  <c r="T100" i="18"/>
  <c r="Z100" i="18" s="1"/>
  <c r="P100" i="18"/>
  <c r="N100" i="18"/>
  <c r="L100" i="18"/>
  <c r="H100" i="18"/>
  <c r="D100" i="18"/>
  <c r="B100" i="18"/>
  <c r="Z99" i="18"/>
  <c r="X99" i="18"/>
  <c r="T99" i="18"/>
  <c r="P99" i="18"/>
  <c r="H99" i="18"/>
  <c r="D99" i="18"/>
  <c r="B99" i="18"/>
  <c r="T98" i="18"/>
  <c r="P98" i="18"/>
  <c r="X98" i="18" s="1"/>
  <c r="N98" i="18"/>
  <c r="L98" i="18"/>
  <c r="H98" i="18"/>
  <c r="D98" i="18"/>
  <c r="B98" i="18"/>
  <c r="Z97" i="18"/>
  <c r="T97" i="18"/>
  <c r="X97" i="18" s="1"/>
  <c r="P97" i="18"/>
  <c r="H97" i="18"/>
  <c r="N97" i="18" s="1"/>
  <c r="D97" i="18"/>
  <c r="L97" i="18" s="1"/>
  <c r="B97" i="18"/>
  <c r="T96" i="18"/>
  <c r="Z96" i="18" s="1"/>
  <c r="P96" i="18"/>
  <c r="N96" i="18"/>
  <c r="L96" i="18"/>
  <c r="H96" i="18"/>
  <c r="D96" i="18"/>
  <c r="B96" i="18"/>
  <c r="X95" i="18"/>
  <c r="T95" i="18"/>
  <c r="Z95" i="18" s="1"/>
  <c r="P95" i="18"/>
  <c r="H95" i="18"/>
  <c r="D95" i="18"/>
  <c r="B95" i="18"/>
  <c r="T94" i="18"/>
  <c r="Z94" i="18" s="1"/>
  <c r="P94" i="18"/>
  <c r="X94" i="18" s="1"/>
  <c r="L94" i="18"/>
  <c r="N94" i="18" s="1"/>
  <c r="H94" i="18"/>
  <c r="D94" i="18"/>
  <c r="B94" i="18"/>
  <c r="Z93" i="18"/>
  <c r="T93" i="18"/>
  <c r="X93" i="18" s="1"/>
  <c r="P93" i="18"/>
  <c r="H93" i="18"/>
  <c r="D93" i="18"/>
  <c r="B93" i="18"/>
  <c r="T92" i="18"/>
  <c r="P92" i="18"/>
  <c r="L92" i="18"/>
  <c r="N92" i="18" s="1"/>
  <c r="H92" i="18"/>
  <c r="D92" i="18"/>
  <c r="B92" i="18"/>
  <c r="T91" i="18"/>
  <c r="P91" i="18"/>
  <c r="L91" i="18"/>
  <c r="H91" i="18"/>
  <c r="D91" i="18"/>
  <c r="B91" i="18"/>
  <c r="T90" i="18"/>
  <c r="Z90" i="18" s="1"/>
  <c r="P90" i="18"/>
  <c r="X90" i="18" s="1"/>
  <c r="N90" i="18"/>
  <c r="L90" i="18"/>
  <c r="H90" i="18"/>
  <c r="D90" i="18"/>
  <c r="B90" i="18"/>
  <c r="Z89" i="18"/>
  <c r="T89" i="18"/>
  <c r="X89" i="18" s="1"/>
  <c r="P89" i="18"/>
  <c r="H89" i="18"/>
  <c r="D89" i="18"/>
  <c r="B89" i="18"/>
  <c r="T88" i="18"/>
  <c r="Z88" i="18" s="1"/>
  <c r="P88" i="18"/>
  <c r="X88" i="18" s="1"/>
  <c r="N88" i="18"/>
  <c r="L88" i="18"/>
  <c r="H88" i="18"/>
  <c r="D88" i="18"/>
  <c r="B88" i="18"/>
  <c r="Z87" i="18"/>
  <c r="X87" i="18"/>
  <c r="T87" i="18"/>
  <c r="P87" i="18"/>
  <c r="L87" i="18"/>
  <c r="H87" i="18"/>
  <c r="D87" i="18"/>
  <c r="B87" i="18"/>
  <c r="T86" i="18"/>
  <c r="Z86" i="18" s="1"/>
  <c r="P86" i="18"/>
  <c r="X86" i="18" s="1"/>
  <c r="N86" i="18"/>
  <c r="L86" i="18"/>
  <c r="H86" i="18"/>
  <c r="D86" i="18"/>
  <c r="B86" i="18"/>
  <c r="X85" i="18"/>
  <c r="T85" i="18"/>
  <c r="Z85" i="18" s="1"/>
  <c r="P85" i="18"/>
  <c r="H85" i="18"/>
  <c r="D85" i="18"/>
  <c r="L85" i="18" s="1"/>
  <c r="B85" i="18"/>
  <c r="T84" i="18"/>
  <c r="P84" i="18"/>
  <c r="N84" i="18"/>
  <c r="L84" i="18"/>
  <c r="H84" i="18"/>
  <c r="D84" i="18"/>
  <c r="B84" i="18"/>
  <c r="X83" i="18"/>
  <c r="T83" i="18"/>
  <c r="Z83" i="18" s="1"/>
  <c r="P83" i="18"/>
  <c r="H83" i="18"/>
  <c r="D83" i="18"/>
  <c r="L83" i="18" s="1"/>
  <c r="B83" i="18"/>
  <c r="T82" i="18"/>
  <c r="P82" i="18"/>
  <c r="L82" i="18"/>
  <c r="N82" i="18" s="1"/>
  <c r="H82" i="18"/>
  <c r="D82" i="18"/>
  <c r="B82" i="18"/>
  <c r="T81" i="18"/>
  <c r="P81" i="18"/>
  <c r="L81" i="18"/>
  <c r="H81" i="18"/>
  <c r="D81" i="18"/>
  <c r="B81" i="18"/>
  <c r="T80" i="18"/>
  <c r="P80" i="18"/>
  <c r="N80" i="18"/>
  <c r="L80" i="18"/>
  <c r="H80" i="18"/>
  <c r="D80" i="18"/>
  <c r="B80" i="18"/>
  <c r="Z79" i="18"/>
  <c r="X79" i="18"/>
  <c r="T79" i="18"/>
  <c r="P79" i="18"/>
  <c r="H79" i="18"/>
  <c r="D79" i="18"/>
  <c r="L79" i="18" s="1"/>
  <c r="B79" i="18"/>
  <c r="T78" i="18"/>
  <c r="P78" i="18"/>
  <c r="X78" i="18" s="1"/>
  <c r="L78" i="18"/>
  <c r="N78" i="18" s="1"/>
  <c r="H78" i="18"/>
  <c r="D78" i="18"/>
  <c r="B78" i="18"/>
  <c r="T77" i="18"/>
  <c r="P77" i="18"/>
  <c r="L77" i="18"/>
  <c r="H77" i="18"/>
  <c r="D77" i="18"/>
  <c r="B77" i="18"/>
  <c r="T76" i="18"/>
  <c r="P76" i="18"/>
  <c r="N76" i="18"/>
  <c r="L76" i="18"/>
  <c r="H76" i="18"/>
  <c r="D76" i="18"/>
  <c r="B76" i="18"/>
  <c r="X75" i="18"/>
  <c r="T75" i="18"/>
  <c r="Z75" i="18" s="1"/>
  <c r="P75" i="18"/>
  <c r="H75" i="18"/>
  <c r="D75" i="18"/>
  <c r="L75" i="18" s="1"/>
  <c r="B75" i="18"/>
  <c r="T74" i="18"/>
  <c r="P74" i="18"/>
  <c r="L74" i="18"/>
  <c r="N74" i="18" s="1"/>
  <c r="H74" i="18"/>
  <c r="D74" i="18"/>
  <c r="B74" i="18"/>
  <c r="T73" i="18"/>
  <c r="P73" i="18"/>
  <c r="L73" i="18"/>
  <c r="H73" i="18"/>
  <c r="D73" i="18"/>
  <c r="B73" i="18"/>
  <c r="T72" i="18"/>
  <c r="P72" i="18"/>
  <c r="N72" i="18"/>
  <c r="L72" i="18"/>
  <c r="H72" i="18"/>
  <c r="D72" i="18"/>
  <c r="B72" i="18"/>
  <c r="X71" i="18"/>
  <c r="Z71" i="18" s="1"/>
  <c r="T71" i="18"/>
  <c r="P71" i="18"/>
  <c r="H71" i="18"/>
  <c r="D71" i="18"/>
  <c r="B71" i="18"/>
  <c r="T70" i="18"/>
  <c r="P70" i="18"/>
  <c r="X70" i="18" s="1"/>
  <c r="L70" i="18"/>
  <c r="N70" i="18" s="1"/>
  <c r="H70" i="18"/>
  <c r="D70" i="18"/>
  <c r="B70" i="18"/>
  <c r="T69" i="18"/>
  <c r="P69" i="18"/>
  <c r="L69" i="18"/>
  <c r="H69" i="18"/>
  <c r="N69" i="18" s="1"/>
  <c r="D69" i="18"/>
  <c r="B69" i="18"/>
  <c r="T68" i="18"/>
  <c r="P68" i="18"/>
  <c r="N68" i="18"/>
  <c r="L68" i="18"/>
  <c r="H68" i="18"/>
  <c r="D68" i="18"/>
  <c r="B68" i="18"/>
  <c r="X67" i="18"/>
  <c r="T67" i="18"/>
  <c r="Z67" i="18" s="1"/>
  <c r="P67" i="18"/>
  <c r="H67" i="18"/>
  <c r="D67" i="18"/>
  <c r="L67" i="18" s="1"/>
  <c r="B67" i="18"/>
  <c r="T66" i="18"/>
  <c r="P66" i="18"/>
  <c r="L66" i="18"/>
  <c r="N66" i="18" s="1"/>
  <c r="H66" i="18"/>
  <c r="D66" i="18"/>
  <c r="B66" i="18"/>
  <c r="T65" i="18"/>
  <c r="P65" i="18"/>
  <c r="L65" i="18"/>
  <c r="H65" i="18"/>
  <c r="D65" i="18"/>
  <c r="B65" i="18"/>
  <c r="T64" i="18"/>
  <c r="P64" i="18"/>
  <c r="N64" i="18"/>
  <c r="L64" i="18"/>
  <c r="H64" i="18"/>
  <c r="D64" i="18"/>
  <c r="B64" i="18"/>
  <c r="X63" i="18"/>
  <c r="Z63" i="18" s="1"/>
  <c r="T63" i="18"/>
  <c r="P63" i="18"/>
  <c r="H63" i="18"/>
  <c r="D63" i="18"/>
  <c r="B63" i="18"/>
  <c r="T62" i="18"/>
  <c r="Z62" i="18" s="1"/>
  <c r="P62" i="18"/>
  <c r="X62" i="18" s="1"/>
  <c r="N62" i="18"/>
  <c r="L62" i="18"/>
  <c r="H62" i="18"/>
  <c r="D62" i="18"/>
  <c r="B62" i="18"/>
  <c r="T61" i="18"/>
  <c r="P61" i="18"/>
  <c r="L61" i="18"/>
  <c r="H61" i="18"/>
  <c r="D61" i="18"/>
  <c r="B61" i="18"/>
  <c r="T60" i="18"/>
  <c r="P60" i="18"/>
  <c r="N60" i="18"/>
  <c r="L60" i="18"/>
  <c r="H60" i="18"/>
  <c r="D60" i="18"/>
  <c r="B60" i="18"/>
  <c r="X59" i="18"/>
  <c r="T59" i="18"/>
  <c r="Z59" i="18" s="1"/>
  <c r="P59" i="18"/>
  <c r="H59" i="18"/>
  <c r="D59" i="18"/>
  <c r="L59" i="18" s="1"/>
  <c r="B59" i="18"/>
  <c r="T58" i="18"/>
  <c r="P58" i="18"/>
  <c r="L58" i="18"/>
  <c r="N58" i="18" s="1"/>
  <c r="H58" i="18"/>
  <c r="D58" i="18"/>
  <c r="B58" i="18"/>
  <c r="T57" i="18"/>
  <c r="P57" i="18"/>
  <c r="L57" i="18"/>
  <c r="H57" i="18"/>
  <c r="D57" i="18"/>
  <c r="B57" i="18"/>
  <c r="T56" i="18"/>
  <c r="P56" i="18"/>
  <c r="N56" i="18"/>
  <c r="L56" i="18"/>
  <c r="H56" i="18"/>
  <c r="D56" i="18"/>
  <c r="B56" i="18"/>
  <c r="X55" i="18"/>
  <c r="Z55" i="18" s="1"/>
  <c r="T55" i="18"/>
  <c r="P55" i="18"/>
  <c r="H55" i="18"/>
  <c r="D55" i="18"/>
  <c r="B55" i="18"/>
  <c r="T54" i="18"/>
  <c r="P54" i="18"/>
  <c r="X54" i="18" s="1"/>
  <c r="L54" i="18"/>
  <c r="N54" i="18" s="1"/>
  <c r="H54" i="18"/>
  <c r="D54" i="18"/>
  <c r="B54" i="18"/>
  <c r="T53" i="18"/>
  <c r="P53" i="18"/>
  <c r="L53" i="18"/>
  <c r="H53" i="18"/>
  <c r="D53" i="18"/>
  <c r="B53" i="18"/>
  <c r="T52" i="18"/>
  <c r="P52" i="18"/>
  <c r="N52" i="18"/>
  <c r="L52" i="18"/>
  <c r="H52" i="18"/>
  <c r="D52" i="18"/>
  <c r="B52" i="18"/>
  <c r="X51" i="18"/>
  <c r="T51" i="18"/>
  <c r="Z51" i="18" s="1"/>
  <c r="P51" i="18"/>
  <c r="H51" i="18"/>
  <c r="D51" i="18"/>
  <c r="L51" i="18" s="1"/>
  <c r="B51" i="18"/>
  <c r="T50" i="18"/>
  <c r="P50" i="18"/>
  <c r="L50" i="18"/>
  <c r="N50" i="18" s="1"/>
  <c r="H50" i="18"/>
  <c r="D50" i="18"/>
  <c r="B50" i="18"/>
  <c r="T49" i="18"/>
  <c r="P49" i="18"/>
  <c r="L49" i="18"/>
  <c r="H49" i="18"/>
  <c r="D49" i="18"/>
  <c r="B49" i="18"/>
  <c r="T48" i="18"/>
  <c r="P48" i="18"/>
  <c r="N48" i="18"/>
  <c r="L48" i="18"/>
  <c r="H48" i="18"/>
  <c r="D48" i="18"/>
  <c r="B48" i="18"/>
  <c r="X47" i="18"/>
  <c r="Z47" i="18" s="1"/>
  <c r="T47" i="18"/>
  <c r="P47" i="18"/>
  <c r="H47" i="18"/>
  <c r="D47" i="18"/>
  <c r="B47" i="18"/>
  <c r="T46" i="18"/>
  <c r="P46" i="18"/>
  <c r="X46" i="18" s="1"/>
  <c r="L46" i="18"/>
  <c r="N46" i="18" s="1"/>
  <c r="H46" i="18"/>
  <c r="D46" i="18"/>
  <c r="B46" i="18"/>
  <c r="T45" i="18"/>
  <c r="P45" i="18"/>
  <c r="L45" i="18"/>
  <c r="H45" i="18"/>
  <c r="D45" i="18"/>
  <c r="B45" i="18"/>
  <c r="T44" i="18"/>
  <c r="P44" i="18"/>
  <c r="N44" i="18"/>
  <c r="L44" i="18"/>
  <c r="H44" i="18"/>
  <c r="D44" i="18"/>
  <c r="B44" i="18"/>
  <c r="X43" i="18"/>
  <c r="T43" i="18"/>
  <c r="Z43" i="18" s="1"/>
  <c r="P43" i="18"/>
  <c r="H43" i="18"/>
  <c r="D43" i="18"/>
  <c r="L43" i="18" s="1"/>
  <c r="B43" i="18"/>
  <c r="T42" i="18"/>
  <c r="P42" i="18"/>
  <c r="L42" i="18"/>
  <c r="N42" i="18" s="1"/>
  <c r="H42" i="18"/>
  <c r="D42" i="18"/>
  <c r="B42" i="18"/>
  <c r="T41" i="18"/>
  <c r="P41" i="18"/>
  <c r="L41" i="18"/>
  <c r="H41" i="18"/>
  <c r="D41" i="18"/>
  <c r="B41" i="18"/>
  <c r="T40" i="18"/>
  <c r="P40" i="18"/>
  <c r="N40" i="18"/>
  <c r="L40" i="18"/>
  <c r="H40" i="18"/>
  <c r="D40" i="18"/>
  <c r="B40" i="18"/>
  <c r="X39" i="18"/>
  <c r="Z39" i="18" s="1"/>
  <c r="T39" i="18"/>
  <c r="P39" i="18"/>
  <c r="H39" i="18"/>
  <c r="D39" i="18"/>
  <c r="B39" i="18"/>
  <c r="T38" i="18"/>
  <c r="P38" i="18"/>
  <c r="L38" i="18"/>
  <c r="N38" i="18" s="1"/>
  <c r="H38" i="18"/>
  <c r="D38" i="18"/>
  <c r="B38" i="18"/>
  <c r="T37" i="18"/>
  <c r="P37" i="18"/>
  <c r="L37" i="18"/>
  <c r="H37" i="18"/>
  <c r="D37" i="18"/>
  <c r="B37" i="18"/>
  <c r="T36" i="18"/>
  <c r="P36" i="18"/>
  <c r="N36" i="18"/>
  <c r="L36" i="18"/>
  <c r="H36" i="18"/>
  <c r="D36" i="18"/>
  <c r="B36" i="18"/>
  <c r="X35" i="18"/>
  <c r="T35" i="18"/>
  <c r="Z35" i="18" s="1"/>
  <c r="P35" i="18"/>
  <c r="H35" i="18"/>
  <c r="D35" i="18"/>
  <c r="L35" i="18" s="1"/>
  <c r="B35" i="18"/>
  <c r="T34" i="18"/>
  <c r="P34" i="18"/>
  <c r="L34" i="18"/>
  <c r="N34" i="18" s="1"/>
  <c r="H34" i="18"/>
  <c r="D34" i="18"/>
  <c r="B34" i="18"/>
  <c r="T33" i="18"/>
  <c r="P33" i="18"/>
  <c r="N33" i="18"/>
  <c r="L33" i="18"/>
  <c r="H33" i="18"/>
  <c r="D33" i="18"/>
  <c r="B33" i="18"/>
  <c r="T32" i="18"/>
  <c r="P32" i="18"/>
  <c r="X32" i="18" s="1"/>
  <c r="H32" i="18"/>
  <c r="D32" i="18"/>
  <c r="L32" i="18" s="1"/>
  <c r="N32" i="18" s="1"/>
  <c r="B32" i="18"/>
  <c r="Z31" i="18"/>
  <c r="X31" i="18"/>
  <c r="T31" i="18"/>
  <c r="P31" i="18"/>
  <c r="L31" i="18"/>
  <c r="H31" i="18"/>
  <c r="D31" i="18"/>
  <c r="B31" i="18"/>
  <c r="T30" i="18"/>
  <c r="P30" i="18"/>
  <c r="X30" i="18" s="1"/>
  <c r="L30" i="18"/>
  <c r="N30" i="18" s="1"/>
  <c r="H30" i="18"/>
  <c r="D30" i="18"/>
  <c r="B30" i="18"/>
  <c r="Z29" i="18"/>
  <c r="T29" i="18"/>
  <c r="X29" i="18" s="1"/>
  <c r="P29" i="18"/>
  <c r="H29" i="18"/>
  <c r="N29" i="18" s="1"/>
  <c r="D29" i="18"/>
  <c r="L29" i="18" s="1"/>
  <c r="B29" i="18"/>
  <c r="T28" i="18"/>
  <c r="P28" i="18"/>
  <c r="L28" i="18"/>
  <c r="N28" i="18" s="1"/>
  <c r="H28" i="18"/>
  <c r="D28" i="18"/>
  <c r="B28" i="18"/>
  <c r="T27" i="18"/>
  <c r="P27" i="18"/>
  <c r="L27" i="18"/>
  <c r="H27" i="18"/>
  <c r="D27" i="18"/>
  <c r="B27" i="18"/>
  <c r="X26" i="18"/>
  <c r="T26" i="18"/>
  <c r="P26" i="18"/>
  <c r="N26" i="18"/>
  <c r="L26" i="18"/>
  <c r="H26" i="18"/>
  <c r="D26" i="18"/>
  <c r="B26" i="18"/>
  <c r="Z25" i="18"/>
  <c r="X25" i="18"/>
  <c r="T25" i="18"/>
  <c r="P25" i="18"/>
  <c r="H25" i="18"/>
  <c r="D25" i="18"/>
  <c r="L25" i="18" s="1"/>
  <c r="N25" i="18" s="1"/>
  <c r="B25" i="18"/>
  <c r="T24" i="18"/>
  <c r="P24" i="18"/>
  <c r="X24" i="18" s="1"/>
  <c r="L24" i="18"/>
  <c r="N24" i="18" s="1"/>
  <c r="H24" i="18"/>
  <c r="D24" i="18"/>
  <c r="B24" i="18"/>
  <c r="T23" i="18"/>
  <c r="X23" i="18" s="1"/>
  <c r="Z23" i="18" s="1"/>
  <c r="P23" i="18"/>
  <c r="H23" i="18"/>
  <c r="D23" i="18"/>
  <c r="L23" i="18" s="1"/>
  <c r="B23" i="18"/>
  <c r="X22" i="18"/>
  <c r="T22" i="18"/>
  <c r="P22" i="18"/>
  <c r="L22" i="18"/>
  <c r="N22" i="18" s="1"/>
  <c r="H22" i="18"/>
  <c r="D22" i="18"/>
  <c r="B22" i="18"/>
  <c r="T21" i="18"/>
  <c r="P21" i="18"/>
  <c r="N21" i="18"/>
  <c r="L21" i="18"/>
  <c r="H21" i="18"/>
  <c r="D21" i="18"/>
  <c r="B21" i="18"/>
  <c r="T20" i="18"/>
  <c r="P20" i="18"/>
  <c r="X20" i="18" s="1"/>
  <c r="H20" i="18"/>
  <c r="D20" i="18"/>
  <c r="L20" i="18" s="1"/>
  <c r="N20" i="18" s="1"/>
  <c r="B20" i="18"/>
  <c r="Z19" i="18"/>
  <c r="X19" i="18"/>
  <c r="T19" i="18"/>
  <c r="P19" i="18"/>
  <c r="L19" i="18"/>
  <c r="H19" i="18"/>
  <c r="D19" i="18"/>
  <c r="B19" i="18"/>
  <c r="T18" i="18"/>
  <c r="P18" i="18"/>
  <c r="X18" i="18" s="1"/>
  <c r="L18" i="18"/>
  <c r="N18" i="18" s="1"/>
  <c r="H18" i="18"/>
  <c r="D18" i="18"/>
  <c r="B18" i="18"/>
  <c r="Z17" i="18"/>
  <c r="T17" i="18"/>
  <c r="X17" i="18" s="1"/>
  <c r="P17" i="18"/>
  <c r="H17" i="18"/>
  <c r="N17" i="18" s="1"/>
  <c r="D17" i="18"/>
  <c r="L17" i="18" s="1"/>
  <c r="B17" i="18"/>
  <c r="T16" i="18"/>
  <c r="P16" i="18"/>
  <c r="L16" i="18"/>
  <c r="N16" i="18" s="1"/>
  <c r="H16" i="18"/>
  <c r="D16" i="18"/>
  <c r="B16" i="18"/>
  <c r="T15" i="18"/>
  <c r="Z15" i="18" s="1"/>
  <c r="P15" i="18"/>
  <c r="X15" i="18" s="1"/>
  <c r="L15" i="18"/>
  <c r="H15" i="18"/>
  <c r="D15" i="18"/>
  <c r="B15" i="18"/>
  <c r="X14" i="18"/>
  <c r="T14" i="18"/>
  <c r="P14" i="18"/>
  <c r="P12" i="18" s="1"/>
  <c r="N14" i="18"/>
  <c r="L14" i="18"/>
  <c r="H14" i="18"/>
  <c r="D14" i="18"/>
  <c r="B14" i="18"/>
  <c r="Z13" i="18"/>
  <c r="X13" i="18"/>
  <c r="T13" i="18"/>
  <c r="P13" i="18"/>
  <c r="N13" i="18"/>
  <c r="H13" i="18"/>
  <c r="D13" i="18"/>
  <c r="L13" i="18" s="1"/>
  <c r="B13" i="18"/>
  <c r="D4" i="18"/>
  <c r="Z225" i="15"/>
  <c r="X225" i="15"/>
  <c r="L225" i="15"/>
  <c r="N225" i="15" s="1"/>
  <c r="X221" i="15"/>
  <c r="T221" i="15"/>
  <c r="Z221" i="15" s="1"/>
  <c r="P221" i="15"/>
  <c r="L221" i="15"/>
  <c r="H221" i="15"/>
  <c r="N221" i="15" s="1"/>
  <c r="D221" i="15"/>
  <c r="B221" i="15"/>
  <c r="Z220" i="15"/>
  <c r="T220" i="15"/>
  <c r="X220" i="15" s="1"/>
  <c r="P220" i="15"/>
  <c r="N220" i="15"/>
  <c r="L220" i="15"/>
  <c r="H220" i="15"/>
  <c r="D220" i="15"/>
  <c r="B220" i="15"/>
  <c r="T219" i="15"/>
  <c r="P219" i="15"/>
  <c r="X219" i="15" s="1"/>
  <c r="H219" i="15"/>
  <c r="D219" i="15"/>
  <c r="L219" i="15" s="1"/>
  <c r="N219" i="15" s="1"/>
  <c r="B219" i="15"/>
  <c r="Z218" i="15"/>
  <c r="X218" i="15"/>
  <c r="T218" i="15"/>
  <c r="P218" i="15"/>
  <c r="N218" i="15"/>
  <c r="L218" i="15"/>
  <c r="H218" i="15"/>
  <c r="D218" i="15"/>
  <c r="B218" i="15"/>
  <c r="T217" i="15"/>
  <c r="P217" i="15"/>
  <c r="X217" i="15" s="1"/>
  <c r="H217" i="15"/>
  <c r="D217" i="15"/>
  <c r="L217" i="15" s="1"/>
  <c r="B217" i="15"/>
  <c r="T216" i="15"/>
  <c r="Z216" i="15" s="1"/>
  <c r="P216" i="15"/>
  <c r="X216" i="15" s="1"/>
  <c r="H216" i="15"/>
  <c r="D216" i="15"/>
  <c r="D215" i="15" s="1"/>
  <c r="B216" i="15"/>
  <c r="X213" i="15"/>
  <c r="Z213" i="15" s="1"/>
  <c r="N213" i="15"/>
  <c r="L213" i="15"/>
  <c r="F213" i="15"/>
  <c r="B213" i="15"/>
  <c r="Z212" i="15"/>
  <c r="X212" i="15"/>
  <c r="T212" i="15"/>
  <c r="P212" i="15"/>
  <c r="N212" i="15"/>
  <c r="L212" i="15"/>
  <c r="H212" i="15"/>
  <c r="D212" i="15"/>
  <c r="B212" i="15"/>
  <c r="Z211" i="15"/>
  <c r="X211" i="15"/>
  <c r="L211" i="15"/>
  <c r="N211" i="15" s="1"/>
  <c r="B211" i="15"/>
  <c r="Z210" i="15"/>
  <c r="X210" i="15"/>
  <c r="N210" i="15"/>
  <c r="L210" i="15"/>
  <c r="B210" i="15"/>
  <c r="Z209" i="15"/>
  <c r="X209" i="15"/>
  <c r="L209" i="15"/>
  <c r="N209" i="15" s="1"/>
  <c r="B209" i="15"/>
  <c r="Z208" i="15"/>
  <c r="X208" i="15"/>
  <c r="T208" i="15"/>
  <c r="P208" i="15"/>
  <c r="H208" i="15"/>
  <c r="L208" i="15" s="1"/>
  <c r="N208" i="15" s="1"/>
  <c r="D208" i="15"/>
  <c r="B208" i="15"/>
  <c r="X207" i="15"/>
  <c r="Z207" i="15" s="1"/>
  <c r="L207" i="15"/>
  <c r="N207" i="15" s="1"/>
  <c r="B207" i="15"/>
  <c r="T206" i="15"/>
  <c r="P206" i="15"/>
  <c r="X206" i="15" s="1"/>
  <c r="H206" i="15"/>
  <c r="D206" i="15"/>
  <c r="L206" i="15" s="1"/>
  <c r="B206" i="15"/>
  <c r="X205" i="15"/>
  <c r="Z205" i="15" s="1"/>
  <c r="N205" i="15"/>
  <c r="L205" i="15"/>
  <c r="B205" i="15"/>
  <c r="Z204" i="15"/>
  <c r="X204" i="15"/>
  <c r="N204" i="15"/>
  <c r="L204" i="15"/>
  <c r="B204" i="15"/>
  <c r="X203" i="15"/>
  <c r="T203" i="15"/>
  <c r="P203" i="15"/>
  <c r="L203" i="15"/>
  <c r="H203" i="15"/>
  <c r="N203" i="15" s="1"/>
  <c r="D203" i="15"/>
  <c r="B203" i="15"/>
  <c r="Z202" i="15"/>
  <c r="X202" i="15"/>
  <c r="N202" i="15"/>
  <c r="L202" i="15"/>
  <c r="B202" i="15"/>
  <c r="Z201" i="15"/>
  <c r="X201" i="15"/>
  <c r="N201" i="15"/>
  <c r="L201" i="15"/>
  <c r="B201" i="15"/>
  <c r="Z200" i="15"/>
  <c r="X200" i="15"/>
  <c r="N200" i="15"/>
  <c r="L200" i="15"/>
  <c r="B200" i="15"/>
  <c r="Z199" i="15"/>
  <c r="X199" i="15"/>
  <c r="L199" i="15"/>
  <c r="N199" i="15" s="1"/>
  <c r="B199" i="15"/>
  <c r="Z198" i="15"/>
  <c r="X198" i="15"/>
  <c r="N198" i="15"/>
  <c r="L198" i="15"/>
  <c r="B198" i="15"/>
  <c r="Z197" i="15"/>
  <c r="X197" i="15"/>
  <c r="N197" i="15"/>
  <c r="L197" i="15"/>
  <c r="B197" i="15"/>
  <c r="Z196" i="15"/>
  <c r="X196" i="15"/>
  <c r="N196" i="15"/>
  <c r="L196" i="15"/>
  <c r="B196" i="15"/>
  <c r="T195" i="15"/>
  <c r="Z195" i="15" s="1"/>
  <c r="P195" i="15"/>
  <c r="X195" i="15" s="1"/>
  <c r="H195" i="15"/>
  <c r="D195" i="15"/>
  <c r="L195" i="15" s="1"/>
  <c r="B195" i="15"/>
  <c r="Z194" i="15"/>
  <c r="X194" i="15"/>
  <c r="N194" i="15"/>
  <c r="L194" i="15"/>
  <c r="B194" i="15"/>
  <c r="X193" i="15"/>
  <c r="Z193" i="15" s="1"/>
  <c r="L193" i="15"/>
  <c r="N193" i="15" s="1"/>
  <c r="B193" i="15"/>
  <c r="V192" i="15"/>
  <c r="T192" i="15"/>
  <c r="P192" i="15"/>
  <c r="X192" i="15" s="1"/>
  <c r="H192" i="15"/>
  <c r="D192" i="15"/>
  <c r="L192" i="15" s="1"/>
  <c r="B192" i="15"/>
  <c r="X191" i="15"/>
  <c r="Z191" i="15" s="1"/>
  <c r="N191" i="15"/>
  <c r="L191" i="15"/>
  <c r="B191" i="15"/>
  <c r="Z190" i="15"/>
  <c r="X190" i="15"/>
  <c r="N190" i="15"/>
  <c r="L190" i="15"/>
  <c r="B190" i="15"/>
  <c r="X189" i="15"/>
  <c r="Z189" i="15" s="1"/>
  <c r="N189" i="15"/>
  <c r="L189" i="15"/>
  <c r="B189" i="15"/>
  <c r="Z188" i="15"/>
  <c r="X188" i="15"/>
  <c r="N188" i="15"/>
  <c r="L188" i="15"/>
  <c r="B188" i="15"/>
  <c r="X187" i="15"/>
  <c r="T187" i="15"/>
  <c r="Z187" i="15" s="1"/>
  <c r="P187" i="15"/>
  <c r="L187" i="15"/>
  <c r="H187" i="15"/>
  <c r="N187" i="15" s="1"/>
  <c r="D187" i="15"/>
  <c r="B187" i="15"/>
  <c r="Z186" i="15"/>
  <c r="X186" i="15"/>
  <c r="N186" i="15"/>
  <c r="L186" i="15"/>
  <c r="B186" i="15"/>
  <c r="Z185" i="15"/>
  <c r="X185" i="15"/>
  <c r="L185" i="15"/>
  <c r="N185" i="15" s="1"/>
  <c r="B185" i="15"/>
  <c r="Z184" i="15"/>
  <c r="X184" i="15"/>
  <c r="N184" i="15"/>
  <c r="L184" i="15"/>
  <c r="B184" i="15"/>
  <c r="T183" i="15"/>
  <c r="Z183" i="15" s="1"/>
  <c r="P183" i="15"/>
  <c r="X183" i="15" s="1"/>
  <c r="H183" i="15"/>
  <c r="D183" i="15"/>
  <c r="B183" i="15"/>
  <c r="Z182" i="15"/>
  <c r="X182" i="15"/>
  <c r="N182" i="15"/>
  <c r="L182" i="15"/>
  <c r="B182" i="15"/>
  <c r="X181" i="15"/>
  <c r="Z181" i="15" s="1"/>
  <c r="L181" i="15"/>
  <c r="N181" i="15" s="1"/>
  <c r="B181" i="15"/>
  <c r="Z180" i="15"/>
  <c r="X180" i="15"/>
  <c r="V180" i="15"/>
  <c r="N180" i="15"/>
  <c r="L180" i="15"/>
  <c r="B180" i="15"/>
  <c r="T179" i="15"/>
  <c r="P179" i="15"/>
  <c r="X179" i="15" s="1"/>
  <c r="Z179" i="15" s="1"/>
  <c r="H179" i="15"/>
  <c r="N179" i="15" s="1"/>
  <c r="D179" i="15"/>
  <c r="L179" i="15" s="1"/>
  <c r="B179" i="15"/>
  <c r="Z178" i="15"/>
  <c r="X178" i="15"/>
  <c r="N178" i="15"/>
  <c r="L178" i="15"/>
  <c r="B178" i="15"/>
  <c r="X177" i="15"/>
  <c r="T177" i="15"/>
  <c r="Z177" i="15" s="1"/>
  <c r="P177" i="15"/>
  <c r="L177" i="15"/>
  <c r="H177" i="15"/>
  <c r="N177" i="15" s="1"/>
  <c r="D177" i="15"/>
  <c r="B177" i="15"/>
  <c r="Z176" i="15"/>
  <c r="X176" i="15"/>
  <c r="N176" i="15"/>
  <c r="L176" i="15"/>
  <c r="B176" i="15"/>
  <c r="T175" i="15"/>
  <c r="P175" i="15"/>
  <c r="X175" i="15" s="1"/>
  <c r="H175" i="15"/>
  <c r="D175" i="15"/>
  <c r="L175" i="15" s="1"/>
  <c r="B175" i="15"/>
  <c r="Z174" i="15"/>
  <c r="X174" i="15"/>
  <c r="N174" i="15"/>
  <c r="L174" i="15"/>
  <c r="B174" i="15"/>
  <c r="T173" i="15"/>
  <c r="Z173" i="15" s="1"/>
  <c r="P173" i="15"/>
  <c r="X173" i="15" s="1"/>
  <c r="H173" i="15"/>
  <c r="D173" i="15"/>
  <c r="L173" i="15" s="1"/>
  <c r="N173" i="15" s="1"/>
  <c r="B173" i="15"/>
  <c r="Z172" i="15"/>
  <c r="X172" i="15"/>
  <c r="N172" i="15"/>
  <c r="L172" i="15"/>
  <c r="B172" i="15"/>
  <c r="X171" i="15"/>
  <c r="T171" i="15"/>
  <c r="P171" i="15"/>
  <c r="L171" i="15"/>
  <c r="H171" i="15"/>
  <c r="N171" i="15" s="1"/>
  <c r="D171" i="15"/>
  <c r="B171" i="15"/>
  <c r="Z170" i="15"/>
  <c r="X170" i="15"/>
  <c r="N170" i="15"/>
  <c r="L170" i="15"/>
  <c r="B170" i="15"/>
  <c r="T169" i="15"/>
  <c r="P169" i="15"/>
  <c r="H169" i="15"/>
  <c r="N169" i="15" s="1"/>
  <c r="D169" i="15"/>
  <c r="L169" i="15" s="1"/>
  <c r="B169" i="15"/>
  <c r="Z168" i="15"/>
  <c r="X168" i="15"/>
  <c r="V168" i="15"/>
  <c r="N168" i="15"/>
  <c r="L168" i="15"/>
  <c r="B168" i="15"/>
  <c r="X167" i="15"/>
  <c r="Z167" i="15" s="1"/>
  <c r="L167" i="15"/>
  <c r="N167" i="15" s="1"/>
  <c r="B167" i="15"/>
  <c r="T166" i="15"/>
  <c r="P166" i="15"/>
  <c r="X166" i="15" s="1"/>
  <c r="Z166" i="15" s="1"/>
  <c r="H166" i="15"/>
  <c r="N166" i="15" s="1"/>
  <c r="D166" i="15"/>
  <c r="L166" i="15" s="1"/>
  <c r="B166" i="15"/>
  <c r="X165" i="15"/>
  <c r="Z165" i="15" s="1"/>
  <c r="N165" i="15"/>
  <c r="L165" i="15"/>
  <c r="B165" i="15"/>
  <c r="Z164" i="15"/>
  <c r="X164" i="15"/>
  <c r="T164" i="15"/>
  <c r="P164" i="15"/>
  <c r="N164" i="15"/>
  <c r="L164" i="15"/>
  <c r="H164" i="15"/>
  <c r="D164" i="15"/>
  <c r="B164" i="15"/>
  <c r="X163" i="15"/>
  <c r="Z163" i="15" s="1"/>
  <c r="L163" i="15"/>
  <c r="N163" i="15" s="1"/>
  <c r="B163" i="15"/>
  <c r="Z162" i="15"/>
  <c r="T162" i="15"/>
  <c r="X162" i="15" s="1"/>
  <c r="P162" i="15"/>
  <c r="N162" i="15"/>
  <c r="L162" i="15"/>
  <c r="H162" i="15"/>
  <c r="D162" i="15"/>
  <c r="B162" i="15"/>
  <c r="X161" i="15"/>
  <c r="Z161" i="15" s="1"/>
  <c r="L161" i="15"/>
  <c r="N161" i="15" s="1"/>
  <c r="B161" i="15"/>
  <c r="V160" i="15"/>
  <c r="T160" i="15"/>
  <c r="Z160" i="15" s="1"/>
  <c r="P160" i="15"/>
  <c r="X160" i="15" s="1"/>
  <c r="H160" i="15"/>
  <c r="D160" i="15"/>
  <c r="L160" i="15" s="1"/>
  <c r="N160" i="15" s="1"/>
  <c r="B160" i="15"/>
  <c r="X159" i="15"/>
  <c r="Z159" i="15" s="1"/>
  <c r="L159" i="15"/>
  <c r="N159" i="15" s="1"/>
  <c r="B159" i="15"/>
  <c r="Z158" i="15"/>
  <c r="X158" i="15"/>
  <c r="N158" i="15"/>
  <c r="L158" i="15"/>
  <c r="B158" i="15"/>
  <c r="X157" i="15"/>
  <c r="T157" i="15"/>
  <c r="Z157" i="15" s="1"/>
  <c r="P157" i="15"/>
  <c r="L157" i="15"/>
  <c r="H157" i="15"/>
  <c r="N157" i="15" s="1"/>
  <c r="D157" i="15"/>
  <c r="B157" i="15"/>
  <c r="Z156" i="15"/>
  <c r="X156" i="15"/>
  <c r="N156" i="15"/>
  <c r="L156" i="15"/>
  <c r="B156" i="15"/>
  <c r="X155" i="15"/>
  <c r="Z155" i="15" s="1"/>
  <c r="L155" i="15"/>
  <c r="N155" i="15" s="1"/>
  <c r="B155" i="15"/>
  <c r="Z154" i="15"/>
  <c r="T154" i="15"/>
  <c r="X154" i="15" s="1"/>
  <c r="P154" i="15"/>
  <c r="N154" i="15"/>
  <c r="L154" i="15"/>
  <c r="H154" i="15"/>
  <c r="D154" i="15"/>
  <c r="B154" i="15"/>
  <c r="X153" i="15"/>
  <c r="Z153" i="15" s="1"/>
  <c r="L153" i="15"/>
  <c r="N153" i="15" s="1"/>
  <c r="B153" i="15"/>
  <c r="V152" i="15"/>
  <c r="T152" i="15"/>
  <c r="Z152" i="15" s="1"/>
  <c r="P152" i="15"/>
  <c r="X152" i="15" s="1"/>
  <c r="H152" i="15"/>
  <c r="D152" i="15"/>
  <c r="L152" i="15" s="1"/>
  <c r="N152" i="15" s="1"/>
  <c r="B152" i="15"/>
  <c r="X151" i="15"/>
  <c r="Z151" i="15" s="1"/>
  <c r="L151" i="15"/>
  <c r="N151" i="15" s="1"/>
  <c r="B151" i="15"/>
  <c r="Z150" i="15"/>
  <c r="X150" i="15"/>
  <c r="T150" i="15"/>
  <c r="P150" i="15"/>
  <c r="N150" i="15"/>
  <c r="L150" i="15"/>
  <c r="H150" i="15"/>
  <c r="D150" i="15"/>
  <c r="B150" i="15"/>
  <c r="Z149" i="15"/>
  <c r="X149" i="15"/>
  <c r="L149" i="15"/>
  <c r="N149" i="15" s="1"/>
  <c r="B149" i="15"/>
  <c r="Z148" i="15"/>
  <c r="X148" i="15"/>
  <c r="T148" i="15"/>
  <c r="P148" i="15"/>
  <c r="H148" i="15"/>
  <c r="L148" i="15" s="1"/>
  <c r="N148" i="15" s="1"/>
  <c r="D148" i="15"/>
  <c r="B148" i="15"/>
  <c r="X147" i="15"/>
  <c r="Z147" i="15" s="1"/>
  <c r="L147" i="15"/>
  <c r="N147" i="15" s="1"/>
  <c r="B147" i="15"/>
  <c r="Z146" i="15"/>
  <c r="X146" i="15"/>
  <c r="N146" i="15"/>
  <c r="L146" i="15"/>
  <c r="B146" i="15"/>
  <c r="X145" i="15"/>
  <c r="Z145" i="15" s="1"/>
  <c r="L145" i="15"/>
  <c r="N145" i="15" s="1"/>
  <c r="B145" i="15"/>
  <c r="Z144" i="15"/>
  <c r="X144" i="15"/>
  <c r="V144" i="15"/>
  <c r="N144" i="15"/>
  <c r="L144" i="15"/>
  <c r="B144" i="15"/>
  <c r="X143" i="15"/>
  <c r="Z143" i="15" s="1"/>
  <c r="L143" i="15"/>
  <c r="N143" i="15" s="1"/>
  <c r="B143" i="15"/>
  <c r="Z142" i="15"/>
  <c r="X142" i="15"/>
  <c r="N142" i="15"/>
  <c r="L142" i="15"/>
  <c r="B142" i="15"/>
  <c r="X141" i="15"/>
  <c r="Z141" i="15" s="1"/>
  <c r="L141" i="15"/>
  <c r="N141" i="15" s="1"/>
  <c r="B141" i="15"/>
  <c r="V140" i="15"/>
  <c r="T140" i="15"/>
  <c r="Z140" i="15" s="1"/>
  <c r="P140" i="15"/>
  <c r="X140" i="15" s="1"/>
  <c r="H140" i="15"/>
  <c r="D140" i="15"/>
  <c r="L140" i="15" s="1"/>
  <c r="N140" i="15" s="1"/>
  <c r="B140" i="15"/>
  <c r="X139" i="15"/>
  <c r="Z139" i="15" s="1"/>
  <c r="N139" i="15"/>
  <c r="L139" i="15"/>
  <c r="B139" i="15"/>
  <c r="Z138" i="15"/>
  <c r="X138" i="15"/>
  <c r="N138" i="15"/>
  <c r="L138" i="15"/>
  <c r="B138" i="15"/>
  <c r="X137" i="15"/>
  <c r="Z137" i="15" s="1"/>
  <c r="N137" i="15"/>
  <c r="L137" i="15"/>
  <c r="F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X133" i="15"/>
  <c r="Z133" i="15" s="1"/>
  <c r="N133" i="15"/>
  <c r="L133" i="15"/>
  <c r="B133" i="15"/>
  <c r="Z132" i="15"/>
  <c r="X132" i="15"/>
  <c r="N132" i="15"/>
  <c r="L132" i="15"/>
  <c r="B132" i="15"/>
  <c r="X131" i="15"/>
  <c r="Z131" i="15" s="1"/>
  <c r="L131" i="15"/>
  <c r="N131" i="15" s="1"/>
  <c r="B131" i="15"/>
  <c r="Z130" i="15"/>
  <c r="X130" i="15"/>
  <c r="N130" i="15"/>
  <c r="L130" i="15"/>
  <c r="B130" i="15"/>
  <c r="X129" i="15"/>
  <c r="T129" i="15"/>
  <c r="Z129" i="15" s="1"/>
  <c r="P129" i="15"/>
  <c r="L129" i="15"/>
  <c r="H129" i="15"/>
  <c r="D129" i="15"/>
  <c r="B129" i="15"/>
  <c r="T128" i="15"/>
  <c r="X128" i="15" s="1"/>
  <c r="Z128" i="15" s="1"/>
  <c r="P128" i="15"/>
  <c r="H128" i="15"/>
  <c r="L128" i="15" s="1"/>
  <c r="N128" i="15" s="1"/>
  <c r="D128" i="15"/>
  <c r="Z124" i="15"/>
  <c r="X124" i="15"/>
  <c r="N124" i="15"/>
  <c r="L124" i="15"/>
  <c r="B124" i="15"/>
  <c r="Z123" i="15"/>
  <c r="X123" i="15"/>
  <c r="L123" i="15"/>
  <c r="N123" i="15" s="1"/>
  <c r="B123" i="15"/>
  <c r="Z122" i="15"/>
  <c r="X122" i="15"/>
  <c r="N122" i="15"/>
  <c r="L122" i="15"/>
  <c r="B122" i="15"/>
  <c r="Z121" i="15"/>
  <c r="X121" i="15"/>
  <c r="L121" i="15"/>
  <c r="N121" i="15" s="1"/>
  <c r="B121" i="15"/>
  <c r="Z120" i="15"/>
  <c r="X120" i="15"/>
  <c r="N120" i="15"/>
  <c r="L120" i="15"/>
  <c r="B120" i="15"/>
  <c r="Z119" i="15"/>
  <c r="X119" i="15"/>
  <c r="L119" i="15"/>
  <c r="N119" i="15" s="1"/>
  <c r="B119" i="15"/>
  <c r="Z118" i="15"/>
  <c r="X118" i="15"/>
  <c r="N118" i="15"/>
  <c r="L118" i="15"/>
  <c r="B118" i="15"/>
  <c r="Z117" i="15"/>
  <c r="X117" i="15"/>
  <c r="L117" i="15"/>
  <c r="N117" i="15" s="1"/>
  <c r="B117" i="15"/>
  <c r="Z116" i="15"/>
  <c r="X116" i="15"/>
  <c r="N116" i="15"/>
  <c r="L116" i="15"/>
  <c r="B116" i="15"/>
  <c r="Z115" i="15"/>
  <c r="X115" i="15"/>
  <c r="L115" i="15"/>
  <c r="N115" i="15" s="1"/>
  <c r="B115" i="15"/>
  <c r="Z114" i="15"/>
  <c r="X114" i="15"/>
  <c r="N114" i="15"/>
  <c r="L114" i="15"/>
  <c r="B114" i="15"/>
  <c r="Z113" i="15"/>
  <c r="X113" i="15"/>
  <c r="L113" i="15"/>
  <c r="N113" i="15" s="1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L109" i="15"/>
  <c r="N109" i="15" s="1"/>
  <c r="B109" i="15"/>
  <c r="Z108" i="15"/>
  <c r="X108" i="15"/>
  <c r="N108" i="15"/>
  <c r="L108" i="15"/>
  <c r="B108" i="15"/>
  <c r="Z107" i="15"/>
  <c r="X107" i="15"/>
  <c r="L107" i="15"/>
  <c r="N107" i="15" s="1"/>
  <c r="B107" i="15"/>
  <c r="Z106" i="15"/>
  <c r="X106" i="15"/>
  <c r="N106" i="15"/>
  <c r="L106" i="15"/>
  <c r="B106" i="15"/>
  <c r="Z105" i="15"/>
  <c r="X105" i="15"/>
  <c r="L105" i="15"/>
  <c r="N105" i="15" s="1"/>
  <c r="B105" i="15"/>
  <c r="Z104" i="15"/>
  <c r="X104" i="15"/>
  <c r="N104" i="15"/>
  <c r="L104" i="15"/>
  <c r="B104" i="15"/>
  <c r="Z103" i="15"/>
  <c r="X103" i="15"/>
  <c r="L103" i="15"/>
  <c r="N103" i="15" s="1"/>
  <c r="B103" i="15"/>
  <c r="Z102" i="15"/>
  <c r="X102" i="15"/>
  <c r="N102" i="15"/>
  <c r="L102" i="15"/>
  <c r="B102" i="15"/>
  <c r="Z101" i="15"/>
  <c r="X101" i="15"/>
  <c r="L101" i="15"/>
  <c r="N101" i="15" s="1"/>
  <c r="B101" i="15"/>
  <c r="Z100" i="15"/>
  <c r="X100" i="15"/>
  <c r="N100" i="15"/>
  <c r="L100" i="15"/>
  <c r="B100" i="15"/>
  <c r="Z99" i="15"/>
  <c r="X99" i="15"/>
  <c r="L99" i="15"/>
  <c r="N99" i="15" s="1"/>
  <c r="B99" i="15"/>
  <c r="Z98" i="15"/>
  <c r="X98" i="15"/>
  <c r="N98" i="15"/>
  <c r="L98" i="15"/>
  <c r="B98" i="15"/>
  <c r="Z97" i="15"/>
  <c r="X97" i="15"/>
  <c r="L97" i="15"/>
  <c r="N97" i="15" s="1"/>
  <c r="B97" i="15"/>
  <c r="Z96" i="15"/>
  <c r="X96" i="15"/>
  <c r="L96" i="15"/>
  <c r="N96" i="15" s="1"/>
  <c r="B96" i="15"/>
  <c r="Z95" i="15"/>
  <c r="X95" i="15"/>
  <c r="L95" i="15"/>
  <c r="N95" i="15" s="1"/>
  <c r="B95" i="15"/>
  <c r="Z94" i="15"/>
  <c r="X94" i="15"/>
  <c r="N94" i="15"/>
  <c r="L94" i="15"/>
  <c r="B94" i="15"/>
  <c r="Z93" i="15"/>
  <c r="X93" i="15"/>
  <c r="L93" i="15"/>
  <c r="N93" i="15" s="1"/>
  <c r="B93" i="15"/>
  <c r="Z92" i="15"/>
  <c r="X92" i="15"/>
  <c r="L92" i="15"/>
  <c r="N92" i="15" s="1"/>
  <c r="B92" i="15"/>
  <c r="Z91" i="15"/>
  <c r="X91" i="15"/>
  <c r="L91" i="15"/>
  <c r="N91" i="15" s="1"/>
  <c r="B91" i="15"/>
  <c r="Z90" i="15"/>
  <c r="X90" i="15"/>
  <c r="N90" i="15"/>
  <c r="L90" i="15"/>
  <c r="B90" i="15"/>
  <c r="Z89" i="15"/>
  <c r="X89" i="15"/>
  <c r="L89" i="15"/>
  <c r="N89" i="15" s="1"/>
  <c r="B89" i="15"/>
  <c r="T88" i="15"/>
  <c r="X88" i="15" s="1"/>
  <c r="Z88" i="15" s="1"/>
  <c r="P88" i="15"/>
  <c r="N88" i="15"/>
  <c r="H88" i="15"/>
  <c r="D88" i="15"/>
  <c r="L88" i="15" s="1"/>
  <c r="Z86" i="15"/>
  <c r="T86" i="15"/>
  <c r="P86" i="15"/>
  <c r="X86" i="15" s="1"/>
  <c r="H86" i="15"/>
  <c r="D86" i="15"/>
  <c r="B86" i="15"/>
  <c r="Z85" i="15"/>
  <c r="T85" i="15"/>
  <c r="P85" i="15"/>
  <c r="X85" i="15" s="1"/>
  <c r="L85" i="15"/>
  <c r="H85" i="15"/>
  <c r="N85" i="15" s="1"/>
  <c r="D85" i="15"/>
  <c r="B85" i="15"/>
  <c r="T84" i="15"/>
  <c r="P84" i="15"/>
  <c r="X84" i="15" s="1"/>
  <c r="Z84" i="15" s="1"/>
  <c r="H84" i="15"/>
  <c r="D84" i="15"/>
  <c r="L84" i="15" s="1"/>
  <c r="B84" i="15"/>
  <c r="T83" i="15"/>
  <c r="P83" i="15"/>
  <c r="X83" i="15" s="1"/>
  <c r="Z83" i="15" s="1"/>
  <c r="L83" i="15"/>
  <c r="H83" i="15"/>
  <c r="N83" i="15" s="1"/>
  <c r="D83" i="15"/>
  <c r="B83" i="15"/>
  <c r="Z82" i="15"/>
  <c r="T82" i="15"/>
  <c r="P82" i="15"/>
  <c r="X82" i="15" s="1"/>
  <c r="H82" i="15"/>
  <c r="D82" i="15"/>
  <c r="B82" i="15"/>
  <c r="Z81" i="15"/>
  <c r="T81" i="15"/>
  <c r="P81" i="15"/>
  <c r="X81" i="15" s="1"/>
  <c r="L81" i="15"/>
  <c r="H81" i="15"/>
  <c r="N81" i="15" s="1"/>
  <c r="D81" i="15"/>
  <c r="B81" i="15"/>
  <c r="T80" i="15"/>
  <c r="P80" i="15"/>
  <c r="X80" i="15" s="1"/>
  <c r="Z80" i="15" s="1"/>
  <c r="H80" i="15"/>
  <c r="N80" i="15" s="1"/>
  <c r="D80" i="15"/>
  <c r="L80" i="15" s="1"/>
  <c r="B80" i="15"/>
  <c r="T79" i="15"/>
  <c r="P79" i="15"/>
  <c r="X79" i="15" s="1"/>
  <c r="Z79" i="15" s="1"/>
  <c r="L79" i="15"/>
  <c r="H79" i="15"/>
  <c r="N79" i="15" s="1"/>
  <c r="D79" i="15"/>
  <c r="B79" i="15"/>
  <c r="Z78" i="15"/>
  <c r="T78" i="15"/>
  <c r="P78" i="15"/>
  <c r="X78" i="15" s="1"/>
  <c r="H78" i="15"/>
  <c r="D78" i="15"/>
  <c r="B78" i="15"/>
  <c r="T77" i="15"/>
  <c r="P77" i="15"/>
  <c r="X77" i="15" s="1"/>
  <c r="Z77" i="15" s="1"/>
  <c r="L77" i="15"/>
  <c r="H77" i="15"/>
  <c r="N77" i="15" s="1"/>
  <c r="D77" i="15"/>
  <c r="B77" i="15"/>
  <c r="T76" i="15"/>
  <c r="P76" i="15"/>
  <c r="X76" i="15" s="1"/>
  <c r="Z76" i="15" s="1"/>
  <c r="H76" i="15"/>
  <c r="N76" i="15" s="1"/>
  <c r="D76" i="15"/>
  <c r="L76" i="15" s="1"/>
  <c r="B76" i="15"/>
  <c r="T75" i="15"/>
  <c r="P75" i="15"/>
  <c r="X75" i="15" s="1"/>
  <c r="Z75" i="15" s="1"/>
  <c r="L75" i="15"/>
  <c r="H75" i="15"/>
  <c r="N75" i="15" s="1"/>
  <c r="D75" i="15"/>
  <c r="B75" i="15"/>
  <c r="T74" i="15"/>
  <c r="P74" i="15"/>
  <c r="X74" i="15" s="1"/>
  <c r="Z74" i="15" s="1"/>
  <c r="H74" i="15"/>
  <c r="D74" i="15"/>
  <c r="B74" i="15"/>
  <c r="T73" i="15"/>
  <c r="P73" i="15"/>
  <c r="X73" i="15" s="1"/>
  <c r="Z73" i="15" s="1"/>
  <c r="L73" i="15"/>
  <c r="H73" i="15"/>
  <c r="N73" i="15" s="1"/>
  <c r="D73" i="15"/>
  <c r="B73" i="15"/>
  <c r="T72" i="15"/>
  <c r="P72" i="15"/>
  <c r="X72" i="15" s="1"/>
  <c r="Z72" i="15" s="1"/>
  <c r="H72" i="15"/>
  <c r="D72" i="15"/>
  <c r="L72" i="15" s="1"/>
  <c r="B72" i="15"/>
  <c r="T71" i="15"/>
  <c r="P71" i="15"/>
  <c r="X71" i="15" s="1"/>
  <c r="Z71" i="15" s="1"/>
  <c r="L71" i="15"/>
  <c r="H71" i="15"/>
  <c r="N71" i="15" s="1"/>
  <c r="D71" i="15"/>
  <c r="B71" i="15"/>
  <c r="T70" i="15"/>
  <c r="P70" i="15"/>
  <c r="X70" i="15" s="1"/>
  <c r="Z70" i="15" s="1"/>
  <c r="H70" i="15"/>
  <c r="D70" i="15"/>
  <c r="B70" i="15"/>
  <c r="T69" i="15"/>
  <c r="P69" i="15"/>
  <c r="X69" i="15" s="1"/>
  <c r="Z69" i="15" s="1"/>
  <c r="L69" i="15"/>
  <c r="H69" i="15"/>
  <c r="N69" i="15" s="1"/>
  <c r="D69" i="15"/>
  <c r="B69" i="15"/>
  <c r="T68" i="15"/>
  <c r="P68" i="15"/>
  <c r="X68" i="15" s="1"/>
  <c r="Z68" i="15" s="1"/>
  <c r="H68" i="15"/>
  <c r="N68" i="15" s="1"/>
  <c r="D68" i="15"/>
  <c r="L68" i="15" s="1"/>
  <c r="B68" i="15"/>
  <c r="T67" i="15"/>
  <c r="P67" i="15"/>
  <c r="X67" i="15" s="1"/>
  <c r="Z67" i="15" s="1"/>
  <c r="L67" i="15"/>
  <c r="H67" i="15"/>
  <c r="N67" i="15" s="1"/>
  <c r="D67" i="15"/>
  <c r="B67" i="15"/>
  <c r="T66" i="15"/>
  <c r="P66" i="15"/>
  <c r="X66" i="15" s="1"/>
  <c r="Z66" i="15" s="1"/>
  <c r="H66" i="15"/>
  <c r="D66" i="15"/>
  <c r="B66" i="15"/>
  <c r="Z65" i="15"/>
  <c r="T65" i="15"/>
  <c r="P65" i="15"/>
  <c r="X65" i="15" s="1"/>
  <c r="L65" i="15"/>
  <c r="H65" i="15"/>
  <c r="N65" i="15" s="1"/>
  <c r="D65" i="15"/>
  <c r="B65" i="15"/>
  <c r="T64" i="15"/>
  <c r="P64" i="15"/>
  <c r="X64" i="15" s="1"/>
  <c r="Z64" i="15" s="1"/>
  <c r="H64" i="15"/>
  <c r="N64" i="15" s="1"/>
  <c r="D64" i="15"/>
  <c r="L64" i="15" s="1"/>
  <c r="B64" i="15"/>
  <c r="T63" i="15"/>
  <c r="P63" i="15"/>
  <c r="X63" i="15" s="1"/>
  <c r="Z63" i="15" s="1"/>
  <c r="L63" i="15"/>
  <c r="H63" i="15"/>
  <c r="N63" i="15" s="1"/>
  <c r="D63" i="15"/>
  <c r="B63" i="15"/>
  <c r="T62" i="15"/>
  <c r="P62" i="15"/>
  <c r="X62" i="15" s="1"/>
  <c r="Z62" i="15" s="1"/>
  <c r="H62" i="15"/>
  <c r="D62" i="15"/>
  <c r="B62" i="15"/>
  <c r="T61" i="15"/>
  <c r="P61" i="15"/>
  <c r="X61" i="15" s="1"/>
  <c r="Z61" i="15" s="1"/>
  <c r="L61" i="15"/>
  <c r="H61" i="15"/>
  <c r="N61" i="15" s="1"/>
  <c r="D61" i="15"/>
  <c r="B61" i="15"/>
  <c r="T60" i="15"/>
  <c r="P60" i="15"/>
  <c r="X60" i="15" s="1"/>
  <c r="Z60" i="15" s="1"/>
  <c r="H60" i="15"/>
  <c r="D60" i="15"/>
  <c r="L60" i="15" s="1"/>
  <c r="B60" i="15"/>
  <c r="T59" i="15"/>
  <c r="P59" i="15"/>
  <c r="X59" i="15" s="1"/>
  <c r="Z59" i="15" s="1"/>
  <c r="L59" i="15"/>
  <c r="H59" i="15"/>
  <c r="N59" i="15" s="1"/>
  <c r="D59" i="15"/>
  <c r="B59" i="15"/>
  <c r="Z58" i="15"/>
  <c r="T58" i="15"/>
  <c r="P58" i="15"/>
  <c r="X58" i="15" s="1"/>
  <c r="H58" i="15"/>
  <c r="D58" i="15"/>
  <c r="B58" i="15"/>
  <c r="T57" i="15"/>
  <c r="P57" i="15"/>
  <c r="X57" i="15" s="1"/>
  <c r="Z57" i="15" s="1"/>
  <c r="L57" i="15"/>
  <c r="H57" i="15"/>
  <c r="N57" i="15" s="1"/>
  <c r="D57" i="15"/>
  <c r="B57" i="15"/>
  <c r="T56" i="15"/>
  <c r="P56" i="15"/>
  <c r="X56" i="15" s="1"/>
  <c r="Z56" i="15" s="1"/>
  <c r="H56" i="15"/>
  <c r="D56" i="15"/>
  <c r="L56" i="15" s="1"/>
  <c r="B56" i="15"/>
  <c r="T55" i="15"/>
  <c r="P55" i="15"/>
  <c r="X55" i="15" s="1"/>
  <c r="Z55" i="15" s="1"/>
  <c r="L55" i="15"/>
  <c r="H55" i="15"/>
  <c r="N55" i="15" s="1"/>
  <c r="D55" i="15"/>
  <c r="B55" i="15"/>
  <c r="T54" i="15"/>
  <c r="P54" i="15"/>
  <c r="X54" i="15" s="1"/>
  <c r="Z54" i="15" s="1"/>
  <c r="H54" i="15"/>
  <c r="D54" i="15"/>
  <c r="B54" i="15"/>
  <c r="T53" i="15"/>
  <c r="P53" i="15"/>
  <c r="X53" i="15" s="1"/>
  <c r="Z53" i="15" s="1"/>
  <c r="L53" i="15"/>
  <c r="H53" i="15"/>
  <c r="N53" i="15" s="1"/>
  <c r="D53" i="15"/>
  <c r="B53" i="15"/>
  <c r="Z52" i="15"/>
  <c r="T52" i="15"/>
  <c r="P52" i="15"/>
  <c r="X52" i="15" s="1"/>
  <c r="H52" i="15"/>
  <c r="N52" i="15" s="1"/>
  <c r="D52" i="15"/>
  <c r="L52" i="15" s="1"/>
  <c r="B52" i="15"/>
  <c r="T51" i="15"/>
  <c r="P51" i="15"/>
  <c r="X51" i="15" s="1"/>
  <c r="Z51" i="15" s="1"/>
  <c r="L51" i="15"/>
  <c r="H51" i="15"/>
  <c r="N51" i="15" s="1"/>
  <c r="D51" i="15"/>
  <c r="B51" i="15"/>
  <c r="T50" i="15"/>
  <c r="P50" i="15"/>
  <c r="X50" i="15" s="1"/>
  <c r="Z50" i="15" s="1"/>
  <c r="H50" i="15"/>
  <c r="D50" i="15"/>
  <c r="B50" i="15"/>
  <c r="T49" i="15"/>
  <c r="P49" i="15"/>
  <c r="X49" i="15" s="1"/>
  <c r="Z49" i="15" s="1"/>
  <c r="L49" i="15"/>
  <c r="H49" i="15"/>
  <c r="N49" i="15" s="1"/>
  <c r="D49" i="15"/>
  <c r="B49" i="15"/>
  <c r="Z48" i="15"/>
  <c r="T48" i="15"/>
  <c r="P48" i="15"/>
  <c r="X48" i="15" s="1"/>
  <c r="H48" i="15"/>
  <c r="D48" i="15"/>
  <c r="L48" i="15" s="1"/>
  <c r="B48" i="15"/>
  <c r="T47" i="15"/>
  <c r="P47" i="15"/>
  <c r="X47" i="15" s="1"/>
  <c r="Z47" i="15" s="1"/>
  <c r="L47" i="15"/>
  <c r="H47" i="15"/>
  <c r="N47" i="15" s="1"/>
  <c r="D47" i="15"/>
  <c r="B47" i="15"/>
  <c r="T46" i="15"/>
  <c r="P46" i="15"/>
  <c r="X46" i="15" s="1"/>
  <c r="Z46" i="15" s="1"/>
  <c r="H46" i="15"/>
  <c r="D46" i="15"/>
  <c r="B46" i="15"/>
  <c r="T45" i="15"/>
  <c r="P45" i="15"/>
  <c r="X45" i="15" s="1"/>
  <c r="Z45" i="15" s="1"/>
  <c r="L45" i="15"/>
  <c r="H45" i="15"/>
  <c r="N45" i="15" s="1"/>
  <c r="D45" i="15"/>
  <c r="B45" i="15"/>
  <c r="Z44" i="15"/>
  <c r="T44" i="15"/>
  <c r="P44" i="15"/>
  <c r="X44" i="15" s="1"/>
  <c r="H44" i="15"/>
  <c r="N44" i="15" s="1"/>
  <c r="D44" i="15"/>
  <c r="L44" i="15" s="1"/>
  <c r="B44" i="15"/>
  <c r="T43" i="15"/>
  <c r="P43" i="15"/>
  <c r="X43" i="15" s="1"/>
  <c r="Z43" i="15" s="1"/>
  <c r="L43" i="15"/>
  <c r="H43" i="15"/>
  <c r="N43" i="15" s="1"/>
  <c r="D43" i="15"/>
  <c r="B43" i="15"/>
  <c r="T42" i="15"/>
  <c r="P42" i="15"/>
  <c r="X42" i="15" s="1"/>
  <c r="Z42" i="15" s="1"/>
  <c r="H42" i="15"/>
  <c r="D42" i="15"/>
  <c r="B42" i="15"/>
  <c r="T41" i="15"/>
  <c r="P41" i="15"/>
  <c r="X41" i="15" s="1"/>
  <c r="Z41" i="15" s="1"/>
  <c r="L41" i="15"/>
  <c r="H41" i="15"/>
  <c r="N41" i="15" s="1"/>
  <c r="D41" i="15"/>
  <c r="B41" i="15"/>
  <c r="T40" i="15"/>
  <c r="P40" i="15"/>
  <c r="X40" i="15" s="1"/>
  <c r="Z40" i="15" s="1"/>
  <c r="H40" i="15"/>
  <c r="N40" i="15" s="1"/>
  <c r="D40" i="15"/>
  <c r="L40" i="15" s="1"/>
  <c r="B40" i="15"/>
  <c r="T39" i="15"/>
  <c r="P39" i="15"/>
  <c r="X39" i="15" s="1"/>
  <c r="Z39" i="15" s="1"/>
  <c r="L39" i="15"/>
  <c r="H39" i="15"/>
  <c r="N39" i="15" s="1"/>
  <c r="D39" i="15"/>
  <c r="B39" i="15"/>
  <c r="T38" i="15"/>
  <c r="P38" i="15"/>
  <c r="X38" i="15" s="1"/>
  <c r="Z38" i="15" s="1"/>
  <c r="H38" i="15"/>
  <c r="D38" i="15"/>
  <c r="B38" i="15"/>
  <c r="T37" i="15"/>
  <c r="P37" i="15"/>
  <c r="X37" i="15" s="1"/>
  <c r="Z37" i="15" s="1"/>
  <c r="L37" i="15"/>
  <c r="H37" i="15"/>
  <c r="N37" i="15" s="1"/>
  <c r="D37" i="15"/>
  <c r="B37" i="15"/>
  <c r="T36" i="15"/>
  <c r="P36" i="15"/>
  <c r="X36" i="15" s="1"/>
  <c r="Z36" i="15" s="1"/>
  <c r="H36" i="15"/>
  <c r="D36" i="15"/>
  <c r="L36" i="15" s="1"/>
  <c r="B36" i="15"/>
  <c r="T35" i="15"/>
  <c r="P35" i="15"/>
  <c r="X35" i="15" s="1"/>
  <c r="Z35" i="15" s="1"/>
  <c r="L35" i="15"/>
  <c r="H35" i="15"/>
  <c r="N35" i="15" s="1"/>
  <c r="D35" i="15"/>
  <c r="B35" i="15"/>
  <c r="T34" i="15"/>
  <c r="P34" i="15"/>
  <c r="X34" i="15" s="1"/>
  <c r="Z34" i="15" s="1"/>
  <c r="H34" i="15"/>
  <c r="D34" i="15"/>
  <c r="B34" i="15"/>
  <c r="T33" i="15"/>
  <c r="P33" i="15"/>
  <c r="X33" i="15" s="1"/>
  <c r="Z33" i="15" s="1"/>
  <c r="L33" i="15"/>
  <c r="H33" i="15"/>
  <c r="N33" i="15" s="1"/>
  <c r="D33" i="15"/>
  <c r="B33" i="15"/>
  <c r="Z32" i="15"/>
  <c r="T32" i="15"/>
  <c r="P32" i="15"/>
  <c r="X32" i="15" s="1"/>
  <c r="H32" i="15"/>
  <c r="D32" i="15"/>
  <c r="B32" i="15"/>
  <c r="T31" i="15"/>
  <c r="P31" i="15"/>
  <c r="X31" i="15" s="1"/>
  <c r="Z31" i="15" s="1"/>
  <c r="L31" i="15"/>
  <c r="H31" i="15"/>
  <c r="N31" i="15" s="1"/>
  <c r="D31" i="15"/>
  <c r="B31" i="15"/>
  <c r="T30" i="15"/>
  <c r="P30" i="15"/>
  <c r="X30" i="15" s="1"/>
  <c r="Z30" i="15" s="1"/>
  <c r="H30" i="15"/>
  <c r="D30" i="15"/>
  <c r="B30" i="15"/>
  <c r="T29" i="15"/>
  <c r="P29" i="15"/>
  <c r="X29" i="15" s="1"/>
  <c r="Z29" i="15" s="1"/>
  <c r="L29" i="15"/>
  <c r="H29" i="15"/>
  <c r="N29" i="15" s="1"/>
  <c r="D29" i="15"/>
  <c r="B29" i="15"/>
  <c r="Z28" i="15"/>
  <c r="T28" i="15"/>
  <c r="P28" i="15"/>
  <c r="X28" i="15" s="1"/>
  <c r="H28" i="15"/>
  <c r="D28" i="15"/>
  <c r="B28" i="15"/>
  <c r="T27" i="15"/>
  <c r="P27" i="15"/>
  <c r="X27" i="15" s="1"/>
  <c r="Z27" i="15" s="1"/>
  <c r="L27" i="15"/>
  <c r="H27" i="15"/>
  <c r="N27" i="15" s="1"/>
  <c r="D27" i="15"/>
  <c r="B27" i="15"/>
  <c r="T26" i="15"/>
  <c r="P26" i="15"/>
  <c r="X26" i="15" s="1"/>
  <c r="Z26" i="15" s="1"/>
  <c r="H26" i="15"/>
  <c r="D26" i="15"/>
  <c r="B26" i="15"/>
  <c r="T25" i="15"/>
  <c r="P25" i="15"/>
  <c r="X25" i="15" s="1"/>
  <c r="Z25" i="15" s="1"/>
  <c r="L25" i="15"/>
  <c r="H25" i="15"/>
  <c r="N25" i="15" s="1"/>
  <c r="D25" i="15"/>
  <c r="B25" i="15"/>
  <c r="Z24" i="15"/>
  <c r="T24" i="15"/>
  <c r="P24" i="15"/>
  <c r="X24" i="15" s="1"/>
  <c r="H24" i="15"/>
  <c r="D24" i="15"/>
  <c r="B24" i="15"/>
  <c r="T23" i="15"/>
  <c r="P23" i="15"/>
  <c r="X23" i="15" s="1"/>
  <c r="Z23" i="15" s="1"/>
  <c r="L23" i="15"/>
  <c r="H23" i="15"/>
  <c r="N23" i="15" s="1"/>
  <c r="D23" i="15"/>
  <c r="B23" i="15"/>
  <c r="T22" i="15"/>
  <c r="P22" i="15"/>
  <c r="X22" i="15" s="1"/>
  <c r="Z22" i="15" s="1"/>
  <c r="H22" i="15"/>
  <c r="D22" i="15"/>
  <c r="B22" i="15"/>
  <c r="T21" i="15"/>
  <c r="P21" i="15"/>
  <c r="X21" i="15" s="1"/>
  <c r="Z21" i="15" s="1"/>
  <c r="L21" i="15"/>
  <c r="H21" i="15"/>
  <c r="N21" i="15" s="1"/>
  <c r="D21" i="15"/>
  <c r="B21" i="15"/>
  <c r="T20" i="15"/>
  <c r="P20" i="15"/>
  <c r="X20" i="15" s="1"/>
  <c r="Z20" i="15" s="1"/>
  <c r="H20" i="15"/>
  <c r="D20" i="15"/>
  <c r="B20" i="15"/>
  <c r="T19" i="15"/>
  <c r="P19" i="15"/>
  <c r="X19" i="15" s="1"/>
  <c r="Z19" i="15" s="1"/>
  <c r="L19" i="15"/>
  <c r="H19" i="15"/>
  <c r="N19" i="15" s="1"/>
  <c r="D19" i="15"/>
  <c r="B19" i="15"/>
  <c r="T18" i="15"/>
  <c r="P18" i="15"/>
  <c r="X18" i="15" s="1"/>
  <c r="Z18" i="15" s="1"/>
  <c r="H18" i="15"/>
  <c r="D18" i="15"/>
  <c r="B18" i="15"/>
  <c r="T17" i="15"/>
  <c r="P17" i="15"/>
  <c r="X17" i="15" s="1"/>
  <c r="Z17" i="15" s="1"/>
  <c r="L17" i="15"/>
  <c r="H17" i="15"/>
  <c r="N17" i="15" s="1"/>
  <c r="D17" i="15"/>
  <c r="B17" i="15"/>
  <c r="T16" i="15"/>
  <c r="P16" i="15"/>
  <c r="X16" i="15" s="1"/>
  <c r="Z16" i="15" s="1"/>
  <c r="H16" i="15"/>
  <c r="D16" i="15"/>
  <c r="B16" i="15"/>
  <c r="T15" i="15"/>
  <c r="P15" i="15"/>
  <c r="X15" i="15" s="1"/>
  <c r="Z15" i="15" s="1"/>
  <c r="L15" i="15"/>
  <c r="H15" i="15"/>
  <c r="N15" i="15" s="1"/>
  <c r="D15" i="15"/>
  <c r="D12" i="15" s="1"/>
  <c r="F212" i="15" s="1"/>
  <c r="B15" i="15"/>
  <c r="T14" i="15"/>
  <c r="P14" i="15"/>
  <c r="X14" i="15" s="1"/>
  <c r="Z14" i="15" s="1"/>
  <c r="H14" i="15"/>
  <c r="D14" i="15"/>
  <c r="B14" i="15"/>
  <c r="Z13" i="15"/>
  <c r="T13" i="15"/>
  <c r="P13" i="15"/>
  <c r="L13" i="15"/>
  <c r="H13" i="15"/>
  <c r="N13" i="15" s="1"/>
  <c r="D13" i="15"/>
  <c r="B13" i="15"/>
  <c r="T12" i="15"/>
  <c r="D4" i="15"/>
  <c r="X233" i="12"/>
  <c r="Z233" i="12" s="1"/>
  <c r="N233" i="12"/>
  <c r="L233" i="12"/>
  <c r="Z229" i="12"/>
  <c r="T229" i="12"/>
  <c r="P229" i="12"/>
  <c r="H229" i="12"/>
  <c r="N229" i="12" s="1"/>
  <c r="D229" i="12"/>
  <c r="L229" i="12" s="1"/>
  <c r="B229" i="12"/>
  <c r="Z228" i="12"/>
  <c r="X228" i="12"/>
  <c r="T228" i="12"/>
  <c r="P228" i="12"/>
  <c r="N228" i="12"/>
  <c r="L228" i="12"/>
  <c r="H228" i="12"/>
  <c r="D228" i="12"/>
  <c r="B228" i="12"/>
  <c r="T227" i="12"/>
  <c r="P227" i="12"/>
  <c r="H227" i="12"/>
  <c r="D227" i="12"/>
  <c r="L227" i="12" s="1"/>
  <c r="B227" i="12"/>
  <c r="T226" i="12"/>
  <c r="P226" i="12"/>
  <c r="X226" i="12" s="1"/>
  <c r="Z226" i="12" s="1"/>
  <c r="H226" i="12"/>
  <c r="D226" i="12"/>
  <c r="L226" i="12" s="1"/>
  <c r="N226" i="12" s="1"/>
  <c r="B226" i="12"/>
  <c r="X225" i="12"/>
  <c r="T225" i="12"/>
  <c r="Z225" i="12" s="1"/>
  <c r="P225" i="12"/>
  <c r="L225" i="12"/>
  <c r="H225" i="12"/>
  <c r="N225" i="12" s="1"/>
  <c r="D225" i="12"/>
  <c r="B225" i="12"/>
  <c r="Z224" i="12"/>
  <c r="T224" i="12"/>
  <c r="P224" i="12"/>
  <c r="X224" i="12" s="1"/>
  <c r="H224" i="12"/>
  <c r="H223" i="12" s="1"/>
  <c r="D224" i="12"/>
  <c r="L224" i="12" s="1"/>
  <c r="N224" i="12" s="1"/>
  <c r="B224" i="12"/>
  <c r="D223" i="12"/>
  <c r="L223" i="12" s="1"/>
  <c r="X221" i="12"/>
  <c r="Z221" i="12" s="1"/>
  <c r="L221" i="12"/>
  <c r="N221" i="12" s="1"/>
  <c r="B221" i="12"/>
  <c r="T220" i="12"/>
  <c r="P220" i="12"/>
  <c r="X220" i="12" s="1"/>
  <c r="Z220" i="12" s="1"/>
  <c r="H220" i="12"/>
  <c r="D220" i="12"/>
  <c r="L220" i="12" s="1"/>
  <c r="N220" i="12" s="1"/>
  <c r="B220" i="12"/>
  <c r="X219" i="12"/>
  <c r="Z219" i="12" s="1"/>
  <c r="N219" i="12"/>
  <c r="L219" i="12"/>
  <c r="B219" i="12"/>
  <c r="Z218" i="12"/>
  <c r="X218" i="12"/>
  <c r="N218" i="12"/>
  <c r="L218" i="12"/>
  <c r="B218" i="12"/>
  <c r="X217" i="12"/>
  <c r="Z217" i="12" s="1"/>
  <c r="N217" i="12"/>
  <c r="L217" i="12"/>
  <c r="F217" i="12"/>
  <c r="B217" i="12"/>
  <c r="Z216" i="12"/>
  <c r="X216" i="12"/>
  <c r="T216" i="12"/>
  <c r="P216" i="12"/>
  <c r="N216" i="12"/>
  <c r="L216" i="12"/>
  <c r="H216" i="12"/>
  <c r="D216" i="12"/>
  <c r="B216" i="12"/>
  <c r="Z215" i="12"/>
  <c r="X215" i="12"/>
  <c r="L215" i="12"/>
  <c r="N215" i="12" s="1"/>
  <c r="B215" i="12"/>
  <c r="T214" i="12"/>
  <c r="P214" i="12"/>
  <c r="X214" i="12" s="1"/>
  <c r="Z214" i="12" s="1"/>
  <c r="N214" i="12"/>
  <c r="H214" i="12"/>
  <c r="D214" i="12"/>
  <c r="L214" i="12" s="1"/>
  <c r="B214" i="12"/>
  <c r="X213" i="12"/>
  <c r="Z213" i="12" s="1"/>
  <c r="L213" i="12"/>
  <c r="N213" i="12" s="1"/>
  <c r="B213" i="12"/>
  <c r="X212" i="12"/>
  <c r="Z212" i="12" s="1"/>
  <c r="N212" i="12"/>
  <c r="L212" i="12"/>
  <c r="B212" i="12"/>
  <c r="T211" i="12"/>
  <c r="P211" i="12"/>
  <c r="X211" i="12" s="1"/>
  <c r="Z211" i="12" s="1"/>
  <c r="H211" i="12"/>
  <c r="D211" i="12"/>
  <c r="L211" i="12" s="1"/>
  <c r="B211" i="12"/>
  <c r="Z210" i="12"/>
  <c r="X210" i="12"/>
  <c r="N210" i="12"/>
  <c r="L210" i="12"/>
  <c r="B210" i="12"/>
  <c r="Z209" i="12"/>
  <c r="X209" i="12"/>
  <c r="N209" i="12"/>
  <c r="L209" i="12"/>
  <c r="B209" i="12"/>
  <c r="Z208" i="12"/>
  <c r="X208" i="12"/>
  <c r="N208" i="12"/>
  <c r="L208" i="12"/>
  <c r="B208" i="12"/>
  <c r="X207" i="12"/>
  <c r="Z207" i="12" s="1"/>
  <c r="N207" i="12"/>
  <c r="L207" i="12"/>
  <c r="B207" i="12"/>
  <c r="Z206" i="12"/>
  <c r="X206" i="12"/>
  <c r="N206" i="12"/>
  <c r="L206" i="12"/>
  <c r="B206" i="12"/>
  <c r="Z205" i="12"/>
  <c r="X205" i="12"/>
  <c r="N205" i="12"/>
  <c r="L205" i="12"/>
  <c r="B205" i="12"/>
  <c r="Z204" i="12"/>
  <c r="X204" i="12"/>
  <c r="N204" i="12"/>
  <c r="L204" i="12"/>
  <c r="B204" i="12"/>
  <c r="X203" i="12"/>
  <c r="T203" i="12"/>
  <c r="P203" i="12"/>
  <c r="L203" i="12"/>
  <c r="H203" i="12"/>
  <c r="N203" i="12" s="1"/>
  <c r="D203" i="12"/>
  <c r="B203" i="12"/>
  <c r="Z202" i="12"/>
  <c r="X202" i="12"/>
  <c r="N202" i="12"/>
  <c r="L202" i="12"/>
  <c r="B202" i="12"/>
  <c r="Z201" i="12"/>
  <c r="X201" i="12"/>
  <c r="L201" i="12"/>
  <c r="N201" i="12" s="1"/>
  <c r="B201" i="12"/>
  <c r="Z200" i="12"/>
  <c r="T200" i="12"/>
  <c r="X200" i="12" s="1"/>
  <c r="P200" i="12"/>
  <c r="N200" i="12"/>
  <c r="H200" i="12"/>
  <c r="D200" i="12"/>
  <c r="L200" i="12" s="1"/>
  <c r="B200" i="12"/>
  <c r="X199" i="12"/>
  <c r="Z199" i="12" s="1"/>
  <c r="L199" i="12"/>
  <c r="N199" i="12" s="1"/>
  <c r="B199" i="12"/>
  <c r="Z198" i="12"/>
  <c r="X198" i="12"/>
  <c r="N198" i="12"/>
  <c r="L198" i="12"/>
  <c r="B198" i="12"/>
  <c r="X197" i="12"/>
  <c r="Z197" i="12" s="1"/>
  <c r="L197" i="12"/>
  <c r="N197" i="12" s="1"/>
  <c r="B197" i="12"/>
  <c r="X196" i="12"/>
  <c r="Z196" i="12" s="1"/>
  <c r="N196" i="12"/>
  <c r="L196" i="12"/>
  <c r="B196" i="12"/>
  <c r="X195" i="12"/>
  <c r="Z195" i="12" s="1"/>
  <c r="L195" i="12"/>
  <c r="N195" i="12" s="1"/>
  <c r="B195" i="12"/>
  <c r="T194" i="12"/>
  <c r="P194" i="12"/>
  <c r="X194" i="12" s="1"/>
  <c r="Z194" i="12" s="1"/>
  <c r="H194" i="12"/>
  <c r="D194" i="12"/>
  <c r="L194" i="12" s="1"/>
  <c r="N194" i="12" s="1"/>
  <c r="B194" i="12"/>
  <c r="X193" i="12"/>
  <c r="Z193" i="12" s="1"/>
  <c r="N193" i="12"/>
  <c r="L193" i="12"/>
  <c r="B193" i="12"/>
  <c r="Z192" i="12"/>
  <c r="X192" i="12"/>
  <c r="N192" i="12"/>
  <c r="L192" i="12"/>
  <c r="B192" i="12"/>
  <c r="X191" i="12"/>
  <c r="Z191" i="12" s="1"/>
  <c r="N191" i="12"/>
  <c r="L191" i="12"/>
  <c r="B191" i="12"/>
  <c r="Z190" i="12"/>
  <c r="X190" i="12"/>
  <c r="T190" i="12"/>
  <c r="P190" i="12"/>
  <c r="N190" i="12"/>
  <c r="L190" i="12"/>
  <c r="H190" i="12"/>
  <c r="D190" i="12"/>
  <c r="B190" i="12"/>
  <c r="Z189" i="12"/>
  <c r="X189" i="12"/>
  <c r="L189" i="12"/>
  <c r="N189" i="12" s="1"/>
  <c r="B189" i="12"/>
  <c r="Z188" i="12"/>
  <c r="X188" i="12"/>
  <c r="L188" i="12"/>
  <c r="N188" i="12" s="1"/>
  <c r="B188" i="12"/>
  <c r="Z187" i="12"/>
  <c r="X187" i="12"/>
  <c r="L187" i="12"/>
  <c r="N187" i="12" s="1"/>
  <c r="B187" i="12"/>
  <c r="Z186" i="12"/>
  <c r="T186" i="12"/>
  <c r="P186" i="12"/>
  <c r="X186" i="12" s="1"/>
  <c r="N186" i="12"/>
  <c r="H186" i="12"/>
  <c r="L186" i="12" s="1"/>
  <c r="D186" i="12"/>
  <c r="B186" i="12"/>
  <c r="X185" i="12"/>
  <c r="Z185" i="12" s="1"/>
  <c r="L185" i="12"/>
  <c r="N185" i="12" s="1"/>
  <c r="B185" i="12"/>
  <c r="T184" i="12"/>
  <c r="P184" i="12"/>
  <c r="X184" i="12" s="1"/>
  <c r="H184" i="12"/>
  <c r="N184" i="12" s="1"/>
  <c r="D184" i="12"/>
  <c r="L184" i="12" s="1"/>
  <c r="B184" i="12"/>
  <c r="X183" i="12"/>
  <c r="Z183" i="12" s="1"/>
  <c r="N183" i="12"/>
  <c r="L183" i="12"/>
  <c r="B183" i="12"/>
  <c r="Z182" i="12"/>
  <c r="X182" i="12"/>
  <c r="T182" i="12"/>
  <c r="P182" i="12"/>
  <c r="N182" i="12"/>
  <c r="L182" i="12"/>
  <c r="H182" i="12"/>
  <c r="D182" i="12"/>
  <c r="B182" i="12"/>
  <c r="Z181" i="12"/>
  <c r="X181" i="12"/>
  <c r="L181" i="12"/>
  <c r="N181" i="12" s="1"/>
  <c r="B181" i="12"/>
  <c r="Z180" i="12"/>
  <c r="T180" i="12"/>
  <c r="X180" i="12" s="1"/>
  <c r="P180" i="12"/>
  <c r="H180" i="12"/>
  <c r="D180" i="12"/>
  <c r="L180" i="12" s="1"/>
  <c r="N180" i="12" s="1"/>
  <c r="B180" i="12"/>
  <c r="X179" i="12"/>
  <c r="Z179" i="12" s="1"/>
  <c r="L179" i="12"/>
  <c r="N179" i="12" s="1"/>
  <c r="B179" i="12"/>
  <c r="T178" i="12"/>
  <c r="P178" i="12"/>
  <c r="X178" i="12" s="1"/>
  <c r="H178" i="12"/>
  <c r="D178" i="12"/>
  <c r="L178" i="12" s="1"/>
  <c r="B178" i="12"/>
  <c r="X177" i="12"/>
  <c r="Z177" i="12" s="1"/>
  <c r="N177" i="12"/>
  <c r="L177" i="12"/>
  <c r="B177" i="12"/>
  <c r="Z176" i="12"/>
  <c r="X176" i="12"/>
  <c r="T176" i="12"/>
  <c r="P176" i="12"/>
  <c r="N176" i="12"/>
  <c r="L176" i="12"/>
  <c r="H176" i="12"/>
  <c r="D176" i="12"/>
  <c r="B176" i="12"/>
  <c r="Z175" i="12"/>
  <c r="X175" i="12"/>
  <c r="L175" i="12"/>
  <c r="N175" i="12" s="1"/>
  <c r="B175" i="12"/>
  <c r="T174" i="12"/>
  <c r="P174" i="12"/>
  <c r="X174" i="12" s="1"/>
  <c r="Z174" i="12" s="1"/>
  <c r="N174" i="12"/>
  <c r="H174" i="12"/>
  <c r="L174" i="12" s="1"/>
  <c r="D174" i="12"/>
  <c r="B174" i="12"/>
  <c r="X173" i="12"/>
  <c r="Z173" i="12" s="1"/>
  <c r="L173" i="12"/>
  <c r="N173" i="12" s="1"/>
  <c r="B173" i="12"/>
  <c r="X172" i="12"/>
  <c r="Z172" i="12" s="1"/>
  <c r="N172" i="12"/>
  <c r="L172" i="12"/>
  <c r="B172" i="12"/>
  <c r="T171" i="12"/>
  <c r="P171" i="12"/>
  <c r="X171" i="12" s="1"/>
  <c r="Z171" i="12" s="1"/>
  <c r="H171" i="12"/>
  <c r="N171" i="12" s="1"/>
  <c r="D171" i="12"/>
  <c r="L171" i="12" s="1"/>
  <c r="B171" i="12"/>
  <c r="Z170" i="12"/>
  <c r="X170" i="12"/>
  <c r="N170" i="12"/>
  <c r="L170" i="12"/>
  <c r="B170" i="12"/>
  <c r="X169" i="12"/>
  <c r="T169" i="12"/>
  <c r="P169" i="12"/>
  <c r="L169" i="12"/>
  <c r="H169" i="12"/>
  <c r="D169" i="12"/>
  <c r="B169" i="12"/>
  <c r="Z168" i="12"/>
  <c r="X168" i="12"/>
  <c r="L168" i="12"/>
  <c r="N168" i="12" s="1"/>
  <c r="B168" i="12"/>
  <c r="T167" i="12"/>
  <c r="P167" i="12"/>
  <c r="H167" i="12"/>
  <c r="D167" i="12"/>
  <c r="B167" i="12"/>
  <c r="Z166" i="12"/>
  <c r="X166" i="12"/>
  <c r="N166" i="12"/>
  <c r="L166" i="12"/>
  <c r="B166" i="12"/>
  <c r="T165" i="12"/>
  <c r="P165" i="12"/>
  <c r="X165" i="12" s="1"/>
  <c r="H165" i="12"/>
  <c r="D165" i="12"/>
  <c r="L165" i="12" s="1"/>
  <c r="N165" i="12" s="1"/>
  <c r="B165" i="12"/>
  <c r="Z164" i="12"/>
  <c r="X164" i="12"/>
  <c r="N164" i="12"/>
  <c r="L164" i="12"/>
  <c r="B164" i="12"/>
  <c r="X163" i="12"/>
  <c r="Z163" i="12" s="1"/>
  <c r="N163" i="12"/>
  <c r="L163" i="12"/>
  <c r="F163" i="12"/>
  <c r="B163" i="12"/>
  <c r="Z162" i="12"/>
  <c r="X162" i="12"/>
  <c r="T162" i="12"/>
  <c r="P162" i="12"/>
  <c r="N162" i="12"/>
  <c r="L162" i="12"/>
  <c r="H162" i="12"/>
  <c r="D162" i="12"/>
  <c r="B162" i="12"/>
  <c r="Z161" i="12"/>
  <c r="X161" i="12"/>
  <c r="L161" i="12"/>
  <c r="N161" i="12" s="1"/>
  <c r="B161" i="12"/>
  <c r="Z160" i="12"/>
  <c r="X160" i="12"/>
  <c r="L160" i="12"/>
  <c r="N160" i="12" s="1"/>
  <c r="B160" i="12"/>
  <c r="T159" i="12"/>
  <c r="P159" i="12"/>
  <c r="H159" i="12"/>
  <c r="D159" i="12"/>
  <c r="B159" i="12"/>
  <c r="Z158" i="12"/>
  <c r="X158" i="12"/>
  <c r="N158" i="12"/>
  <c r="L158" i="12"/>
  <c r="B158" i="12"/>
  <c r="T157" i="12"/>
  <c r="P157" i="12"/>
  <c r="X157" i="12" s="1"/>
  <c r="L157" i="12"/>
  <c r="N157" i="12" s="1"/>
  <c r="H157" i="12"/>
  <c r="D157" i="12"/>
  <c r="B157" i="12"/>
  <c r="Z156" i="12"/>
  <c r="X156" i="12"/>
  <c r="N156" i="12"/>
  <c r="L156" i="12"/>
  <c r="B156" i="12"/>
  <c r="X155" i="12"/>
  <c r="T155" i="12"/>
  <c r="Z155" i="12" s="1"/>
  <c r="P155" i="12"/>
  <c r="L155" i="12"/>
  <c r="H155" i="12"/>
  <c r="D155" i="12"/>
  <c r="B155" i="12"/>
  <c r="Z154" i="12"/>
  <c r="X154" i="12"/>
  <c r="N154" i="12"/>
  <c r="L154" i="12"/>
  <c r="B154" i="12"/>
  <c r="T153" i="12"/>
  <c r="P153" i="12"/>
  <c r="H153" i="12"/>
  <c r="D153" i="12"/>
  <c r="B153" i="12"/>
  <c r="X152" i="12"/>
  <c r="Z152" i="12" s="1"/>
  <c r="N152" i="12"/>
  <c r="L152" i="12"/>
  <c r="B152" i="12"/>
  <c r="X151" i="12"/>
  <c r="Z151" i="12" s="1"/>
  <c r="L151" i="12"/>
  <c r="N151" i="12" s="1"/>
  <c r="B151" i="12"/>
  <c r="Z150" i="12"/>
  <c r="X150" i="12"/>
  <c r="N150" i="12"/>
  <c r="L150" i="12"/>
  <c r="B150" i="12"/>
  <c r="X149" i="12"/>
  <c r="Z149" i="12" s="1"/>
  <c r="L149" i="12"/>
  <c r="N149" i="12" s="1"/>
  <c r="B149" i="12"/>
  <c r="X148" i="12"/>
  <c r="Z148" i="12" s="1"/>
  <c r="N148" i="12"/>
  <c r="L148" i="12"/>
  <c r="B148" i="12"/>
  <c r="X147" i="12"/>
  <c r="Z147" i="12" s="1"/>
  <c r="L147" i="12"/>
  <c r="N147" i="12" s="1"/>
  <c r="B147" i="12"/>
  <c r="Z146" i="12"/>
  <c r="X146" i="12"/>
  <c r="N146" i="12"/>
  <c r="L146" i="12"/>
  <c r="B146" i="12"/>
  <c r="X145" i="12"/>
  <c r="T145" i="12"/>
  <c r="P145" i="12"/>
  <c r="L145" i="12"/>
  <c r="N145" i="12" s="1"/>
  <c r="H145" i="12"/>
  <c r="D145" i="12"/>
  <c r="B145" i="12"/>
  <c r="Z144" i="12"/>
  <c r="X144" i="12"/>
  <c r="N144" i="12"/>
  <c r="L144" i="12"/>
  <c r="B144" i="12"/>
  <c r="X143" i="12"/>
  <c r="Z143" i="12" s="1"/>
  <c r="N143" i="12"/>
  <c r="L143" i="12"/>
  <c r="B143" i="12"/>
  <c r="Z142" i="12"/>
  <c r="X142" i="12"/>
  <c r="N142" i="12"/>
  <c r="L142" i="12"/>
  <c r="B142" i="12"/>
  <c r="X141" i="12"/>
  <c r="Z141" i="12" s="1"/>
  <c r="N141" i="12"/>
  <c r="L141" i="12"/>
  <c r="B141" i="12"/>
  <c r="Z140" i="12"/>
  <c r="X140" i="12"/>
  <c r="N140" i="12"/>
  <c r="L140" i="12"/>
  <c r="B140" i="12"/>
  <c r="X139" i="12"/>
  <c r="Z139" i="12" s="1"/>
  <c r="N139" i="12"/>
  <c r="L139" i="12"/>
  <c r="B139" i="12"/>
  <c r="Z138" i="12"/>
  <c r="X138" i="12"/>
  <c r="N138" i="12"/>
  <c r="L138" i="12"/>
  <c r="B138" i="12"/>
  <c r="X137" i="12"/>
  <c r="Z137" i="12" s="1"/>
  <c r="N137" i="12"/>
  <c r="L137" i="12"/>
  <c r="B137" i="12"/>
  <c r="Z136" i="12"/>
  <c r="X136" i="12"/>
  <c r="N136" i="12"/>
  <c r="L136" i="12"/>
  <c r="B136" i="12"/>
  <c r="X135" i="12"/>
  <c r="Z135" i="12" s="1"/>
  <c r="N135" i="12"/>
  <c r="L135" i="12"/>
  <c r="B135" i="12"/>
  <c r="Z134" i="12"/>
  <c r="X134" i="12"/>
  <c r="T134" i="12"/>
  <c r="P134" i="12"/>
  <c r="N134" i="12"/>
  <c r="L134" i="12"/>
  <c r="H134" i="12"/>
  <c r="F134" i="12"/>
  <c r="D134" i="12"/>
  <c r="B134" i="12"/>
  <c r="T133" i="12"/>
  <c r="P133" i="12"/>
  <c r="H133" i="12"/>
  <c r="D133" i="12"/>
  <c r="Z129" i="12"/>
  <c r="X129" i="12"/>
  <c r="L129" i="12"/>
  <c r="N129" i="12" s="1"/>
  <c r="B129" i="12"/>
  <c r="Z128" i="12"/>
  <c r="X128" i="12"/>
  <c r="N128" i="12"/>
  <c r="L128" i="12"/>
  <c r="B128" i="12"/>
  <c r="Z127" i="12"/>
  <c r="X127" i="12"/>
  <c r="L127" i="12"/>
  <c r="N127" i="12" s="1"/>
  <c r="B127" i="12"/>
  <c r="Z126" i="12"/>
  <c r="X126" i="12"/>
  <c r="N126" i="12"/>
  <c r="L126" i="12"/>
  <c r="B126" i="12"/>
  <c r="Z125" i="12"/>
  <c r="X125" i="12"/>
  <c r="L125" i="12"/>
  <c r="N125" i="12" s="1"/>
  <c r="B125" i="12"/>
  <c r="Z124" i="12"/>
  <c r="X124" i="12"/>
  <c r="L124" i="12"/>
  <c r="N124" i="12" s="1"/>
  <c r="B124" i="12"/>
  <c r="Z123" i="12"/>
  <c r="X123" i="12"/>
  <c r="L123" i="12"/>
  <c r="N123" i="12" s="1"/>
  <c r="B123" i="12"/>
  <c r="Z122" i="12"/>
  <c r="X122" i="12"/>
  <c r="N122" i="12"/>
  <c r="L122" i="12"/>
  <c r="B122" i="12"/>
  <c r="Z121" i="12"/>
  <c r="X121" i="12"/>
  <c r="L121" i="12"/>
  <c r="N121" i="12" s="1"/>
  <c r="B121" i="12"/>
  <c r="Z120" i="12"/>
  <c r="X120" i="12"/>
  <c r="L120" i="12"/>
  <c r="N120" i="12" s="1"/>
  <c r="B120" i="12"/>
  <c r="Z119" i="12"/>
  <c r="X119" i="12"/>
  <c r="L119" i="12"/>
  <c r="N119" i="12" s="1"/>
  <c r="B119" i="12"/>
  <c r="Z118" i="12"/>
  <c r="X118" i="12"/>
  <c r="N118" i="12"/>
  <c r="L118" i="12"/>
  <c r="B118" i="12"/>
  <c r="Z117" i="12"/>
  <c r="X117" i="12"/>
  <c r="L117" i="12"/>
  <c r="N117" i="12" s="1"/>
  <c r="B117" i="12"/>
  <c r="Z116" i="12"/>
  <c r="X116" i="12"/>
  <c r="N116" i="12"/>
  <c r="L116" i="12"/>
  <c r="B116" i="12"/>
  <c r="Z115" i="12"/>
  <c r="X115" i="12"/>
  <c r="L115" i="12"/>
  <c r="N115" i="12" s="1"/>
  <c r="B115" i="12"/>
  <c r="Z114" i="12"/>
  <c r="X114" i="12"/>
  <c r="N114" i="12"/>
  <c r="L114" i="12"/>
  <c r="B114" i="12"/>
  <c r="Z113" i="12"/>
  <c r="X113" i="12"/>
  <c r="L113" i="12"/>
  <c r="N113" i="12" s="1"/>
  <c r="B113" i="12"/>
  <c r="Z112" i="12"/>
  <c r="X112" i="12"/>
  <c r="L112" i="12"/>
  <c r="N112" i="12" s="1"/>
  <c r="B112" i="12"/>
  <c r="Z111" i="12"/>
  <c r="X111" i="12"/>
  <c r="L111" i="12"/>
  <c r="N111" i="12" s="1"/>
  <c r="B111" i="12"/>
  <c r="Z110" i="12"/>
  <c r="X110" i="12"/>
  <c r="N110" i="12"/>
  <c r="L110" i="12"/>
  <c r="B110" i="12"/>
  <c r="Z109" i="12"/>
  <c r="X109" i="12"/>
  <c r="L109" i="12"/>
  <c r="N109" i="12" s="1"/>
  <c r="B109" i="12"/>
  <c r="Z108" i="12"/>
  <c r="X108" i="12"/>
  <c r="L108" i="12"/>
  <c r="N108" i="12" s="1"/>
  <c r="B108" i="12"/>
  <c r="Z107" i="12"/>
  <c r="X107" i="12"/>
  <c r="L107" i="12"/>
  <c r="N107" i="12" s="1"/>
  <c r="B107" i="12"/>
  <c r="Z106" i="12"/>
  <c r="X106" i="12"/>
  <c r="N106" i="12"/>
  <c r="L106" i="12"/>
  <c r="B106" i="12"/>
  <c r="Z105" i="12"/>
  <c r="X105" i="12"/>
  <c r="L105" i="12"/>
  <c r="N105" i="12" s="1"/>
  <c r="B105" i="12"/>
  <c r="Z104" i="12"/>
  <c r="X104" i="12"/>
  <c r="L104" i="12"/>
  <c r="N104" i="12" s="1"/>
  <c r="B104" i="12"/>
  <c r="Z103" i="12"/>
  <c r="X103" i="12"/>
  <c r="L103" i="12"/>
  <c r="N103" i="12" s="1"/>
  <c r="B103" i="12"/>
  <c r="Z102" i="12"/>
  <c r="X102" i="12"/>
  <c r="N102" i="12"/>
  <c r="L102" i="12"/>
  <c r="B102" i="12"/>
  <c r="Z101" i="12"/>
  <c r="X101" i="12"/>
  <c r="L101" i="12"/>
  <c r="N101" i="12" s="1"/>
  <c r="B101" i="12"/>
  <c r="Z100" i="12"/>
  <c r="X100" i="12"/>
  <c r="L100" i="12"/>
  <c r="N100" i="12" s="1"/>
  <c r="B100" i="12"/>
  <c r="Z99" i="12"/>
  <c r="X99" i="12"/>
  <c r="L99" i="12"/>
  <c r="N99" i="12" s="1"/>
  <c r="B99" i="12"/>
  <c r="Z98" i="12"/>
  <c r="X98" i="12"/>
  <c r="L98" i="12"/>
  <c r="N98" i="12" s="1"/>
  <c r="B98" i="12"/>
  <c r="Z97" i="12"/>
  <c r="X97" i="12"/>
  <c r="L97" i="12"/>
  <c r="N97" i="12" s="1"/>
  <c r="B97" i="12"/>
  <c r="Z96" i="12"/>
  <c r="X96" i="12"/>
  <c r="L96" i="12"/>
  <c r="N96" i="12" s="1"/>
  <c r="B96" i="12"/>
  <c r="Z95" i="12"/>
  <c r="X95" i="12"/>
  <c r="L95" i="12"/>
  <c r="N95" i="12" s="1"/>
  <c r="B95" i="12"/>
  <c r="Z94" i="12"/>
  <c r="X94" i="12"/>
  <c r="L94" i="12"/>
  <c r="N94" i="12" s="1"/>
  <c r="B94" i="12"/>
  <c r="Z93" i="12"/>
  <c r="X93" i="12"/>
  <c r="L93" i="12"/>
  <c r="N93" i="12" s="1"/>
  <c r="B93" i="12"/>
  <c r="Z92" i="12"/>
  <c r="X92" i="12"/>
  <c r="L92" i="12"/>
  <c r="N92" i="12" s="1"/>
  <c r="B92" i="12"/>
  <c r="T91" i="12"/>
  <c r="P91" i="12"/>
  <c r="X91" i="12" s="1"/>
  <c r="H91" i="12"/>
  <c r="D91" i="12"/>
  <c r="Z89" i="12"/>
  <c r="T89" i="12"/>
  <c r="P89" i="12"/>
  <c r="X89" i="12" s="1"/>
  <c r="L89" i="12"/>
  <c r="H89" i="12"/>
  <c r="N89" i="12" s="1"/>
  <c r="D89" i="12"/>
  <c r="B89" i="12"/>
  <c r="Z88" i="12"/>
  <c r="T88" i="12"/>
  <c r="P88" i="12"/>
  <c r="X88" i="12" s="1"/>
  <c r="H88" i="12"/>
  <c r="D88" i="12"/>
  <c r="B88" i="12"/>
  <c r="T87" i="12"/>
  <c r="P87" i="12"/>
  <c r="X87" i="12" s="1"/>
  <c r="Z87" i="12" s="1"/>
  <c r="L87" i="12"/>
  <c r="H87" i="12"/>
  <c r="D87" i="12"/>
  <c r="B87" i="12"/>
  <c r="Z86" i="12"/>
  <c r="T86" i="12"/>
  <c r="P86" i="12"/>
  <c r="X86" i="12" s="1"/>
  <c r="H86" i="12"/>
  <c r="D86" i="12"/>
  <c r="B86" i="12"/>
  <c r="Z85" i="12"/>
  <c r="T85" i="12"/>
  <c r="P85" i="12"/>
  <c r="X85" i="12" s="1"/>
  <c r="L85" i="12"/>
  <c r="H85" i="12"/>
  <c r="N85" i="12" s="1"/>
  <c r="D85" i="12"/>
  <c r="B85" i="12"/>
  <c r="T84" i="12"/>
  <c r="Z84" i="12" s="1"/>
  <c r="P84" i="12"/>
  <c r="H84" i="12"/>
  <c r="D84" i="12"/>
  <c r="B84" i="12"/>
  <c r="T83" i="12"/>
  <c r="P83" i="12"/>
  <c r="X83" i="12" s="1"/>
  <c r="Z83" i="12" s="1"/>
  <c r="L83" i="12"/>
  <c r="H83" i="12"/>
  <c r="N83" i="12" s="1"/>
  <c r="D83" i="12"/>
  <c r="B83" i="12"/>
  <c r="T82" i="12"/>
  <c r="P82" i="12"/>
  <c r="H82" i="12"/>
  <c r="D82" i="12"/>
  <c r="B82" i="12"/>
  <c r="T81" i="12"/>
  <c r="Z81" i="12" s="1"/>
  <c r="P81" i="12"/>
  <c r="X81" i="12" s="1"/>
  <c r="L81" i="12"/>
  <c r="H81" i="12"/>
  <c r="N81" i="12" s="1"/>
  <c r="D81" i="12"/>
  <c r="B81" i="12"/>
  <c r="T80" i="12"/>
  <c r="P80" i="12"/>
  <c r="H80" i="12"/>
  <c r="D80" i="12"/>
  <c r="B80" i="12"/>
  <c r="T79" i="12"/>
  <c r="P79" i="12"/>
  <c r="X79" i="12" s="1"/>
  <c r="Z79" i="12" s="1"/>
  <c r="L79" i="12"/>
  <c r="H79" i="12"/>
  <c r="N79" i="12" s="1"/>
  <c r="D79" i="12"/>
  <c r="B79" i="12"/>
  <c r="T78" i="12"/>
  <c r="P78" i="12"/>
  <c r="H78" i="12"/>
  <c r="D78" i="12"/>
  <c r="B78" i="12"/>
  <c r="T77" i="12"/>
  <c r="Z77" i="12" s="1"/>
  <c r="P77" i="12"/>
  <c r="X77" i="12" s="1"/>
  <c r="L77" i="12"/>
  <c r="H77" i="12"/>
  <c r="N77" i="12" s="1"/>
  <c r="D77" i="12"/>
  <c r="B77" i="12"/>
  <c r="T76" i="12"/>
  <c r="P76" i="12"/>
  <c r="H76" i="12"/>
  <c r="D76" i="12"/>
  <c r="B76" i="12"/>
  <c r="T75" i="12"/>
  <c r="P75" i="12"/>
  <c r="X75" i="12" s="1"/>
  <c r="Z75" i="12" s="1"/>
  <c r="L75" i="12"/>
  <c r="H75" i="12"/>
  <c r="N75" i="12" s="1"/>
  <c r="D75" i="12"/>
  <c r="B75" i="12"/>
  <c r="T74" i="12"/>
  <c r="P74" i="12"/>
  <c r="H74" i="12"/>
  <c r="D74" i="12"/>
  <c r="B74" i="12"/>
  <c r="T73" i="12"/>
  <c r="Z73" i="12" s="1"/>
  <c r="P73" i="12"/>
  <c r="X73" i="12" s="1"/>
  <c r="L73" i="12"/>
  <c r="H73" i="12"/>
  <c r="N73" i="12" s="1"/>
  <c r="D73" i="12"/>
  <c r="B73" i="12"/>
  <c r="T72" i="12"/>
  <c r="P72" i="12"/>
  <c r="H72" i="12"/>
  <c r="D72" i="12"/>
  <c r="B72" i="12"/>
  <c r="T71" i="12"/>
  <c r="P71" i="12"/>
  <c r="X71" i="12" s="1"/>
  <c r="Z71" i="12" s="1"/>
  <c r="L71" i="12"/>
  <c r="H71" i="12"/>
  <c r="N71" i="12" s="1"/>
  <c r="D71" i="12"/>
  <c r="B71" i="12"/>
  <c r="T70" i="12"/>
  <c r="P70" i="12"/>
  <c r="H70" i="12"/>
  <c r="D70" i="12"/>
  <c r="B70" i="12"/>
  <c r="T69" i="12"/>
  <c r="Z69" i="12" s="1"/>
  <c r="P69" i="12"/>
  <c r="X69" i="12" s="1"/>
  <c r="L69" i="12"/>
  <c r="H69" i="12"/>
  <c r="N69" i="12" s="1"/>
  <c r="D69" i="12"/>
  <c r="B69" i="12"/>
  <c r="T68" i="12"/>
  <c r="P68" i="12"/>
  <c r="H68" i="12"/>
  <c r="D68" i="12"/>
  <c r="B68" i="12"/>
  <c r="T67" i="12"/>
  <c r="Z67" i="12" s="1"/>
  <c r="P67" i="12"/>
  <c r="X67" i="12" s="1"/>
  <c r="L67" i="12"/>
  <c r="H67" i="12"/>
  <c r="N67" i="12" s="1"/>
  <c r="D67" i="12"/>
  <c r="B67" i="12"/>
  <c r="T66" i="12"/>
  <c r="Z66" i="12" s="1"/>
  <c r="P66" i="12"/>
  <c r="H66" i="12"/>
  <c r="D66" i="12"/>
  <c r="B66" i="12"/>
  <c r="T65" i="12"/>
  <c r="Z65" i="12" s="1"/>
  <c r="P65" i="12"/>
  <c r="X65" i="12" s="1"/>
  <c r="L65" i="12"/>
  <c r="H65" i="12"/>
  <c r="N65" i="12" s="1"/>
  <c r="D65" i="12"/>
  <c r="B65" i="12"/>
  <c r="T64" i="12"/>
  <c r="P64" i="12"/>
  <c r="H64" i="12"/>
  <c r="D64" i="12"/>
  <c r="B64" i="12"/>
  <c r="T63" i="12"/>
  <c r="Z63" i="12" s="1"/>
  <c r="P63" i="12"/>
  <c r="X63" i="12" s="1"/>
  <c r="L63" i="12"/>
  <c r="H63" i="12"/>
  <c r="N63" i="12" s="1"/>
  <c r="D63" i="12"/>
  <c r="B63" i="12"/>
  <c r="T62" i="12"/>
  <c r="P62" i="12"/>
  <c r="H62" i="12"/>
  <c r="D62" i="12"/>
  <c r="B62" i="12"/>
  <c r="T61" i="12"/>
  <c r="Z61" i="12" s="1"/>
  <c r="P61" i="12"/>
  <c r="X61" i="12" s="1"/>
  <c r="L61" i="12"/>
  <c r="H61" i="12"/>
  <c r="N61" i="12" s="1"/>
  <c r="D61" i="12"/>
  <c r="B61" i="12"/>
  <c r="T60" i="12"/>
  <c r="P60" i="12"/>
  <c r="H60" i="12"/>
  <c r="D60" i="12"/>
  <c r="B60" i="12"/>
  <c r="T59" i="12"/>
  <c r="Z59" i="12" s="1"/>
  <c r="P59" i="12"/>
  <c r="X59" i="12" s="1"/>
  <c r="L59" i="12"/>
  <c r="H59" i="12"/>
  <c r="N59" i="12" s="1"/>
  <c r="D59" i="12"/>
  <c r="B59" i="12"/>
  <c r="T58" i="12"/>
  <c r="P58" i="12"/>
  <c r="H58" i="12"/>
  <c r="D58" i="12"/>
  <c r="B58" i="12"/>
  <c r="T57" i="12"/>
  <c r="Z57" i="12" s="1"/>
  <c r="P57" i="12"/>
  <c r="X57" i="12" s="1"/>
  <c r="L57" i="12"/>
  <c r="H57" i="12"/>
  <c r="N57" i="12" s="1"/>
  <c r="D57" i="12"/>
  <c r="B57" i="12"/>
  <c r="T56" i="12"/>
  <c r="P56" i="12"/>
  <c r="H56" i="12"/>
  <c r="D56" i="12"/>
  <c r="B56" i="12"/>
  <c r="T55" i="12"/>
  <c r="Z55" i="12" s="1"/>
  <c r="P55" i="12"/>
  <c r="X55" i="12" s="1"/>
  <c r="L55" i="12"/>
  <c r="H55" i="12"/>
  <c r="N55" i="12" s="1"/>
  <c r="D55" i="12"/>
  <c r="B55" i="12"/>
  <c r="T54" i="12"/>
  <c r="P54" i="12"/>
  <c r="H54" i="12"/>
  <c r="D54" i="12"/>
  <c r="B54" i="12"/>
  <c r="T53" i="12"/>
  <c r="P53" i="12"/>
  <c r="L53" i="12"/>
  <c r="H53" i="12"/>
  <c r="N53" i="12" s="1"/>
  <c r="D53" i="12"/>
  <c r="B53" i="12"/>
  <c r="T52" i="12"/>
  <c r="P52" i="12"/>
  <c r="H52" i="12"/>
  <c r="D52" i="12"/>
  <c r="B52" i="12"/>
  <c r="T51" i="12"/>
  <c r="Z51" i="12" s="1"/>
  <c r="P51" i="12"/>
  <c r="X51" i="12" s="1"/>
  <c r="L51" i="12"/>
  <c r="H51" i="12"/>
  <c r="D51" i="12"/>
  <c r="B51" i="12"/>
  <c r="T50" i="12"/>
  <c r="P50" i="12"/>
  <c r="H50" i="12"/>
  <c r="D50" i="12"/>
  <c r="B50" i="12"/>
  <c r="T49" i="12"/>
  <c r="P49" i="12"/>
  <c r="L49" i="12"/>
  <c r="H49" i="12"/>
  <c r="D49" i="12"/>
  <c r="B49" i="12"/>
  <c r="T48" i="12"/>
  <c r="P48" i="12"/>
  <c r="H48" i="12"/>
  <c r="D48" i="12"/>
  <c r="B48" i="12"/>
  <c r="T47" i="12"/>
  <c r="P47" i="12"/>
  <c r="X47" i="12" s="1"/>
  <c r="L47" i="12"/>
  <c r="H47" i="12"/>
  <c r="N47" i="12" s="1"/>
  <c r="D47" i="12"/>
  <c r="B47" i="12"/>
  <c r="T46" i="12"/>
  <c r="P46" i="12"/>
  <c r="X46" i="12" s="1"/>
  <c r="Z46" i="12" s="1"/>
  <c r="H46" i="12"/>
  <c r="D46" i="12"/>
  <c r="B46" i="12"/>
  <c r="T45" i="12"/>
  <c r="P45" i="12"/>
  <c r="X45" i="12" s="1"/>
  <c r="L45" i="12"/>
  <c r="H45" i="12"/>
  <c r="N45" i="12" s="1"/>
  <c r="D45" i="12"/>
  <c r="B45" i="12"/>
  <c r="T44" i="12"/>
  <c r="P44" i="12"/>
  <c r="X44" i="12" s="1"/>
  <c r="Z44" i="12" s="1"/>
  <c r="H44" i="12"/>
  <c r="D44" i="12"/>
  <c r="B44" i="12"/>
  <c r="T43" i="12"/>
  <c r="P43" i="12"/>
  <c r="L43" i="12"/>
  <c r="H43" i="12"/>
  <c r="D43" i="12"/>
  <c r="B43" i="12"/>
  <c r="T42" i="12"/>
  <c r="Z42" i="12" s="1"/>
  <c r="P42" i="12"/>
  <c r="X42" i="12" s="1"/>
  <c r="L42" i="12"/>
  <c r="H42" i="12"/>
  <c r="D42" i="12"/>
  <c r="B42" i="12"/>
  <c r="T41" i="12"/>
  <c r="P41" i="12"/>
  <c r="X41" i="12" s="1"/>
  <c r="L41" i="12"/>
  <c r="H41" i="12"/>
  <c r="N41" i="12" s="1"/>
  <c r="D41" i="12"/>
  <c r="B41" i="12"/>
  <c r="T40" i="12"/>
  <c r="Z40" i="12" s="1"/>
  <c r="P40" i="12"/>
  <c r="X40" i="12" s="1"/>
  <c r="L40" i="12"/>
  <c r="H40" i="12"/>
  <c r="D40" i="12"/>
  <c r="B40" i="12"/>
  <c r="T39" i="12"/>
  <c r="P39" i="12"/>
  <c r="L39" i="12"/>
  <c r="H39" i="12"/>
  <c r="D39" i="12"/>
  <c r="B39" i="12"/>
  <c r="T38" i="12"/>
  <c r="P38" i="12"/>
  <c r="L38" i="12"/>
  <c r="H38" i="12"/>
  <c r="D38" i="12"/>
  <c r="B38" i="12"/>
  <c r="T37" i="12"/>
  <c r="P37" i="12"/>
  <c r="X37" i="12" s="1"/>
  <c r="L37" i="12"/>
  <c r="H37" i="12"/>
  <c r="D37" i="12"/>
  <c r="B37" i="12"/>
  <c r="T36" i="12"/>
  <c r="P36" i="12"/>
  <c r="L36" i="12"/>
  <c r="H36" i="12"/>
  <c r="D36" i="12"/>
  <c r="B36" i="12"/>
  <c r="T35" i="12"/>
  <c r="P35" i="12"/>
  <c r="L35" i="12"/>
  <c r="H35" i="12"/>
  <c r="N35" i="12" s="1"/>
  <c r="D35" i="12"/>
  <c r="B35" i="12"/>
  <c r="T34" i="12"/>
  <c r="P34" i="12"/>
  <c r="H34" i="12"/>
  <c r="D34" i="12"/>
  <c r="B34" i="12"/>
  <c r="T33" i="12"/>
  <c r="P33" i="12"/>
  <c r="L33" i="12"/>
  <c r="H33" i="12"/>
  <c r="N33" i="12" s="1"/>
  <c r="D33" i="12"/>
  <c r="B33" i="12"/>
  <c r="T32" i="12"/>
  <c r="P32" i="12"/>
  <c r="L32" i="12"/>
  <c r="H32" i="12"/>
  <c r="D32" i="12"/>
  <c r="B32" i="12"/>
  <c r="T31" i="12"/>
  <c r="P31" i="12"/>
  <c r="X31" i="12" s="1"/>
  <c r="L31" i="12"/>
  <c r="H31" i="12"/>
  <c r="N31" i="12" s="1"/>
  <c r="D31" i="12"/>
  <c r="B31" i="12"/>
  <c r="T30" i="12"/>
  <c r="P30" i="12"/>
  <c r="X30" i="12" s="1"/>
  <c r="Z30" i="12" s="1"/>
  <c r="H30" i="12"/>
  <c r="D30" i="12"/>
  <c r="B30" i="12"/>
  <c r="T29" i="12"/>
  <c r="P29" i="12"/>
  <c r="X29" i="12" s="1"/>
  <c r="L29" i="12"/>
  <c r="H29" i="12"/>
  <c r="D29" i="12"/>
  <c r="B29" i="12"/>
  <c r="T28" i="12"/>
  <c r="P28" i="12"/>
  <c r="L28" i="12"/>
  <c r="H28" i="12"/>
  <c r="D28" i="12"/>
  <c r="B28" i="12"/>
  <c r="T27" i="12"/>
  <c r="P27" i="12"/>
  <c r="X27" i="12" s="1"/>
  <c r="L27" i="12"/>
  <c r="H27" i="12"/>
  <c r="D27" i="12"/>
  <c r="B27" i="12"/>
  <c r="Z26" i="12"/>
  <c r="T26" i="12"/>
  <c r="P26" i="12"/>
  <c r="X26" i="12" s="1"/>
  <c r="L26" i="12"/>
  <c r="H26" i="12"/>
  <c r="D26" i="12"/>
  <c r="B26" i="12"/>
  <c r="T25" i="12"/>
  <c r="P25" i="12"/>
  <c r="L25" i="12"/>
  <c r="H25" i="12"/>
  <c r="D25" i="12"/>
  <c r="B25" i="12"/>
  <c r="T24" i="12"/>
  <c r="P24" i="12"/>
  <c r="H24" i="12"/>
  <c r="D24" i="12"/>
  <c r="B24" i="12"/>
  <c r="T23" i="12"/>
  <c r="P23" i="12"/>
  <c r="L23" i="12"/>
  <c r="H23" i="12"/>
  <c r="N23" i="12" s="1"/>
  <c r="D23" i="12"/>
  <c r="B23" i="12"/>
  <c r="T22" i="12"/>
  <c r="P22" i="12"/>
  <c r="X22" i="12" s="1"/>
  <c r="Z22" i="12" s="1"/>
  <c r="H22" i="12"/>
  <c r="D22" i="12"/>
  <c r="B22" i="12"/>
  <c r="T21" i="12"/>
  <c r="P21" i="12"/>
  <c r="L21" i="12"/>
  <c r="H21" i="12"/>
  <c r="D21" i="12"/>
  <c r="B21" i="12"/>
  <c r="T20" i="12"/>
  <c r="Z20" i="12" s="1"/>
  <c r="P20" i="12"/>
  <c r="X20" i="12" s="1"/>
  <c r="L20" i="12"/>
  <c r="H20" i="12"/>
  <c r="D20" i="12"/>
  <c r="B20" i="12"/>
  <c r="T19" i="12"/>
  <c r="P19" i="12"/>
  <c r="L19" i="12"/>
  <c r="H19" i="12"/>
  <c r="D19" i="12"/>
  <c r="B19" i="12"/>
  <c r="T18" i="12"/>
  <c r="P18" i="12"/>
  <c r="L18" i="12"/>
  <c r="H18" i="12"/>
  <c r="D18" i="12"/>
  <c r="B18" i="12"/>
  <c r="T17" i="12"/>
  <c r="P17" i="12"/>
  <c r="X17" i="12" s="1"/>
  <c r="L17" i="12"/>
  <c r="H17" i="12"/>
  <c r="D17" i="12"/>
  <c r="B17" i="12"/>
  <c r="T16" i="12"/>
  <c r="P16" i="12"/>
  <c r="L16" i="12"/>
  <c r="H16" i="12"/>
  <c r="D16" i="12"/>
  <c r="B16" i="12"/>
  <c r="T15" i="12"/>
  <c r="P15" i="12"/>
  <c r="L15" i="12"/>
  <c r="H15" i="12"/>
  <c r="N15" i="12" s="1"/>
  <c r="D15" i="12"/>
  <c r="B15" i="12"/>
  <c r="T14" i="12"/>
  <c r="P14" i="12"/>
  <c r="L14" i="12"/>
  <c r="H14" i="12"/>
  <c r="D14" i="12"/>
  <c r="B14" i="12"/>
  <c r="T13" i="12"/>
  <c r="Z13" i="12" s="1"/>
  <c r="P13" i="12"/>
  <c r="H13" i="12"/>
  <c r="N13" i="12" s="1"/>
  <c r="D13" i="12"/>
  <c r="B13" i="12"/>
  <c r="D12" i="12"/>
  <c r="F149" i="12" s="1"/>
  <c r="D4" i="12"/>
  <c r="Z90" i="9"/>
  <c r="X90" i="9"/>
  <c r="N90" i="9"/>
  <c r="L90" i="9"/>
  <c r="F90" i="9"/>
  <c r="R88" i="9"/>
  <c r="Z86" i="9"/>
  <c r="X86" i="9"/>
  <c r="T86" i="9"/>
  <c r="R86" i="9"/>
  <c r="P86" i="9"/>
  <c r="N86" i="9"/>
  <c r="H86" i="9"/>
  <c r="D86" i="9"/>
  <c r="L86" i="9" s="1"/>
  <c r="Z84" i="9"/>
  <c r="X84" i="9"/>
  <c r="N84" i="9"/>
  <c r="L84" i="9"/>
  <c r="B84" i="9"/>
  <c r="X83" i="9"/>
  <c r="Z83" i="9" s="1"/>
  <c r="N83" i="9"/>
  <c r="L83" i="9"/>
  <c r="F83" i="9"/>
  <c r="B83" i="9"/>
  <c r="T82" i="9"/>
  <c r="P82" i="9"/>
  <c r="X82" i="9" s="1"/>
  <c r="Z82" i="9" s="1"/>
  <c r="N82" i="9"/>
  <c r="L82" i="9"/>
  <c r="H82" i="9"/>
  <c r="F82" i="9"/>
  <c r="D82" i="9"/>
  <c r="B82" i="9"/>
  <c r="Z81" i="9"/>
  <c r="X81" i="9"/>
  <c r="N81" i="9"/>
  <c r="L81" i="9"/>
  <c r="B81" i="9"/>
  <c r="Z80" i="9"/>
  <c r="T80" i="9"/>
  <c r="P80" i="9"/>
  <c r="X80" i="9" s="1"/>
  <c r="L80" i="9"/>
  <c r="N80" i="9" s="1"/>
  <c r="H80" i="9"/>
  <c r="D80" i="9"/>
  <c r="B80" i="9"/>
  <c r="X79" i="9"/>
  <c r="Z79" i="9" s="1"/>
  <c r="L79" i="9"/>
  <c r="N79" i="9" s="1"/>
  <c r="J79" i="9"/>
  <c r="B79" i="9"/>
  <c r="Z78" i="9"/>
  <c r="X78" i="9"/>
  <c r="N78" i="9"/>
  <c r="L78" i="9"/>
  <c r="B78" i="9"/>
  <c r="T77" i="9"/>
  <c r="P77" i="9"/>
  <c r="X77" i="9" s="1"/>
  <c r="Z77" i="9" s="1"/>
  <c r="L77" i="9"/>
  <c r="H77" i="9"/>
  <c r="N77" i="9" s="1"/>
  <c r="D77" i="9"/>
  <c r="B77" i="9"/>
  <c r="Z76" i="9"/>
  <c r="X76" i="9"/>
  <c r="N76" i="9"/>
  <c r="L76" i="9"/>
  <c r="B76" i="9"/>
  <c r="X75" i="9"/>
  <c r="Z75" i="9" s="1"/>
  <c r="N75" i="9"/>
  <c r="L75" i="9"/>
  <c r="F75" i="9"/>
  <c r="B75" i="9"/>
  <c r="Z74" i="9"/>
  <c r="X74" i="9"/>
  <c r="L74" i="9"/>
  <c r="N74" i="9" s="1"/>
  <c r="B74" i="9"/>
  <c r="Z73" i="9"/>
  <c r="X73" i="9"/>
  <c r="N73" i="9"/>
  <c r="L73" i="9"/>
  <c r="B73" i="9"/>
  <c r="Z72" i="9"/>
  <c r="X72" i="9"/>
  <c r="N72" i="9"/>
  <c r="L72" i="9"/>
  <c r="B72" i="9"/>
  <c r="T71" i="9"/>
  <c r="P71" i="9"/>
  <c r="L71" i="9"/>
  <c r="H71" i="9"/>
  <c r="N71" i="9" s="1"/>
  <c r="D71" i="9"/>
  <c r="B71" i="9"/>
  <c r="X70" i="9"/>
  <c r="Z70" i="9" s="1"/>
  <c r="N70" i="9"/>
  <c r="L70" i="9"/>
  <c r="J70" i="9"/>
  <c r="B70" i="9"/>
  <c r="T69" i="9"/>
  <c r="R69" i="9"/>
  <c r="P69" i="9"/>
  <c r="X69" i="9" s="1"/>
  <c r="H69" i="9"/>
  <c r="D69" i="9"/>
  <c r="L69" i="9" s="1"/>
  <c r="B69" i="9"/>
  <c r="X68" i="9"/>
  <c r="Z68" i="9" s="1"/>
  <c r="R68" i="9"/>
  <c r="N68" i="9"/>
  <c r="L68" i="9"/>
  <c r="B68" i="9"/>
  <c r="X67" i="9"/>
  <c r="Z67" i="9" s="1"/>
  <c r="L67" i="9"/>
  <c r="N67" i="9" s="1"/>
  <c r="J67" i="9"/>
  <c r="B67" i="9"/>
  <c r="T66" i="9"/>
  <c r="P66" i="9"/>
  <c r="X66" i="9" s="1"/>
  <c r="Z66" i="9" s="1"/>
  <c r="H66" i="9"/>
  <c r="D66" i="9"/>
  <c r="B66" i="9"/>
  <c r="X65" i="9"/>
  <c r="Z65" i="9" s="1"/>
  <c r="N65" i="9"/>
  <c r="L65" i="9"/>
  <c r="B65" i="9"/>
  <c r="Z64" i="9"/>
  <c r="X64" i="9"/>
  <c r="N64" i="9"/>
  <c r="L64" i="9"/>
  <c r="B64" i="9"/>
  <c r="X63" i="9"/>
  <c r="Z63" i="9" s="1"/>
  <c r="V63" i="9"/>
  <c r="N63" i="9"/>
  <c r="L63" i="9"/>
  <c r="F63" i="9"/>
  <c r="B63" i="9"/>
  <c r="T62" i="9"/>
  <c r="P62" i="9"/>
  <c r="X62" i="9" s="1"/>
  <c r="Z62" i="9" s="1"/>
  <c r="N62" i="9"/>
  <c r="L62" i="9"/>
  <c r="H62" i="9"/>
  <c r="F62" i="9"/>
  <c r="D62" i="9"/>
  <c r="B62" i="9"/>
  <c r="Z61" i="9"/>
  <c r="X61" i="9"/>
  <c r="N61" i="9"/>
  <c r="L61" i="9"/>
  <c r="B61" i="9"/>
  <c r="Z60" i="9"/>
  <c r="X60" i="9"/>
  <c r="L60" i="9"/>
  <c r="N60" i="9" s="1"/>
  <c r="F60" i="9"/>
  <c r="B60" i="9"/>
  <c r="Z59" i="9"/>
  <c r="X59" i="9"/>
  <c r="R59" i="9"/>
  <c r="L59" i="9"/>
  <c r="N59" i="9" s="1"/>
  <c r="B59" i="9"/>
  <c r="X58" i="9"/>
  <c r="Z58" i="9" s="1"/>
  <c r="T58" i="9"/>
  <c r="P58" i="9"/>
  <c r="H58" i="9"/>
  <c r="D58" i="9"/>
  <c r="L58" i="9" s="1"/>
  <c r="N58" i="9" s="1"/>
  <c r="B58" i="9"/>
  <c r="Z57" i="9"/>
  <c r="X57" i="9"/>
  <c r="L57" i="9"/>
  <c r="N57" i="9" s="1"/>
  <c r="B57" i="9"/>
  <c r="T56" i="9"/>
  <c r="P56" i="9"/>
  <c r="J56" i="9"/>
  <c r="H56" i="9"/>
  <c r="D56" i="9"/>
  <c r="L56" i="9" s="1"/>
  <c r="N56" i="9" s="1"/>
  <c r="B56" i="9"/>
  <c r="X55" i="9"/>
  <c r="Z55" i="9" s="1"/>
  <c r="V55" i="9"/>
  <c r="N55" i="9"/>
  <c r="L55" i="9"/>
  <c r="F55" i="9"/>
  <c r="B55" i="9"/>
  <c r="T54" i="9"/>
  <c r="P54" i="9"/>
  <c r="X54" i="9" s="1"/>
  <c r="Z54" i="9" s="1"/>
  <c r="N54" i="9"/>
  <c r="L54" i="9"/>
  <c r="H54" i="9"/>
  <c r="F54" i="9"/>
  <c r="D54" i="9"/>
  <c r="B54" i="9"/>
  <c r="Z53" i="9"/>
  <c r="X53" i="9"/>
  <c r="N53" i="9"/>
  <c r="L53" i="9"/>
  <c r="B53" i="9"/>
  <c r="T52" i="9"/>
  <c r="P52" i="9"/>
  <c r="X52" i="9" s="1"/>
  <c r="Z52" i="9" s="1"/>
  <c r="L52" i="9"/>
  <c r="N52" i="9" s="1"/>
  <c r="H52" i="9"/>
  <c r="D52" i="9"/>
  <c r="B52" i="9"/>
  <c r="X51" i="9"/>
  <c r="Z51" i="9" s="1"/>
  <c r="L51" i="9"/>
  <c r="N51" i="9" s="1"/>
  <c r="J51" i="9"/>
  <c r="B51" i="9"/>
  <c r="T50" i="9"/>
  <c r="Z50" i="9" s="1"/>
  <c r="P50" i="9"/>
  <c r="X50" i="9" s="1"/>
  <c r="H50" i="9"/>
  <c r="D50" i="9"/>
  <c r="B50" i="9"/>
  <c r="X49" i="9"/>
  <c r="Z49" i="9" s="1"/>
  <c r="N49" i="9"/>
  <c r="L49" i="9"/>
  <c r="B49" i="9"/>
  <c r="Z48" i="9"/>
  <c r="X48" i="9"/>
  <c r="T48" i="9"/>
  <c r="R48" i="9"/>
  <c r="P48" i="9"/>
  <c r="H48" i="9"/>
  <c r="D48" i="9"/>
  <c r="L48" i="9" s="1"/>
  <c r="N48" i="9" s="1"/>
  <c r="B48" i="9"/>
  <c r="Z47" i="9"/>
  <c r="X47" i="9"/>
  <c r="R47" i="9"/>
  <c r="L47" i="9"/>
  <c r="N47" i="9" s="1"/>
  <c r="B47" i="9"/>
  <c r="X46" i="9"/>
  <c r="Z46" i="9" s="1"/>
  <c r="T46" i="9"/>
  <c r="P46" i="9"/>
  <c r="H46" i="9"/>
  <c r="D46" i="9"/>
  <c r="L46" i="9" s="1"/>
  <c r="N46" i="9" s="1"/>
  <c r="B46" i="9"/>
  <c r="Z45" i="9"/>
  <c r="X45" i="9"/>
  <c r="L45" i="9"/>
  <c r="N45" i="9" s="1"/>
  <c r="B45" i="9"/>
  <c r="T44" i="9"/>
  <c r="P44" i="9"/>
  <c r="J44" i="9"/>
  <c r="H44" i="9"/>
  <c r="N44" i="9" s="1"/>
  <c r="D44" i="9"/>
  <c r="L44" i="9" s="1"/>
  <c r="B44" i="9"/>
  <c r="X43" i="9"/>
  <c r="Z43" i="9" s="1"/>
  <c r="N43" i="9"/>
  <c r="L43" i="9"/>
  <c r="F43" i="9"/>
  <c r="B43" i="9"/>
  <c r="T42" i="9"/>
  <c r="P42" i="9"/>
  <c r="X42" i="9" s="1"/>
  <c r="Z42" i="9" s="1"/>
  <c r="N42" i="9"/>
  <c r="L42" i="9"/>
  <c r="H42" i="9"/>
  <c r="F42" i="9"/>
  <c r="D42" i="9"/>
  <c r="B42" i="9"/>
  <c r="Z41" i="9"/>
  <c r="X41" i="9"/>
  <c r="N41" i="9"/>
  <c r="L41" i="9"/>
  <c r="B41" i="9"/>
  <c r="Z40" i="9"/>
  <c r="T40" i="9"/>
  <c r="P40" i="9"/>
  <c r="X40" i="9" s="1"/>
  <c r="L40" i="9"/>
  <c r="N40" i="9" s="1"/>
  <c r="J40" i="9"/>
  <c r="H40" i="9"/>
  <c r="D40" i="9"/>
  <c r="B40" i="9"/>
  <c r="X39" i="9"/>
  <c r="Z39" i="9" s="1"/>
  <c r="L39" i="9"/>
  <c r="N39" i="9" s="1"/>
  <c r="J39" i="9"/>
  <c r="F39" i="9"/>
  <c r="B39" i="9"/>
  <c r="T38" i="9"/>
  <c r="Z38" i="9" s="1"/>
  <c r="P38" i="9"/>
  <c r="X38" i="9" s="1"/>
  <c r="H38" i="9"/>
  <c r="F38" i="9"/>
  <c r="D38" i="9"/>
  <c r="B38" i="9"/>
  <c r="X37" i="9"/>
  <c r="Z37" i="9" s="1"/>
  <c r="N37" i="9"/>
  <c r="L37" i="9"/>
  <c r="B37" i="9"/>
  <c r="Z36" i="9"/>
  <c r="X36" i="9"/>
  <c r="N36" i="9"/>
  <c r="L36" i="9"/>
  <c r="B36" i="9"/>
  <c r="X35" i="9"/>
  <c r="Z35" i="9" s="1"/>
  <c r="N35" i="9"/>
  <c r="L35" i="9"/>
  <c r="F35" i="9"/>
  <c r="B35" i="9"/>
  <c r="Z34" i="9"/>
  <c r="X34" i="9"/>
  <c r="L34" i="9"/>
  <c r="N34" i="9" s="1"/>
  <c r="J34" i="9"/>
  <c r="B34" i="9"/>
  <c r="X33" i="9"/>
  <c r="Z33" i="9" s="1"/>
  <c r="N33" i="9"/>
  <c r="L33" i="9"/>
  <c r="B33" i="9"/>
  <c r="Z32" i="9"/>
  <c r="X32" i="9"/>
  <c r="N32" i="9"/>
  <c r="L32" i="9"/>
  <c r="J32" i="9"/>
  <c r="B32" i="9"/>
  <c r="X31" i="9"/>
  <c r="Z31" i="9" s="1"/>
  <c r="R31" i="9"/>
  <c r="N31" i="9"/>
  <c r="L31" i="9"/>
  <c r="F31" i="9"/>
  <c r="B31" i="9"/>
  <c r="T30" i="9"/>
  <c r="P30" i="9"/>
  <c r="X30" i="9" s="1"/>
  <c r="Z30" i="9" s="1"/>
  <c r="N30" i="9"/>
  <c r="L30" i="9"/>
  <c r="H30" i="9"/>
  <c r="F30" i="9"/>
  <c r="D30" i="9"/>
  <c r="B30" i="9"/>
  <c r="X29" i="9"/>
  <c r="Z29" i="9" s="1"/>
  <c r="N29" i="9"/>
  <c r="L29" i="9"/>
  <c r="B29" i="9"/>
  <c r="Z28" i="9"/>
  <c r="X28" i="9"/>
  <c r="N28" i="9"/>
  <c r="L28" i="9"/>
  <c r="F28" i="9"/>
  <c r="B28" i="9"/>
  <c r="Z27" i="9"/>
  <c r="X27" i="9"/>
  <c r="R27" i="9"/>
  <c r="L27" i="9"/>
  <c r="N27" i="9" s="1"/>
  <c r="B27" i="9"/>
  <c r="X26" i="9"/>
  <c r="Z26" i="9" s="1"/>
  <c r="N26" i="9"/>
  <c r="L26" i="9"/>
  <c r="J26" i="9"/>
  <c r="B26" i="9"/>
  <c r="X25" i="9"/>
  <c r="Z25" i="9" s="1"/>
  <c r="N25" i="9"/>
  <c r="L25" i="9"/>
  <c r="B25" i="9"/>
  <c r="Z24" i="9"/>
  <c r="X24" i="9"/>
  <c r="L24" i="9"/>
  <c r="N24" i="9" s="1"/>
  <c r="F24" i="9"/>
  <c r="B24" i="9"/>
  <c r="Z23" i="9"/>
  <c r="X23" i="9"/>
  <c r="R23" i="9"/>
  <c r="L23" i="9"/>
  <c r="N23" i="9" s="1"/>
  <c r="B23" i="9"/>
  <c r="X22" i="9"/>
  <c r="Z22" i="9" s="1"/>
  <c r="N22" i="9"/>
  <c r="L22" i="9"/>
  <c r="J22" i="9"/>
  <c r="B22" i="9"/>
  <c r="X21" i="9"/>
  <c r="Z21" i="9" s="1"/>
  <c r="N21" i="9"/>
  <c r="L21" i="9"/>
  <c r="B21" i="9"/>
  <c r="Z20" i="9"/>
  <c r="X20" i="9"/>
  <c r="L20" i="9"/>
  <c r="N20" i="9" s="1"/>
  <c r="F20" i="9"/>
  <c r="B20" i="9"/>
  <c r="T19" i="9"/>
  <c r="P19" i="9"/>
  <c r="X19" i="9" s="1"/>
  <c r="H19" i="9"/>
  <c r="N19" i="9" s="1"/>
  <c r="F19" i="9"/>
  <c r="D19" i="9"/>
  <c r="L19" i="9" s="1"/>
  <c r="B19" i="9"/>
  <c r="V18" i="9"/>
  <c r="T18" i="9"/>
  <c r="Z18" i="9" s="1"/>
  <c r="R18" i="9"/>
  <c r="P18" i="9"/>
  <c r="X18" i="9" s="1"/>
  <c r="H18" i="9"/>
  <c r="F18" i="9"/>
  <c r="D18" i="9"/>
  <c r="L18" i="9" s="1"/>
  <c r="V16" i="9"/>
  <c r="R16" i="9"/>
  <c r="F16" i="9"/>
  <c r="V14" i="9"/>
  <c r="T14" i="9"/>
  <c r="Z14" i="9" s="1"/>
  <c r="R14" i="9"/>
  <c r="P14" i="9"/>
  <c r="P16" i="9" s="1"/>
  <c r="H14" i="9"/>
  <c r="N14" i="9" s="1"/>
  <c r="F14" i="9"/>
  <c r="D14" i="9"/>
  <c r="L14" i="9" s="1"/>
  <c r="T12" i="9"/>
  <c r="V66" i="9" s="1"/>
  <c r="P12" i="9"/>
  <c r="R78" i="9" s="1"/>
  <c r="N12" i="9"/>
  <c r="L12" i="9"/>
  <c r="H12" i="9"/>
  <c r="J71" i="9" s="1"/>
  <c r="D12" i="9"/>
  <c r="F70" i="9" s="1"/>
  <c r="D4" i="9"/>
  <c r="F31" i="6"/>
  <c r="T29" i="6"/>
  <c r="P29" i="6"/>
  <c r="H29" i="6"/>
  <c r="F29" i="6"/>
  <c r="D29" i="6"/>
  <c r="L29" i="6" s="1"/>
  <c r="N29" i="6" s="1"/>
  <c r="T28" i="6"/>
  <c r="P28" i="6"/>
  <c r="H28" i="6"/>
  <c r="F28" i="6"/>
  <c r="D28" i="6"/>
  <c r="L28" i="6" s="1"/>
  <c r="N28" i="6" s="1"/>
  <c r="J26" i="6"/>
  <c r="F26" i="6"/>
  <c r="Z24" i="6"/>
  <c r="X24" i="6"/>
  <c r="R24" i="6"/>
  <c r="N24" i="6"/>
  <c r="L24" i="6"/>
  <c r="J24" i="6"/>
  <c r="V22" i="6"/>
  <c r="J22" i="6"/>
  <c r="T20" i="6"/>
  <c r="Z20" i="6" s="1"/>
  <c r="P20" i="6"/>
  <c r="L20" i="6"/>
  <c r="J20" i="6"/>
  <c r="H20" i="6"/>
  <c r="N20" i="6" s="1"/>
  <c r="D20" i="6"/>
  <c r="V18" i="6"/>
  <c r="T18" i="6"/>
  <c r="Z18" i="6" s="1"/>
  <c r="P18" i="6"/>
  <c r="L18" i="6"/>
  <c r="J18" i="6"/>
  <c r="H18" i="6"/>
  <c r="N18" i="6" s="1"/>
  <c r="D18" i="6"/>
  <c r="V16" i="6"/>
  <c r="J16" i="6"/>
  <c r="V14" i="6"/>
  <c r="T14" i="6"/>
  <c r="Z14" i="6" s="1"/>
  <c r="P14" i="6"/>
  <c r="L14" i="6"/>
  <c r="J14" i="6"/>
  <c r="H14" i="6"/>
  <c r="H16" i="6" s="1"/>
  <c r="D14" i="6"/>
  <c r="T12" i="6"/>
  <c r="P12" i="6"/>
  <c r="R31" i="6" s="1"/>
  <c r="N12" i="6"/>
  <c r="H12" i="6"/>
  <c r="J31" i="6" s="1"/>
  <c r="D12" i="6"/>
  <c r="D4" i="6"/>
  <c r="T278" i="3"/>
  <c r="P278" i="3"/>
  <c r="H278" i="3"/>
  <c r="N278" i="3" s="1"/>
  <c r="D278" i="3"/>
  <c r="L278" i="3" s="1"/>
  <c r="T277" i="3"/>
  <c r="P277" i="3"/>
  <c r="H277" i="3"/>
  <c r="D277" i="3"/>
  <c r="L277" i="3" s="1"/>
  <c r="Z273" i="3"/>
  <c r="X273" i="3"/>
  <c r="N273" i="3"/>
  <c r="L273" i="3"/>
  <c r="Z269" i="3"/>
  <c r="X269" i="3"/>
  <c r="T269" i="3"/>
  <c r="P269" i="3"/>
  <c r="L269" i="3"/>
  <c r="H269" i="3"/>
  <c r="D269" i="3"/>
  <c r="B269" i="3"/>
  <c r="Z268" i="3"/>
  <c r="X268" i="3"/>
  <c r="T268" i="3"/>
  <c r="P268" i="3"/>
  <c r="N268" i="3"/>
  <c r="H268" i="3"/>
  <c r="D268" i="3"/>
  <c r="L268" i="3" s="1"/>
  <c r="B268" i="3"/>
  <c r="T267" i="3"/>
  <c r="P267" i="3"/>
  <c r="X267" i="3" s="1"/>
  <c r="Z267" i="3" s="1"/>
  <c r="N267" i="3"/>
  <c r="L267" i="3"/>
  <c r="H267" i="3"/>
  <c r="D267" i="3"/>
  <c r="B267" i="3"/>
  <c r="Z266" i="3"/>
  <c r="T266" i="3"/>
  <c r="P266" i="3"/>
  <c r="X266" i="3" s="1"/>
  <c r="H266" i="3"/>
  <c r="N266" i="3" s="1"/>
  <c r="D266" i="3"/>
  <c r="B266" i="3"/>
  <c r="T265" i="3"/>
  <c r="P265" i="3"/>
  <c r="H265" i="3"/>
  <c r="N265" i="3" s="1"/>
  <c r="D265" i="3"/>
  <c r="L265" i="3" s="1"/>
  <c r="B265" i="3"/>
  <c r="T264" i="3"/>
  <c r="P264" i="3"/>
  <c r="L264" i="3"/>
  <c r="H264" i="3"/>
  <c r="D264" i="3"/>
  <c r="B264" i="3"/>
  <c r="X263" i="3"/>
  <c r="T263" i="3"/>
  <c r="P263" i="3"/>
  <c r="N263" i="3"/>
  <c r="L263" i="3"/>
  <c r="H263" i="3"/>
  <c r="D263" i="3"/>
  <c r="B263" i="3"/>
  <c r="Z262" i="3"/>
  <c r="T262" i="3"/>
  <c r="P262" i="3"/>
  <c r="X262" i="3" s="1"/>
  <c r="L262" i="3"/>
  <c r="N262" i="3" s="1"/>
  <c r="H262" i="3"/>
  <c r="D262" i="3"/>
  <c r="B262" i="3"/>
  <c r="Z261" i="3"/>
  <c r="X261" i="3"/>
  <c r="T261" i="3"/>
  <c r="P261" i="3"/>
  <c r="H261" i="3"/>
  <c r="D261" i="3"/>
  <c r="L261" i="3" s="1"/>
  <c r="N261" i="3" s="1"/>
  <c r="B261" i="3"/>
  <c r="T260" i="3"/>
  <c r="P260" i="3"/>
  <c r="P259" i="3" s="1"/>
  <c r="H260" i="3"/>
  <c r="D260" i="3"/>
  <c r="B260" i="3"/>
  <c r="Z257" i="3"/>
  <c r="X257" i="3"/>
  <c r="N257" i="3"/>
  <c r="L257" i="3"/>
  <c r="B257" i="3"/>
  <c r="T256" i="3"/>
  <c r="P256" i="3"/>
  <c r="X256" i="3" s="1"/>
  <c r="Z256" i="3" s="1"/>
  <c r="N256" i="3"/>
  <c r="L256" i="3"/>
  <c r="H256" i="3"/>
  <c r="D256" i="3"/>
  <c r="B256" i="3"/>
  <c r="Z255" i="3"/>
  <c r="X255" i="3"/>
  <c r="N255" i="3"/>
  <c r="L255" i="3"/>
  <c r="B255" i="3"/>
  <c r="X254" i="3"/>
  <c r="Z254" i="3" s="1"/>
  <c r="N254" i="3"/>
  <c r="L254" i="3"/>
  <c r="B254" i="3"/>
  <c r="Z253" i="3"/>
  <c r="X253" i="3"/>
  <c r="L253" i="3"/>
  <c r="N253" i="3" s="1"/>
  <c r="B253" i="3"/>
  <c r="X252" i="3"/>
  <c r="T252" i="3"/>
  <c r="P252" i="3"/>
  <c r="H252" i="3"/>
  <c r="D252" i="3"/>
  <c r="B252" i="3"/>
  <c r="Z251" i="3"/>
  <c r="X251" i="3"/>
  <c r="N251" i="3"/>
  <c r="L251" i="3"/>
  <c r="B251" i="3"/>
  <c r="T250" i="3"/>
  <c r="P250" i="3"/>
  <c r="X250" i="3" s="1"/>
  <c r="H250" i="3"/>
  <c r="D250" i="3"/>
  <c r="L250" i="3" s="1"/>
  <c r="N250" i="3" s="1"/>
  <c r="B250" i="3"/>
  <c r="Z249" i="3"/>
  <c r="X249" i="3"/>
  <c r="N249" i="3"/>
  <c r="L249" i="3"/>
  <c r="B249" i="3"/>
  <c r="X248" i="3"/>
  <c r="Z248" i="3" s="1"/>
  <c r="L248" i="3"/>
  <c r="N248" i="3" s="1"/>
  <c r="B248" i="3"/>
  <c r="T247" i="3"/>
  <c r="P247" i="3"/>
  <c r="X247" i="3" s="1"/>
  <c r="H247" i="3"/>
  <c r="N247" i="3" s="1"/>
  <c r="D247" i="3"/>
  <c r="L247" i="3" s="1"/>
  <c r="B247" i="3"/>
  <c r="X246" i="3"/>
  <c r="Z246" i="3" s="1"/>
  <c r="N246" i="3"/>
  <c r="L246" i="3"/>
  <c r="B246" i="3"/>
  <c r="X245" i="3"/>
  <c r="Z245" i="3" s="1"/>
  <c r="L245" i="3"/>
  <c r="N245" i="3" s="1"/>
  <c r="B245" i="3"/>
  <c r="X244" i="3"/>
  <c r="Z244" i="3" s="1"/>
  <c r="N244" i="3"/>
  <c r="L244" i="3"/>
  <c r="B244" i="3"/>
  <c r="X243" i="3"/>
  <c r="Z243" i="3" s="1"/>
  <c r="N243" i="3"/>
  <c r="L243" i="3"/>
  <c r="B243" i="3"/>
  <c r="X242" i="3"/>
  <c r="Z242" i="3" s="1"/>
  <c r="N242" i="3"/>
  <c r="L242" i="3"/>
  <c r="B242" i="3"/>
  <c r="X241" i="3"/>
  <c r="Z241" i="3" s="1"/>
  <c r="L241" i="3"/>
  <c r="N241" i="3" s="1"/>
  <c r="B241" i="3"/>
  <c r="X240" i="3"/>
  <c r="Z240" i="3" s="1"/>
  <c r="N240" i="3"/>
  <c r="L240" i="3"/>
  <c r="B240" i="3"/>
  <c r="Z239" i="3"/>
  <c r="X239" i="3"/>
  <c r="N239" i="3"/>
  <c r="L239" i="3"/>
  <c r="B239" i="3"/>
  <c r="X238" i="3"/>
  <c r="Z238" i="3" s="1"/>
  <c r="N238" i="3"/>
  <c r="L238" i="3"/>
  <c r="B238" i="3"/>
  <c r="X237" i="3"/>
  <c r="Z237" i="3" s="1"/>
  <c r="T237" i="3"/>
  <c r="P237" i="3"/>
  <c r="H237" i="3"/>
  <c r="D237" i="3"/>
  <c r="L237" i="3" s="1"/>
  <c r="N237" i="3" s="1"/>
  <c r="B237" i="3"/>
  <c r="Z236" i="3"/>
  <c r="X236" i="3"/>
  <c r="L236" i="3"/>
  <c r="N236" i="3" s="1"/>
  <c r="B236" i="3"/>
  <c r="Z235" i="3"/>
  <c r="X235" i="3"/>
  <c r="N235" i="3"/>
  <c r="L235" i="3"/>
  <c r="B235" i="3"/>
  <c r="T234" i="3"/>
  <c r="P234" i="3"/>
  <c r="N234" i="3"/>
  <c r="H234" i="3"/>
  <c r="D234" i="3"/>
  <c r="L234" i="3" s="1"/>
  <c r="B234" i="3"/>
  <c r="Z233" i="3"/>
  <c r="X233" i="3"/>
  <c r="N233" i="3"/>
  <c r="L233" i="3"/>
  <c r="B233" i="3"/>
  <c r="Z232" i="3"/>
  <c r="X232" i="3"/>
  <c r="L232" i="3"/>
  <c r="N232" i="3" s="1"/>
  <c r="B232" i="3"/>
  <c r="Z231" i="3"/>
  <c r="X231" i="3"/>
  <c r="N231" i="3"/>
  <c r="L231" i="3"/>
  <c r="B231" i="3"/>
  <c r="X230" i="3"/>
  <c r="Z230" i="3" s="1"/>
  <c r="L230" i="3"/>
  <c r="N230" i="3" s="1"/>
  <c r="B230" i="3"/>
  <c r="Z229" i="3"/>
  <c r="X229" i="3"/>
  <c r="N229" i="3"/>
  <c r="L229" i="3"/>
  <c r="B229" i="3"/>
  <c r="X228" i="3"/>
  <c r="Z228" i="3" s="1"/>
  <c r="T228" i="3"/>
  <c r="P228" i="3"/>
  <c r="L228" i="3"/>
  <c r="N228" i="3" s="1"/>
  <c r="H228" i="3"/>
  <c r="D228" i="3"/>
  <c r="B228" i="3"/>
  <c r="Z227" i="3"/>
  <c r="X227" i="3"/>
  <c r="N227" i="3"/>
  <c r="L227" i="3"/>
  <c r="B227" i="3"/>
  <c r="X226" i="3"/>
  <c r="Z226" i="3" s="1"/>
  <c r="N226" i="3"/>
  <c r="L226" i="3"/>
  <c r="B226" i="3"/>
  <c r="Z225" i="3"/>
  <c r="X225" i="3"/>
  <c r="L225" i="3"/>
  <c r="N225" i="3" s="1"/>
  <c r="B225" i="3"/>
  <c r="T224" i="3"/>
  <c r="P224" i="3"/>
  <c r="H224" i="3"/>
  <c r="D224" i="3"/>
  <c r="L224" i="3" s="1"/>
  <c r="B224" i="3"/>
  <c r="X223" i="3"/>
  <c r="Z223" i="3" s="1"/>
  <c r="N223" i="3"/>
  <c r="L223" i="3"/>
  <c r="B223" i="3"/>
  <c r="Z222" i="3"/>
  <c r="X222" i="3"/>
  <c r="N222" i="3"/>
  <c r="L222" i="3"/>
  <c r="B222" i="3"/>
  <c r="X221" i="3"/>
  <c r="Z221" i="3" s="1"/>
  <c r="N221" i="3"/>
  <c r="L221" i="3"/>
  <c r="B221" i="3"/>
  <c r="T220" i="3"/>
  <c r="Z220" i="3" s="1"/>
  <c r="P220" i="3"/>
  <c r="X220" i="3" s="1"/>
  <c r="L220" i="3"/>
  <c r="H220" i="3"/>
  <c r="N220" i="3" s="1"/>
  <c r="D220" i="3"/>
  <c r="B220" i="3"/>
  <c r="Z219" i="3"/>
  <c r="X219" i="3"/>
  <c r="L219" i="3"/>
  <c r="N219" i="3" s="1"/>
  <c r="B219" i="3"/>
  <c r="T218" i="3"/>
  <c r="P218" i="3"/>
  <c r="H218" i="3"/>
  <c r="D218" i="3"/>
  <c r="L218" i="3" s="1"/>
  <c r="N218" i="3" s="1"/>
  <c r="B218" i="3"/>
  <c r="Z217" i="3"/>
  <c r="X217" i="3"/>
  <c r="L217" i="3"/>
  <c r="N217" i="3" s="1"/>
  <c r="B217" i="3"/>
  <c r="T216" i="3"/>
  <c r="P216" i="3"/>
  <c r="X216" i="3" s="1"/>
  <c r="L216" i="3"/>
  <c r="H216" i="3"/>
  <c r="D216" i="3"/>
  <c r="B216" i="3"/>
  <c r="Z215" i="3"/>
  <c r="X215" i="3"/>
  <c r="L215" i="3"/>
  <c r="N215" i="3" s="1"/>
  <c r="B215" i="3"/>
  <c r="T214" i="3"/>
  <c r="X214" i="3" s="1"/>
  <c r="Z214" i="3" s="1"/>
  <c r="P214" i="3"/>
  <c r="H214" i="3"/>
  <c r="L214" i="3" s="1"/>
  <c r="N214" i="3" s="1"/>
  <c r="D214" i="3"/>
  <c r="B214" i="3"/>
  <c r="Z213" i="3"/>
  <c r="X213" i="3"/>
  <c r="L213" i="3"/>
  <c r="N213" i="3" s="1"/>
  <c r="B213" i="3"/>
  <c r="T212" i="3"/>
  <c r="P212" i="3"/>
  <c r="X212" i="3" s="1"/>
  <c r="Z212" i="3" s="1"/>
  <c r="H212" i="3"/>
  <c r="D212" i="3"/>
  <c r="L212" i="3" s="1"/>
  <c r="N212" i="3" s="1"/>
  <c r="B212" i="3"/>
  <c r="X211" i="3"/>
  <c r="Z211" i="3" s="1"/>
  <c r="N211" i="3"/>
  <c r="L211" i="3"/>
  <c r="B211" i="3"/>
  <c r="Z210" i="3"/>
  <c r="X210" i="3"/>
  <c r="T210" i="3"/>
  <c r="P210" i="3"/>
  <c r="L210" i="3"/>
  <c r="N210" i="3" s="1"/>
  <c r="H210" i="3"/>
  <c r="D210" i="3"/>
  <c r="B210" i="3"/>
  <c r="Z209" i="3"/>
  <c r="X209" i="3"/>
  <c r="N209" i="3"/>
  <c r="L209" i="3"/>
  <c r="B209" i="3"/>
  <c r="T208" i="3"/>
  <c r="X208" i="3" s="1"/>
  <c r="Z208" i="3" s="1"/>
  <c r="P208" i="3"/>
  <c r="H208" i="3"/>
  <c r="L208" i="3" s="1"/>
  <c r="N208" i="3" s="1"/>
  <c r="D208" i="3"/>
  <c r="B208" i="3"/>
  <c r="X207" i="3"/>
  <c r="Z207" i="3" s="1"/>
  <c r="L207" i="3"/>
  <c r="N207" i="3" s="1"/>
  <c r="B207" i="3"/>
  <c r="T206" i="3"/>
  <c r="P206" i="3"/>
  <c r="X206" i="3" s="1"/>
  <c r="Z206" i="3" s="1"/>
  <c r="H206" i="3"/>
  <c r="D206" i="3"/>
  <c r="L206" i="3" s="1"/>
  <c r="N206" i="3" s="1"/>
  <c r="B206" i="3"/>
  <c r="X205" i="3"/>
  <c r="Z205" i="3" s="1"/>
  <c r="N205" i="3"/>
  <c r="L205" i="3"/>
  <c r="B205" i="3"/>
  <c r="X204" i="3"/>
  <c r="Z204" i="3" s="1"/>
  <c r="N204" i="3"/>
  <c r="L204" i="3"/>
  <c r="B204" i="3"/>
  <c r="X203" i="3"/>
  <c r="T203" i="3"/>
  <c r="Z203" i="3" s="1"/>
  <c r="P203" i="3"/>
  <c r="L203" i="3"/>
  <c r="H203" i="3"/>
  <c r="N203" i="3" s="1"/>
  <c r="D203" i="3"/>
  <c r="B203" i="3"/>
  <c r="Z202" i="3"/>
  <c r="X202" i="3"/>
  <c r="N202" i="3"/>
  <c r="L202" i="3"/>
  <c r="B202" i="3"/>
  <c r="T201" i="3"/>
  <c r="P201" i="3"/>
  <c r="H201" i="3"/>
  <c r="D201" i="3"/>
  <c r="L201" i="3" s="1"/>
  <c r="B201" i="3"/>
  <c r="Z200" i="3"/>
  <c r="X200" i="3"/>
  <c r="L200" i="3"/>
  <c r="N200" i="3" s="1"/>
  <c r="B200" i="3"/>
  <c r="T199" i="3"/>
  <c r="P199" i="3"/>
  <c r="X199" i="3" s="1"/>
  <c r="H199" i="3"/>
  <c r="D199" i="3"/>
  <c r="L199" i="3" s="1"/>
  <c r="B199" i="3"/>
  <c r="Z198" i="3"/>
  <c r="X198" i="3"/>
  <c r="N198" i="3"/>
  <c r="L198" i="3"/>
  <c r="B198" i="3"/>
  <c r="X197" i="3"/>
  <c r="T197" i="3"/>
  <c r="Z197" i="3" s="1"/>
  <c r="P197" i="3"/>
  <c r="L197" i="3"/>
  <c r="H197" i="3"/>
  <c r="N197" i="3" s="1"/>
  <c r="D197" i="3"/>
  <c r="B197" i="3"/>
  <c r="Z196" i="3"/>
  <c r="X196" i="3"/>
  <c r="N196" i="3"/>
  <c r="L196" i="3"/>
  <c r="B196" i="3"/>
  <c r="Z195" i="3"/>
  <c r="X195" i="3"/>
  <c r="L195" i="3"/>
  <c r="N195" i="3" s="1"/>
  <c r="B195" i="3"/>
  <c r="T194" i="3"/>
  <c r="X194" i="3" s="1"/>
  <c r="Z194" i="3" s="1"/>
  <c r="P194" i="3"/>
  <c r="H194" i="3"/>
  <c r="L194" i="3" s="1"/>
  <c r="N194" i="3" s="1"/>
  <c r="D194" i="3"/>
  <c r="B194" i="3"/>
  <c r="Z193" i="3"/>
  <c r="X193" i="3"/>
  <c r="L193" i="3"/>
  <c r="N193" i="3" s="1"/>
  <c r="B193" i="3"/>
  <c r="Z192" i="3"/>
  <c r="X192" i="3"/>
  <c r="L192" i="3"/>
  <c r="N192" i="3" s="1"/>
  <c r="B192" i="3"/>
  <c r="X191" i="3"/>
  <c r="Z191" i="3" s="1"/>
  <c r="L191" i="3"/>
  <c r="N191" i="3" s="1"/>
  <c r="B191" i="3"/>
  <c r="T190" i="3"/>
  <c r="P190" i="3"/>
  <c r="X190" i="3" s="1"/>
  <c r="Z190" i="3" s="1"/>
  <c r="H190" i="3"/>
  <c r="D190" i="3"/>
  <c r="L190" i="3" s="1"/>
  <c r="N190" i="3" s="1"/>
  <c r="B190" i="3"/>
  <c r="X189" i="3"/>
  <c r="Z189" i="3" s="1"/>
  <c r="N189" i="3"/>
  <c r="L189" i="3"/>
  <c r="B189" i="3"/>
  <c r="X188" i="3"/>
  <c r="Z188" i="3" s="1"/>
  <c r="T188" i="3"/>
  <c r="P188" i="3"/>
  <c r="N188" i="3"/>
  <c r="L188" i="3"/>
  <c r="H188" i="3"/>
  <c r="D188" i="3"/>
  <c r="B188" i="3"/>
  <c r="Z187" i="3"/>
  <c r="X187" i="3"/>
  <c r="L187" i="3"/>
  <c r="N187" i="3" s="1"/>
  <c r="B187" i="3"/>
  <c r="T186" i="3"/>
  <c r="X186" i="3" s="1"/>
  <c r="Z186" i="3" s="1"/>
  <c r="P186" i="3"/>
  <c r="H186" i="3"/>
  <c r="L186" i="3" s="1"/>
  <c r="N186" i="3" s="1"/>
  <c r="D186" i="3"/>
  <c r="B186" i="3"/>
  <c r="Z185" i="3"/>
  <c r="X185" i="3"/>
  <c r="L185" i="3"/>
  <c r="N185" i="3" s="1"/>
  <c r="B185" i="3"/>
  <c r="T184" i="3"/>
  <c r="P184" i="3"/>
  <c r="X184" i="3" s="1"/>
  <c r="H184" i="3"/>
  <c r="D184" i="3"/>
  <c r="L184" i="3" s="1"/>
  <c r="N184" i="3" s="1"/>
  <c r="B184" i="3"/>
  <c r="X183" i="3"/>
  <c r="Z183" i="3" s="1"/>
  <c r="N183" i="3"/>
  <c r="L183" i="3"/>
  <c r="B183" i="3"/>
  <c r="Z182" i="3"/>
  <c r="X182" i="3"/>
  <c r="N182" i="3"/>
  <c r="L182" i="3"/>
  <c r="B182" i="3"/>
  <c r="X181" i="3"/>
  <c r="Z181" i="3" s="1"/>
  <c r="N181" i="3"/>
  <c r="L181" i="3"/>
  <c r="B181" i="3"/>
  <c r="X180" i="3"/>
  <c r="Z180" i="3" s="1"/>
  <c r="N180" i="3"/>
  <c r="L180" i="3"/>
  <c r="B180" i="3"/>
  <c r="X179" i="3"/>
  <c r="Z179" i="3" s="1"/>
  <c r="N179" i="3"/>
  <c r="L179" i="3"/>
  <c r="B179" i="3"/>
  <c r="Z178" i="3"/>
  <c r="X178" i="3"/>
  <c r="N178" i="3"/>
  <c r="L178" i="3"/>
  <c r="B178" i="3"/>
  <c r="X177" i="3"/>
  <c r="Z177" i="3" s="1"/>
  <c r="N177" i="3"/>
  <c r="L177" i="3"/>
  <c r="B177" i="3"/>
  <c r="X176" i="3"/>
  <c r="Z176" i="3" s="1"/>
  <c r="T176" i="3"/>
  <c r="P176" i="3"/>
  <c r="N176" i="3"/>
  <c r="L176" i="3"/>
  <c r="H176" i="3"/>
  <c r="D176" i="3"/>
  <c r="B176" i="3"/>
  <c r="Z175" i="3"/>
  <c r="X175" i="3"/>
  <c r="L175" i="3"/>
  <c r="N175" i="3" s="1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N168" i="3"/>
  <c r="L168" i="3"/>
  <c r="B168" i="3"/>
  <c r="Z167" i="3"/>
  <c r="X167" i="3"/>
  <c r="L167" i="3"/>
  <c r="N167" i="3" s="1"/>
  <c r="B167" i="3"/>
  <c r="Z166" i="3"/>
  <c r="X166" i="3"/>
  <c r="N166" i="3"/>
  <c r="L166" i="3"/>
  <c r="B166" i="3"/>
  <c r="T165" i="3"/>
  <c r="P165" i="3"/>
  <c r="H165" i="3"/>
  <c r="N165" i="3" s="1"/>
  <c r="D165" i="3"/>
  <c r="L165" i="3" s="1"/>
  <c r="B165" i="3"/>
  <c r="T164" i="3"/>
  <c r="P164" i="3"/>
  <c r="X164" i="3" s="1"/>
  <c r="H164" i="3"/>
  <c r="D164" i="3"/>
  <c r="L164" i="3" s="1"/>
  <c r="Z160" i="3"/>
  <c r="X160" i="3"/>
  <c r="L160" i="3"/>
  <c r="N160" i="3" s="1"/>
  <c r="B160" i="3"/>
  <c r="X159" i="3"/>
  <c r="Z159" i="3" s="1"/>
  <c r="L159" i="3"/>
  <c r="N159" i="3" s="1"/>
  <c r="B159" i="3"/>
  <c r="Z158" i="3"/>
  <c r="X158" i="3"/>
  <c r="L158" i="3"/>
  <c r="N158" i="3" s="1"/>
  <c r="B158" i="3"/>
  <c r="Z157" i="3"/>
  <c r="X157" i="3"/>
  <c r="L157" i="3"/>
  <c r="N157" i="3" s="1"/>
  <c r="B157" i="3"/>
  <c r="Z156" i="3"/>
  <c r="X156" i="3"/>
  <c r="L156" i="3"/>
  <c r="N156" i="3" s="1"/>
  <c r="B156" i="3"/>
  <c r="X155" i="3"/>
  <c r="Z155" i="3" s="1"/>
  <c r="L155" i="3"/>
  <c r="N155" i="3" s="1"/>
  <c r="B155" i="3"/>
  <c r="Z154" i="3"/>
  <c r="X154" i="3"/>
  <c r="L154" i="3"/>
  <c r="N154" i="3" s="1"/>
  <c r="B154" i="3"/>
  <c r="Z153" i="3"/>
  <c r="X153" i="3"/>
  <c r="L153" i="3"/>
  <c r="N153" i="3" s="1"/>
  <c r="B153" i="3"/>
  <c r="Z152" i="3"/>
  <c r="X152" i="3"/>
  <c r="L152" i="3"/>
  <c r="N152" i="3" s="1"/>
  <c r="B152" i="3"/>
  <c r="X151" i="3"/>
  <c r="Z151" i="3" s="1"/>
  <c r="L151" i="3"/>
  <c r="N151" i="3" s="1"/>
  <c r="B151" i="3"/>
  <c r="Z150" i="3"/>
  <c r="X150" i="3"/>
  <c r="L150" i="3"/>
  <c r="N150" i="3" s="1"/>
  <c r="B150" i="3"/>
  <c r="Z149" i="3"/>
  <c r="X149" i="3"/>
  <c r="L149" i="3"/>
  <c r="N149" i="3" s="1"/>
  <c r="B149" i="3"/>
  <c r="Z148" i="3"/>
  <c r="X148" i="3"/>
  <c r="L148" i="3"/>
  <c r="N148" i="3" s="1"/>
  <c r="B148" i="3"/>
  <c r="X147" i="3"/>
  <c r="Z147" i="3" s="1"/>
  <c r="L147" i="3"/>
  <c r="N147" i="3" s="1"/>
  <c r="B147" i="3"/>
  <c r="Z146" i="3"/>
  <c r="X146" i="3"/>
  <c r="L146" i="3"/>
  <c r="N146" i="3" s="1"/>
  <c r="B146" i="3"/>
  <c r="Z145" i="3"/>
  <c r="X145" i="3"/>
  <c r="N145" i="3"/>
  <c r="L145" i="3"/>
  <c r="B145" i="3"/>
  <c r="Z144" i="3"/>
  <c r="X144" i="3"/>
  <c r="L144" i="3"/>
  <c r="N144" i="3" s="1"/>
  <c r="B144" i="3"/>
  <c r="X143" i="3"/>
  <c r="Z143" i="3" s="1"/>
  <c r="L143" i="3"/>
  <c r="N143" i="3" s="1"/>
  <c r="B143" i="3"/>
  <c r="Z142" i="3"/>
  <c r="X142" i="3"/>
  <c r="L142" i="3"/>
  <c r="N142" i="3" s="1"/>
  <c r="B142" i="3"/>
  <c r="Z141" i="3"/>
  <c r="X141" i="3"/>
  <c r="N141" i="3"/>
  <c r="L141" i="3"/>
  <c r="B141" i="3"/>
  <c r="Z140" i="3"/>
  <c r="X140" i="3"/>
  <c r="L140" i="3"/>
  <c r="N140" i="3" s="1"/>
  <c r="B140" i="3"/>
  <c r="X139" i="3"/>
  <c r="Z139" i="3" s="1"/>
  <c r="L139" i="3"/>
  <c r="N139" i="3" s="1"/>
  <c r="B139" i="3"/>
  <c r="Z138" i="3"/>
  <c r="X138" i="3"/>
  <c r="L138" i="3"/>
  <c r="N138" i="3" s="1"/>
  <c r="B138" i="3"/>
  <c r="Z137" i="3"/>
  <c r="X137" i="3"/>
  <c r="L137" i="3"/>
  <c r="N137" i="3" s="1"/>
  <c r="B137" i="3"/>
  <c r="Z136" i="3"/>
  <c r="X136" i="3"/>
  <c r="L136" i="3"/>
  <c r="N136" i="3" s="1"/>
  <c r="B136" i="3"/>
  <c r="X135" i="3"/>
  <c r="Z135" i="3" s="1"/>
  <c r="L135" i="3"/>
  <c r="N135" i="3" s="1"/>
  <c r="B135" i="3"/>
  <c r="Z134" i="3"/>
  <c r="X134" i="3"/>
  <c r="L134" i="3"/>
  <c r="N134" i="3" s="1"/>
  <c r="B134" i="3"/>
  <c r="Z133" i="3"/>
  <c r="X133" i="3"/>
  <c r="L133" i="3"/>
  <c r="N133" i="3" s="1"/>
  <c r="B133" i="3"/>
  <c r="Z132" i="3"/>
  <c r="X132" i="3"/>
  <c r="L132" i="3"/>
  <c r="N132" i="3" s="1"/>
  <c r="B132" i="3"/>
  <c r="X131" i="3"/>
  <c r="Z131" i="3" s="1"/>
  <c r="L131" i="3"/>
  <c r="N131" i="3" s="1"/>
  <c r="B131" i="3"/>
  <c r="Z130" i="3"/>
  <c r="X130" i="3"/>
  <c r="L130" i="3"/>
  <c r="N130" i="3" s="1"/>
  <c r="B130" i="3"/>
  <c r="Z129" i="3"/>
  <c r="X129" i="3"/>
  <c r="L129" i="3"/>
  <c r="N129" i="3" s="1"/>
  <c r="B129" i="3"/>
  <c r="Z128" i="3"/>
  <c r="X128" i="3"/>
  <c r="L128" i="3"/>
  <c r="N128" i="3" s="1"/>
  <c r="B128" i="3"/>
  <c r="X127" i="3"/>
  <c r="Z127" i="3" s="1"/>
  <c r="L127" i="3"/>
  <c r="N127" i="3" s="1"/>
  <c r="B127" i="3"/>
  <c r="Z126" i="3"/>
  <c r="X126" i="3"/>
  <c r="L126" i="3"/>
  <c r="N126" i="3" s="1"/>
  <c r="B126" i="3"/>
  <c r="Z125" i="3"/>
  <c r="X125" i="3"/>
  <c r="L125" i="3"/>
  <c r="N125" i="3" s="1"/>
  <c r="B125" i="3"/>
  <c r="Z124" i="3"/>
  <c r="X124" i="3"/>
  <c r="L124" i="3"/>
  <c r="N124" i="3" s="1"/>
  <c r="B124" i="3"/>
  <c r="X123" i="3"/>
  <c r="Z123" i="3" s="1"/>
  <c r="L123" i="3"/>
  <c r="N123" i="3" s="1"/>
  <c r="B123" i="3"/>
  <c r="Z122" i="3"/>
  <c r="X122" i="3"/>
  <c r="L122" i="3"/>
  <c r="N122" i="3" s="1"/>
  <c r="B122" i="3"/>
  <c r="Z121" i="3"/>
  <c r="X121" i="3"/>
  <c r="L121" i="3"/>
  <c r="N121" i="3" s="1"/>
  <c r="B121" i="3"/>
  <c r="Z120" i="3"/>
  <c r="X120" i="3"/>
  <c r="L120" i="3"/>
  <c r="N120" i="3" s="1"/>
  <c r="B120" i="3"/>
  <c r="X119" i="3"/>
  <c r="Z119" i="3" s="1"/>
  <c r="L119" i="3"/>
  <c r="N119" i="3" s="1"/>
  <c r="B119" i="3"/>
  <c r="Z118" i="3"/>
  <c r="X118" i="3"/>
  <c r="L118" i="3"/>
  <c r="N118" i="3" s="1"/>
  <c r="B118" i="3"/>
  <c r="Z117" i="3"/>
  <c r="X117" i="3"/>
  <c r="L117" i="3"/>
  <c r="N117" i="3" s="1"/>
  <c r="B117" i="3"/>
  <c r="Z116" i="3"/>
  <c r="X116" i="3"/>
  <c r="L116" i="3"/>
  <c r="N116" i="3" s="1"/>
  <c r="B116" i="3"/>
  <c r="X115" i="3"/>
  <c r="Z115" i="3" s="1"/>
  <c r="L115" i="3"/>
  <c r="N115" i="3" s="1"/>
  <c r="B115" i="3"/>
  <c r="T114" i="3"/>
  <c r="P114" i="3"/>
  <c r="X114" i="3" s="1"/>
  <c r="H114" i="3"/>
  <c r="D114" i="3"/>
  <c r="L114" i="3" s="1"/>
  <c r="T112" i="3"/>
  <c r="Z112" i="3" s="1"/>
  <c r="P112" i="3"/>
  <c r="X112" i="3" s="1"/>
  <c r="N112" i="3"/>
  <c r="L112" i="3"/>
  <c r="H112" i="3"/>
  <c r="D112" i="3"/>
  <c r="B112" i="3"/>
  <c r="T111" i="3"/>
  <c r="Z111" i="3" s="1"/>
  <c r="P111" i="3"/>
  <c r="X111" i="3" s="1"/>
  <c r="L111" i="3"/>
  <c r="H111" i="3"/>
  <c r="N111" i="3" s="1"/>
  <c r="D111" i="3"/>
  <c r="B111" i="3"/>
  <c r="T110" i="3"/>
  <c r="Z110" i="3" s="1"/>
  <c r="P110" i="3"/>
  <c r="X110" i="3" s="1"/>
  <c r="L110" i="3"/>
  <c r="H110" i="3"/>
  <c r="N110" i="3" s="1"/>
  <c r="D110" i="3"/>
  <c r="B110" i="3"/>
  <c r="T109" i="3"/>
  <c r="P109" i="3"/>
  <c r="L109" i="3"/>
  <c r="H109" i="3"/>
  <c r="N109" i="3" s="1"/>
  <c r="D109" i="3"/>
  <c r="B109" i="3"/>
  <c r="T108" i="3"/>
  <c r="Z108" i="3" s="1"/>
  <c r="P108" i="3"/>
  <c r="X108" i="3" s="1"/>
  <c r="L108" i="3"/>
  <c r="N108" i="3" s="1"/>
  <c r="H108" i="3"/>
  <c r="D108" i="3"/>
  <c r="B108" i="3"/>
  <c r="T107" i="3"/>
  <c r="Z107" i="3" s="1"/>
  <c r="P107" i="3"/>
  <c r="X107" i="3" s="1"/>
  <c r="L107" i="3"/>
  <c r="H107" i="3"/>
  <c r="N107" i="3" s="1"/>
  <c r="D107" i="3"/>
  <c r="B107" i="3"/>
  <c r="T106" i="3"/>
  <c r="Z106" i="3" s="1"/>
  <c r="P106" i="3"/>
  <c r="X106" i="3" s="1"/>
  <c r="L106" i="3"/>
  <c r="H106" i="3"/>
  <c r="N106" i="3" s="1"/>
  <c r="D106" i="3"/>
  <c r="B106" i="3"/>
  <c r="T105" i="3"/>
  <c r="P105" i="3"/>
  <c r="L105" i="3"/>
  <c r="H105" i="3"/>
  <c r="N105" i="3" s="1"/>
  <c r="D105" i="3"/>
  <c r="B105" i="3"/>
  <c r="T104" i="3"/>
  <c r="Z104" i="3" s="1"/>
  <c r="P104" i="3"/>
  <c r="X104" i="3" s="1"/>
  <c r="L104" i="3"/>
  <c r="N104" i="3" s="1"/>
  <c r="H104" i="3"/>
  <c r="D104" i="3"/>
  <c r="B104" i="3"/>
  <c r="T103" i="3"/>
  <c r="Z103" i="3" s="1"/>
  <c r="P103" i="3"/>
  <c r="X103" i="3" s="1"/>
  <c r="L103" i="3"/>
  <c r="H103" i="3"/>
  <c r="N103" i="3" s="1"/>
  <c r="D103" i="3"/>
  <c r="B103" i="3"/>
  <c r="T102" i="3"/>
  <c r="Z102" i="3" s="1"/>
  <c r="P102" i="3"/>
  <c r="X102" i="3" s="1"/>
  <c r="L102" i="3"/>
  <c r="H102" i="3"/>
  <c r="N102" i="3" s="1"/>
  <c r="D102" i="3"/>
  <c r="B102" i="3"/>
  <c r="T101" i="3"/>
  <c r="P101" i="3"/>
  <c r="L101" i="3"/>
  <c r="H101" i="3"/>
  <c r="N101" i="3" s="1"/>
  <c r="D101" i="3"/>
  <c r="B101" i="3"/>
  <c r="T100" i="3"/>
  <c r="Z100" i="3" s="1"/>
  <c r="P100" i="3"/>
  <c r="X100" i="3" s="1"/>
  <c r="L100" i="3"/>
  <c r="N100" i="3" s="1"/>
  <c r="H100" i="3"/>
  <c r="D100" i="3"/>
  <c r="B100" i="3"/>
  <c r="T99" i="3"/>
  <c r="Z99" i="3" s="1"/>
  <c r="P99" i="3"/>
  <c r="X99" i="3" s="1"/>
  <c r="L99" i="3"/>
  <c r="H99" i="3"/>
  <c r="N99" i="3" s="1"/>
  <c r="D99" i="3"/>
  <c r="B99" i="3"/>
  <c r="T98" i="3"/>
  <c r="Z98" i="3" s="1"/>
  <c r="P98" i="3"/>
  <c r="X98" i="3" s="1"/>
  <c r="L98" i="3"/>
  <c r="H98" i="3"/>
  <c r="N98" i="3" s="1"/>
  <c r="D98" i="3"/>
  <c r="B98" i="3"/>
  <c r="T97" i="3"/>
  <c r="P97" i="3"/>
  <c r="L97" i="3"/>
  <c r="H97" i="3"/>
  <c r="N97" i="3" s="1"/>
  <c r="D97" i="3"/>
  <c r="B97" i="3"/>
  <c r="T96" i="3"/>
  <c r="Z96" i="3" s="1"/>
  <c r="P96" i="3"/>
  <c r="X96" i="3" s="1"/>
  <c r="L96" i="3"/>
  <c r="N96" i="3" s="1"/>
  <c r="H96" i="3"/>
  <c r="D96" i="3"/>
  <c r="B96" i="3"/>
  <c r="T95" i="3"/>
  <c r="Z95" i="3" s="1"/>
  <c r="P95" i="3"/>
  <c r="X95" i="3" s="1"/>
  <c r="L95" i="3"/>
  <c r="H95" i="3"/>
  <c r="N95" i="3" s="1"/>
  <c r="D95" i="3"/>
  <c r="B95" i="3"/>
  <c r="T94" i="3"/>
  <c r="Z94" i="3" s="1"/>
  <c r="P94" i="3"/>
  <c r="X94" i="3" s="1"/>
  <c r="L94" i="3"/>
  <c r="H94" i="3"/>
  <c r="N94" i="3" s="1"/>
  <c r="D94" i="3"/>
  <c r="B94" i="3"/>
  <c r="T93" i="3"/>
  <c r="P93" i="3"/>
  <c r="L93" i="3"/>
  <c r="H93" i="3"/>
  <c r="N93" i="3" s="1"/>
  <c r="D93" i="3"/>
  <c r="B93" i="3"/>
  <c r="T92" i="3"/>
  <c r="Z92" i="3" s="1"/>
  <c r="P92" i="3"/>
  <c r="X92" i="3" s="1"/>
  <c r="L92" i="3"/>
  <c r="N92" i="3" s="1"/>
  <c r="H92" i="3"/>
  <c r="D92" i="3"/>
  <c r="B92" i="3"/>
  <c r="T91" i="3"/>
  <c r="Z91" i="3" s="1"/>
  <c r="P91" i="3"/>
  <c r="X91" i="3" s="1"/>
  <c r="L91" i="3"/>
  <c r="H91" i="3"/>
  <c r="N91" i="3" s="1"/>
  <c r="D91" i="3"/>
  <c r="B91" i="3"/>
  <c r="T90" i="3"/>
  <c r="Z90" i="3" s="1"/>
  <c r="P90" i="3"/>
  <c r="X90" i="3" s="1"/>
  <c r="L90" i="3"/>
  <c r="H90" i="3"/>
  <c r="N90" i="3" s="1"/>
  <c r="D90" i="3"/>
  <c r="B90" i="3"/>
  <c r="T89" i="3"/>
  <c r="P89" i="3"/>
  <c r="L89" i="3"/>
  <c r="H89" i="3"/>
  <c r="N89" i="3" s="1"/>
  <c r="D89" i="3"/>
  <c r="B89" i="3"/>
  <c r="T88" i="3"/>
  <c r="Z88" i="3" s="1"/>
  <c r="P88" i="3"/>
  <c r="X88" i="3" s="1"/>
  <c r="L88" i="3"/>
  <c r="N88" i="3" s="1"/>
  <c r="H88" i="3"/>
  <c r="D88" i="3"/>
  <c r="B88" i="3"/>
  <c r="T87" i="3"/>
  <c r="Z87" i="3" s="1"/>
  <c r="P87" i="3"/>
  <c r="X87" i="3" s="1"/>
  <c r="L87" i="3"/>
  <c r="H87" i="3"/>
  <c r="N87" i="3" s="1"/>
  <c r="D87" i="3"/>
  <c r="B87" i="3"/>
  <c r="T86" i="3"/>
  <c r="Z86" i="3" s="1"/>
  <c r="P86" i="3"/>
  <c r="X86" i="3" s="1"/>
  <c r="L86" i="3"/>
  <c r="H86" i="3"/>
  <c r="N86" i="3" s="1"/>
  <c r="D86" i="3"/>
  <c r="B86" i="3"/>
  <c r="T85" i="3"/>
  <c r="P85" i="3"/>
  <c r="L85" i="3"/>
  <c r="H85" i="3"/>
  <c r="N85" i="3" s="1"/>
  <c r="D85" i="3"/>
  <c r="B85" i="3"/>
  <c r="T84" i="3"/>
  <c r="Z84" i="3" s="1"/>
  <c r="P84" i="3"/>
  <c r="X84" i="3" s="1"/>
  <c r="L84" i="3"/>
  <c r="N84" i="3" s="1"/>
  <c r="H84" i="3"/>
  <c r="D84" i="3"/>
  <c r="B84" i="3"/>
  <c r="T83" i="3"/>
  <c r="Z83" i="3" s="1"/>
  <c r="P83" i="3"/>
  <c r="X83" i="3" s="1"/>
  <c r="L83" i="3"/>
  <c r="H83" i="3"/>
  <c r="N83" i="3" s="1"/>
  <c r="D83" i="3"/>
  <c r="B83" i="3"/>
  <c r="T82" i="3"/>
  <c r="Z82" i="3" s="1"/>
  <c r="P82" i="3"/>
  <c r="X82" i="3" s="1"/>
  <c r="L82" i="3"/>
  <c r="H82" i="3"/>
  <c r="N82" i="3" s="1"/>
  <c r="D82" i="3"/>
  <c r="B82" i="3"/>
  <c r="T81" i="3"/>
  <c r="P81" i="3"/>
  <c r="L81" i="3"/>
  <c r="H81" i="3"/>
  <c r="N81" i="3" s="1"/>
  <c r="D81" i="3"/>
  <c r="B81" i="3"/>
  <c r="T80" i="3"/>
  <c r="Z80" i="3" s="1"/>
  <c r="P80" i="3"/>
  <c r="X80" i="3" s="1"/>
  <c r="L80" i="3"/>
  <c r="N80" i="3" s="1"/>
  <c r="H80" i="3"/>
  <c r="D80" i="3"/>
  <c r="B80" i="3"/>
  <c r="T79" i="3"/>
  <c r="Z79" i="3" s="1"/>
  <c r="P79" i="3"/>
  <c r="X79" i="3" s="1"/>
  <c r="L79" i="3"/>
  <c r="H79" i="3"/>
  <c r="N79" i="3" s="1"/>
  <c r="D79" i="3"/>
  <c r="B79" i="3"/>
  <c r="T78" i="3"/>
  <c r="Z78" i="3" s="1"/>
  <c r="P78" i="3"/>
  <c r="X78" i="3" s="1"/>
  <c r="L78" i="3"/>
  <c r="H78" i="3"/>
  <c r="N78" i="3" s="1"/>
  <c r="D78" i="3"/>
  <c r="B78" i="3"/>
  <c r="T77" i="3"/>
  <c r="P77" i="3"/>
  <c r="L77" i="3"/>
  <c r="H77" i="3"/>
  <c r="N77" i="3" s="1"/>
  <c r="D77" i="3"/>
  <c r="B77" i="3"/>
  <c r="T76" i="3"/>
  <c r="Z76" i="3" s="1"/>
  <c r="P76" i="3"/>
  <c r="X76" i="3" s="1"/>
  <c r="L76" i="3"/>
  <c r="N76" i="3" s="1"/>
  <c r="H76" i="3"/>
  <c r="D76" i="3"/>
  <c r="B76" i="3"/>
  <c r="T75" i="3"/>
  <c r="Z75" i="3" s="1"/>
  <c r="P75" i="3"/>
  <c r="X75" i="3" s="1"/>
  <c r="L75" i="3"/>
  <c r="H75" i="3"/>
  <c r="N75" i="3" s="1"/>
  <c r="D75" i="3"/>
  <c r="B75" i="3"/>
  <c r="T74" i="3"/>
  <c r="Z74" i="3" s="1"/>
  <c r="P74" i="3"/>
  <c r="X74" i="3" s="1"/>
  <c r="L74" i="3"/>
  <c r="H74" i="3"/>
  <c r="N74" i="3" s="1"/>
  <c r="D74" i="3"/>
  <c r="B74" i="3"/>
  <c r="T73" i="3"/>
  <c r="P73" i="3"/>
  <c r="L73" i="3"/>
  <c r="H73" i="3"/>
  <c r="N73" i="3" s="1"/>
  <c r="D73" i="3"/>
  <c r="B73" i="3"/>
  <c r="T72" i="3"/>
  <c r="Z72" i="3" s="1"/>
  <c r="P72" i="3"/>
  <c r="X72" i="3" s="1"/>
  <c r="L72" i="3"/>
  <c r="N72" i="3" s="1"/>
  <c r="H72" i="3"/>
  <c r="D72" i="3"/>
  <c r="B72" i="3"/>
  <c r="T71" i="3"/>
  <c r="Z71" i="3" s="1"/>
  <c r="P71" i="3"/>
  <c r="X71" i="3" s="1"/>
  <c r="L71" i="3"/>
  <c r="H71" i="3"/>
  <c r="N71" i="3" s="1"/>
  <c r="D71" i="3"/>
  <c r="B71" i="3"/>
  <c r="T70" i="3"/>
  <c r="Z70" i="3" s="1"/>
  <c r="P70" i="3"/>
  <c r="X70" i="3" s="1"/>
  <c r="L70" i="3"/>
  <c r="H70" i="3"/>
  <c r="N70" i="3" s="1"/>
  <c r="D70" i="3"/>
  <c r="B70" i="3"/>
  <c r="T69" i="3"/>
  <c r="P69" i="3"/>
  <c r="L69" i="3"/>
  <c r="H69" i="3"/>
  <c r="N69" i="3" s="1"/>
  <c r="D69" i="3"/>
  <c r="B69" i="3"/>
  <c r="T68" i="3"/>
  <c r="Z68" i="3" s="1"/>
  <c r="P68" i="3"/>
  <c r="X68" i="3" s="1"/>
  <c r="L68" i="3"/>
  <c r="N68" i="3" s="1"/>
  <c r="H68" i="3"/>
  <c r="D68" i="3"/>
  <c r="B68" i="3"/>
  <c r="T67" i="3"/>
  <c r="Z67" i="3" s="1"/>
  <c r="P67" i="3"/>
  <c r="X67" i="3" s="1"/>
  <c r="L67" i="3"/>
  <c r="H67" i="3"/>
  <c r="N67" i="3" s="1"/>
  <c r="D67" i="3"/>
  <c r="B67" i="3"/>
  <c r="T66" i="3"/>
  <c r="Z66" i="3" s="1"/>
  <c r="P66" i="3"/>
  <c r="X66" i="3" s="1"/>
  <c r="L66" i="3"/>
  <c r="H66" i="3"/>
  <c r="N66" i="3" s="1"/>
  <c r="D66" i="3"/>
  <c r="B66" i="3"/>
  <c r="T65" i="3"/>
  <c r="P65" i="3"/>
  <c r="L65" i="3"/>
  <c r="H65" i="3"/>
  <c r="N65" i="3" s="1"/>
  <c r="D65" i="3"/>
  <c r="B65" i="3"/>
  <c r="T64" i="3"/>
  <c r="Z64" i="3" s="1"/>
  <c r="P64" i="3"/>
  <c r="X64" i="3" s="1"/>
  <c r="L64" i="3"/>
  <c r="N64" i="3" s="1"/>
  <c r="H64" i="3"/>
  <c r="D64" i="3"/>
  <c r="B64" i="3"/>
  <c r="T63" i="3"/>
  <c r="Z63" i="3" s="1"/>
  <c r="P63" i="3"/>
  <c r="X63" i="3" s="1"/>
  <c r="L63" i="3"/>
  <c r="H63" i="3"/>
  <c r="N63" i="3" s="1"/>
  <c r="D63" i="3"/>
  <c r="B63" i="3"/>
  <c r="T62" i="3"/>
  <c r="Z62" i="3" s="1"/>
  <c r="P62" i="3"/>
  <c r="X62" i="3" s="1"/>
  <c r="L62" i="3"/>
  <c r="H62" i="3"/>
  <c r="N62" i="3" s="1"/>
  <c r="D62" i="3"/>
  <c r="B62" i="3"/>
  <c r="T61" i="3"/>
  <c r="P61" i="3"/>
  <c r="L61" i="3"/>
  <c r="H61" i="3"/>
  <c r="N61" i="3" s="1"/>
  <c r="D61" i="3"/>
  <c r="B61" i="3"/>
  <c r="T60" i="3"/>
  <c r="Z60" i="3" s="1"/>
  <c r="P60" i="3"/>
  <c r="X60" i="3" s="1"/>
  <c r="L60" i="3"/>
  <c r="N60" i="3" s="1"/>
  <c r="H60" i="3"/>
  <c r="D60" i="3"/>
  <c r="B60" i="3"/>
  <c r="T59" i="3"/>
  <c r="Z59" i="3" s="1"/>
  <c r="P59" i="3"/>
  <c r="X59" i="3" s="1"/>
  <c r="L59" i="3"/>
  <c r="H59" i="3"/>
  <c r="N59" i="3" s="1"/>
  <c r="D59" i="3"/>
  <c r="B59" i="3"/>
  <c r="T58" i="3"/>
  <c r="Z58" i="3" s="1"/>
  <c r="P58" i="3"/>
  <c r="X58" i="3" s="1"/>
  <c r="L58" i="3"/>
  <c r="H58" i="3"/>
  <c r="N58" i="3" s="1"/>
  <c r="D58" i="3"/>
  <c r="B58" i="3"/>
  <c r="T57" i="3"/>
  <c r="P57" i="3"/>
  <c r="L57" i="3"/>
  <c r="H57" i="3"/>
  <c r="N57" i="3" s="1"/>
  <c r="D57" i="3"/>
  <c r="B57" i="3"/>
  <c r="T56" i="3"/>
  <c r="Z56" i="3" s="1"/>
  <c r="P56" i="3"/>
  <c r="X56" i="3" s="1"/>
  <c r="L56" i="3"/>
  <c r="N56" i="3" s="1"/>
  <c r="H56" i="3"/>
  <c r="D56" i="3"/>
  <c r="B56" i="3"/>
  <c r="T55" i="3"/>
  <c r="Z55" i="3" s="1"/>
  <c r="P55" i="3"/>
  <c r="X55" i="3" s="1"/>
  <c r="L55" i="3"/>
  <c r="H55" i="3"/>
  <c r="N55" i="3" s="1"/>
  <c r="D55" i="3"/>
  <c r="B55" i="3"/>
  <c r="T54" i="3"/>
  <c r="Z54" i="3" s="1"/>
  <c r="P54" i="3"/>
  <c r="X54" i="3" s="1"/>
  <c r="L54" i="3"/>
  <c r="H54" i="3"/>
  <c r="N54" i="3" s="1"/>
  <c r="D54" i="3"/>
  <c r="B54" i="3"/>
  <c r="T53" i="3"/>
  <c r="P53" i="3"/>
  <c r="L53" i="3"/>
  <c r="H53" i="3"/>
  <c r="N53" i="3" s="1"/>
  <c r="D53" i="3"/>
  <c r="B53" i="3"/>
  <c r="T52" i="3"/>
  <c r="Z52" i="3" s="1"/>
  <c r="P52" i="3"/>
  <c r="X52" i="3" s="1"/>
  <c r="L52" i="3"/>
  <c r="N52" i="3" s="1"/>
  <c r="H52" i="3"/>
  <c r="D52" i="3"/>
  <c r="B52" i="3"/>
  <c r="T51" i="3"/>
  <c r="Z51" i="3" s="1"/>
  <c r="P51" i="3"/>
  <c r="X51" i="3" s="1"/>
  <c r="L51" i="3"/>
  <c r="H51" i="3"/>
  <c r="N51" i="3" s="1"/>
  <c r="D51" i="3"/>
  <c r="B51" i="3"/>
  <c r="T50" i="3"/>
  <c r="Z50" i="3" s="1"/>
  <c r="P50" i="3"/>
  <c r="X50" i="3" s="1"/>
  <c r="L50" i="3"/>
  <c r="H50" i="3"/>
  <c r="N50" i="3" s="1"/>
  <c r="D50" i="3"/>
  <c r="B50" i="3"/>
  <c r="T49" i="3"/>
  <c r="P49" i="3"/>
  <c r="L49" i="3"/>
  <c r="H49" i="3"/>
  <c r="N49" i="3" s="1"/>
  <c r="D49" i="3"/>
  <c r="B49" i="3"/>
  <c r="T48" i="3"/>
  <c r="Z48" i="3" s="1"/>
  <c r="P48" i="3"/>
  <c r="X48" i="3" s="1"/>
  <c r="L48" i="3"/>
  <c r="N48" i="3" s="1"/>
  <c r="H48" i="3"/>
  <c r="D48" i="3"/>
  <c r="B48" i="3"/>
  <c r="T47" i="3"/>
  <c r="Z47" i="3" s="1"/>
  <c r="P47" i="3"/>
  <c r="X47" i="3" s="1"/>
  <c r="L47" i="3"/>
  <c r="H47" i="3"/>
  <c r="N47" i="3" s="1"/>
  <c r="D47" i="3"/>
  <c r="B47" i="3"/>
  <c r="T46" i="3"/>
  <c r="Z46" i="3" s="1"/>
  <c r="P46" i="3"/>
  <c r="X46" i="3" s="1"/>
  <c r="L46" i="3"/>
  <c r="H46" i="3"/>
  <c r="N46" i="3" s="1"/>
  <c r="D46" i="3"/>
  <c r="B46" i="3"/>
  <c r="T45" i="3"/>
  <c r="P45" i="3"/>
  <c r="L45" i="3"/>
  <c r="H45" i="3"/>
  <c r="N45" i="3" s="1"/>
  <c r="D45" i="3"/>
  <c r="B45" i="3"/>
  <c r="T44" i="3"/>
  <c r="Z44" i="3" s="1"/>
  <c r="P44" i="3"/>
  <c r="X44" i="3" s="1"/>
  <c r="L44" i="3"/>
  <c r="N44" i="3" s="1"/>
  <c r="H44" i="3"/>
  <c r="D44" i="3"/>
  <c r="B44" i="3"/>
  <c r="T43" i="3"/>
  <c r="Z43" i="3" s="1"/>
  <c r="P43" i="3"/>
  <c r="X43" i="3" s="1"/>
  <c r="L43" i="3"/>
  <c r="H43" i="3"/>
  <c r="N43" i="3" s="1"/>
  <c r="D43" i="3"/>
  <c r="B43" i="3"/>
  <c r="T42" i="3"/>
  <c r="Z42" i="3" s="1"/>
  <c r="P42" i="3"/>
  <c r="X42" i="3" s="1"/>
  <c r="L42" i="3"/>
  <c r="H42" i="3"/>
  <c r="N42" i="3" s="1"/>
  <c r="D42" i="3"/>
  <c r="B42" i="3"/>
  <c r="T41" i="3"/>
  <c r="P41" i="3"/>
  <c r="L41" i="3"/>
  <c r="H41" i="3"/>
  <c r="N41" i="3" s="1"/>
  <c r="D41" i="3"/>
  <c r="B41" i="3"/>
  <c r="T40" i="3"/>
  <c r="Z40" i="3" s="1"/>
  <c r="P40" i="3"/>
  <c r="X40" i="3" s="1"/>
  <c r="L40" i="3"/>
  <c r="N40" i="3" s="1"/>
  <c r="H40" i="3"/>
  <c r="D40" i="3"/>
  <c r="B40" i="3"/>
  <c r="T39" i="3"/>
  <c r="Z39" i="3" s="1"/>
  <c r="P39" i="3"/>
  <c r="X39" i="3" s="1"/>
  <c r="L39" i="3"/>
  <c r="H39" i="3"/>
  <c r="N39" i="3" s="1"/>
  <c r="D39" i="3"/>
  <c r="B39" i="3"/>
  <c r="T38" i="3"/>
  <c r="Z38" i="3" s="1"/>
  <c r="P38" i="3"/>
  <c r="X38" i="3" s="1"/>
  <c r="L38" i="3"/>
  <c r="H38" i="3"/>
  <c r="N38" i="3" s="1"/>
  <c r="D38" i="3"/>
  <c r="B38" i="3"/>
  <c r="T37" i="3"/>
  <c r="P37" i="3"/>
  <c r="L37" i="3"/>
  <c r="H37" i="3"/>
  <c r="N37" i="3" s="1"/>
  <c r="D37" i="3"/>
  <c r="B37" i="3"/>
  <c r="T36" i="3"/>
  <c r="Z36" i="3" s="1"/>
  <c r="P36" i="3"/>
  <c r="X36" i="3" s="1"/>
  <c r="L36" i="3"/>
  <c r="N36" i="3" s="1"/>
  <c r="H36" i="3"/>
  <c r="D36" i="3"/>
  <c r="B36" i="3"/>
  <c r="T35" i="3"/>
  <c r="Z35" i="3" s="1"/>
  <c r="P35" i="3"/>
  <c r="X35" i="3" s="1"/>
  <c r="L35" i="3"/>
  <c r="H35" i="3"/>
  <c r="N35" i="3" s="1"/>
  <c r="D35" i="3"/>
  <c r="B35" i="3"/>
  <c r="T34" i="3"/>
  <c r="Z34" i="3" s="1"/>
  <c r="P34" i="3"/>
  <c r="X34" i="3" s="1"/>
  <c r="L34" i="3"/>
  <c r="H34" i="3"/>
  <c r="N34" i="3" s="1"/>
  <c r="D34" i="3"/>
  <c r="B34" i="3"/>
  <c r="T33" i="3"/>
  <c r="P33" i="3"/>
  <c r="L33" i="3"/>
  <c r="H33" i="3"/>
  <c r="N33" i="3" s="1"/>
  <c r="D33" i="3"/>
  <c r="B33" i="3"/>
  <c r="T32" i="3"/>
  <c r="Z32" i="3" s="1"/>
  <c r="P32" i="3"/>
  <c r="X32" i="3" s="1"/>
  <c r="L32" i="3"/>
  <c r="N32" i="3" s="1"/>
  <c r="H32" i="3"/>
  <c r="D32" i="3"/>
  <c r="B32" i="3"/>
  <c r="T31" i="3"/>
  <c r="Z31" i="3" s="1"/>
  <c r="P31" i="3"/>
  <c r="X31" i="3" s="1"/>
  <c r="L31" i="3"/>
  <c r="H31" i="3"/>
  <c r="N31" i="3" s="1"/>
  <c r="D31" i="3"/>
  <c r="B31" i="3"/>
  <c r="T30" i="3"/>
  <c r="Z30" i="3" s="1"/>
  <c r="P30" i="3"/>
  <c r="X30" i="3" s="1"/>
  <c r="L30" i="3"/>
  <c r="H30" i="3"/>
  <c r="N30" i="3" s="1"/>
  <c r="D30" i="3"/>
  <c r="B30" i="3"/>
  <c r="T29" i="3"/>
  <c r="P29" i="3"/>
  <c r="L29" i="3"/>
  <c r="H29" i="3"/>
  <c r="N29" i="3" s="1"/>
  <c r="D29" i="3"/>
  <c r="B29" i="3"/>
  <c r="T28" i="3"/>
  <c r="Z28" i="3" s="1"/>
  <c r="P28" i="3"/>
  <c r="X28" i="3" s="1"/>
  <c r="L28" i="3"/>
  <c r="N28" i="3" s="1"/>
  <c r="H28" i="3"/>
  <c r="D28" i="3"/>
  <c r="B28" i="3"/>
  <c r="T27" i="3"/>
  <c r="Z27" i="3" s="1"/>
  <c r="P27" i="3"/>
  <c r="X27" i="3" s="1"/>
  <c r="L27" i="3"/>
  <c r="H27" i="3"/>
  <c r="N27" i="3" s="1"/>
  <c r="D27" i="3"/>
  <c r="B27" i="3"/>
  <c r="T26" i="3"/>
  <c r="Z26" i="3" s="1"/>
  <c r="P26" i="3"/>
  <c r="X26" i="3" s="1"/>
  <c r="L26" i="3"/>
  <c r="H26" i="3"/>
  <c r="N26" i="3" s="1"/>
  <c r="D26" i="3"/>
  <c r="B26" i="3"/>
  <c r="T25" i="3"/>
  <c r="P25" i="3"/>
  <c r="L25" i="3"/>
  <c r="H25" i="3"/>
  <c r="N25" i="3" s="1"/>
  <c r="D25" i="3"/>
  <c r="B25" i="3"/>
  <c r="T24" i="3"/>
  <c r="Z24" i="3" s="1"/>
  <c r="P24" i="3"/>
  <c r="X24" i="3" s="1"/>
  <c r="L24" i="3"/>
  <c r="N24" i="3" s="1"/>
  <c r="H24" i="3"/>
  <c r="D24" i="3"/>
  <c r="B24" i="3"/>
  <c r="T23" i="3"/>
  <c r="Z23" i="3" s="1"/>
  <c r="P23" i="3"/>
  <c r="X23" i="3" s="1"/>
  <c r="L23" i="3"/>
  <c r="H23" i="3"/>
  <c r="N23" i="3" s="1"/>
  <c r="D23" i="3"/>
  <c r="B23" i="3"/>
  <c r="T22" i="3"/>
  <c r="Z22" i="3" s="1"/>
  <c r="P22" i="3"/>
  <c r="X22" i="3" s="1"/>
  <c r="L22" i="3"/>
  <c r="H22" i="3"/>
  <c r="N22" i="3" s="1"/>
  <c r="D22" i="3"/>
  <c r="B22" i="3"/>
  <c r="T21" i="3"/>
  <c r="P21" i="3"/>
  <c r="L21" i="3"/>
  <c r="H21" i="3"/>
  <c r="N21" i="3" s="1"/>
  <c r="D21" i="3"/>
  <c r="B21" i="3"/>
  <c r="T20" i="3"/>
  <c r="Z20" i="3" s="1"/>
  <c r="P20" i="3"/>
  <c r="X20" i="3" s="1"/>
  <c r="L20" i="3"/>
  <c r="N20" i="3" s="1"/>
  <c r="H20" i="3"/>
  <c r="D20" i="3"/>
  <c r="B20" i="3"/>
  <c r="T19" i="3"/>
  <c r="Z19" i="3" s="1"/>
  <c r="P19" i="3"/>
  <c r="X19" i="3" s="1"/>
  <c r="L19" i="3"/>
  <c r="H19" i="3"/>
  <c r="N19" i="3" s="1"/>
  <c r="D19" i="3"/>
  <c r="B19" i="3"/>
  <c r="T18" i="3"/>
  <c r="Z18" i="3" s="1"/>
  <c r="P18" i="3"/>
  <c r="X18" i="3" s="1"/>
  <c r="L18" i="3"/>
  <c r="H18" i="3"/>
  <c r="N18" i="3" s="1"/>
  <c r="D18" i="3"/>
  <c r="B18" i="3"/>
  <c r="T17" i="3"/>
  <c r="P17" i="3"/>
  <c r="L17" i="3"/>
  <c r="H17" i="3"/>
  <c r="N17" i="3" s="1"/>
  <c r="D17" i="3"/>
  <c r="B17" i="3"/>
  <c r="T16" i="3"/>
  <c r="Z16" i="3" s="1"/>
  <c r="P16" i="3"/>
  <c r="X16" i="3" s="1"/>
  <c r="L16" i="3"/>
  <c r="N16" i="3" s="1"/>
  <c r="H16" i="3"/>
  <c r="D16" i="3"/>
  <c r="B16" i="3"/>
  <c r="T15" i="3"/>
  <c r="Z15" i="3" s="1"/>
  <c r="P15" i="3"/>
  <c r="X15" i="3" s="1"/>
  <c r="L15" i="3"/>
  <c r="H15" i="3"/>
  <c r="N15" i="3" s="1"/>
  <c r="D15" i="3"/>
  <c r="B15" i="3"/>
  <c r="T14" i="3"/>
  <c r="P14" i="3"/>
  <c r="P12" i="3" s="1"/>
  <c r="L14" i="3"/>
  <c r="H14" i="3"/>
  <c r="N14" i="3" s="1"/>
  <c r="D14" i="3"/>
  <c r="B14" i="3"/>
  <c r="T13" i="3"/>
  <c r="T12" i="3" s="1"/>
  <c r="P13" i="3"/>
  <c r="L13" i="3"/>
  <c r="H13" i="3"/>
  <c r="H12" i="3" s="1"/>
  <c r="D13" i="3"/>
  <c r="D12" i="3" s="1"/>
  <c r="B13" i="3"/>
  <c r="D4" i="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T24" i="110"/>
  <c r="T22" i="110"/>
  <c r="P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B39" i="112"/>
  <c r="H13" i="112"/>
  <c r="P20" i="111"/>
  <c r="D5" i="112"/>
  <c r="P24" i="110"/>
  <c r="P16" i="111"/>
  <c r="P22" i="110"/>
  <c r="T20" i="110"/>
  <c r="H24" i="112"/>
  <c r="D12" i="111"/>
  <c r="H22" i="112"/>
  <c r="T16" i="110"/>
  <c r="T13" i="110"/>
  <c r="B21" i="53"/>
  <c r="D20" i="53"/>
  <c r="D16" i="53"/>
  <c r="B22" i="52"/>
  <c r="D21" i="52"/>
  <c r="H15" i="52"/>
  <c r="T34" i="50"/>
  <c r="T33" i="50"/>
  <c r="T29" i="50"/>
  <c r="T25" i="50"/>
  <c r="B16" i="50"/>
  <c r="D15" i="50"/>
  <c r="T12" i="50"/>
  <c r="B21" i="49"/>
  <c r="D20" i="49"/>
  <c r="D16" i="49"/>
  <c r="T34" i="53"/>
  <c r="T33" i="53"/>
  <c r="T29" i="53"/>
  <c r="T25" i="53"/>
  <c r="B16" i="53"/>
  <c r="D15" i="53"/>
  <c r="T12" i="53"/>
  <c r="B21" i="52"/>
  <c r="D20" i="52"/>
  <c r="D16" i="52"/>
  <c r="T24" i="50"/>
  <c r="T22" i="50"/>
  <c r="P12" i="50"/>
  <c r="T34" i="49"/>
  <c r="T33" i="49"/>
  <c r="T29" i="49"/>
  <c r="T25" i="49"/>
  <c r="B16" i="49"/>
  <c r="D15" i="49"/>
  <c r="T12" i="49"/>
  <c r="T24" i="53"/>
  <c r="T22" i="53"/>
  <c r="P12" i="53"/>
  <c r="T34" i="52"/>
  <c r="T33" i="52"/>
  <c r="T29" i="52"/>
  <c r="T25" i="52"/>
  <c r="B16" i="52"/>
  <c r="D15" i="52"/>
  <c r="T12" i="52"/>
  <c r="P34" i="50"/>
  <c r="P33" i="50"/>
  <c r="P29" i="50"/>
  <c r="P25" i="50"/>
  <c r="T21" i="50"/>
  <c r="T24" i="49"/>
  <c r="T22" i="49"/>
  <c r="P12" i="49"/>
  <c r="B21" i="47"/>
  <c r="D20" i="47"/>
  <c r="D16" i="47"/>
  <c r="P34" i="53"/>
  <c r="P33" i="53"/>
  <c r="P29" i="53"/>
  <c r="P25" i="53"/>
  <c r="T21" i="53"/>
  <c r="T24" i="52"/>
  <c r="T22" i="52"/>
  <c r="P12" i="52"/>
  <c r="P24" i="50"/>
  <c r="P22" i="50"/>
  <c r="T20" i="50"/>
  <c r="T16" i="50"/>
  <c r="T13" i="50"/>
  <c r="P34" i="49"/>
  <c r="P33" i="49"/>
  <c r="P29" i="49"/>
  <c r="P24" i="53"/>
  <c r="P22" i="53"/>
  <c r="T20" i="53"/>
  <c r="T16" i="53"/>
  <c r="T13" i="53"/>
  <c r="P34" i="52"/>
  <c r="P33" i="52"/>
  <c r="P29" i="52"/>
  <c r="P25" i="52"/>
  <c r="T21" i="52"/>
  <c r="P21" i="50"/>
  <c r="T15" i="50"/>
  <c r="P13" i="50"/>
  <c r="H12" i="50"/>
  <c r="P24" i="49"/>
  <c r="P22" i="49"/>
  <c r="T20" i="49"/>
  <c r="T16" i="49"/>
  <c r="T13" i="49"/>
  <c r="P21" i="53"/>
  <c r="T15" i="53"/>
  <c r="P13" i="53"/>
  <c r="H12" i="53"/>
  <c r="P24" i="52"/>
  <c r="P22" i="52"/>
  <c r="T20" i="52"/>
  <c r="T16" i="52"/>
  <c r="T13" i="52"/>
  <c r="P20" i="50"/>
  <c r="P16" i="50"/>
  <c r="D12" i="50"/>
  <c r="P21" i="49"/>
  <c r="T15" i="49"/>
  <c r="P13" i="49"/>
  <c r="H12" i="49"/>
  <c r="P34" i="47"/>
  <c r="P33" i="47"/>
  <c r="P29" i="47"/>
  <c r="P25" i="47"/>
  <c r="T21" i="47"/>
  <c r="P20" i="53"/>
  <c r="P16" i="53"/>
  <c r="D12" i="53"/>
  <c r="P21" i="52"/>
  <c r="T15" i="52"/>
  <c r="P13" i="52"/>
  <c r="H12" i="52"/>
  <c r="B39" i="53"/>
  <c r="H24" i="53"/>
  <c r="H22" i="53"/>
  <c r="H13" i="53"/>
  <c r="D4" i="53"/>
  <c r="H34" i="52"/>
  <c r="H33" i="52"/>
  <c r="H29" i="52"/>
  <c r="H25" i="52"/>
  <c r="P15" i="52"/>
  <c r="D5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B38" i="53"/>
  <c r="D34" i="53"/>
  <c r="D33" i="53"/>
  <c r="D29" i="53"/>
  <c r="D25" i="53"/>
  <c r="H21" i="53"/>
  <c r="D13" i="53"/>
  <c r="B39" i="52"/>
  <c r="H24" i="52"/>
  <c r="H22" i="52"/>
  <c r="H13" i="52"/>
  <c r="D4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D5" i="53"/>
  <c r="D12" i="52"/>
  <c r="D21" i="50"/>
  <c r="P20" i="49"/>
  <c r="H16" i="49"/>
  <c r="H29" i="47"/>
  <c r="T22" i="47"/>
  <c r="P21" i="47"/>
  <c r="H12" i="47"/>
  <c r="P20" i="46"/>
  <c r="P16" i="46"/>
  <c r="D12" i="46"/>
  <c r="P21" i="44"/>
  <c r="T15" i="44"/>
  <c r="P13" i="44"/>
  <c r="H12" i="44"/>
  <c r="P24" i="43"/>
  <c r="P22" i="43"/>
  <c r="T20" i="43"/>
  <c r="T16" i="43"/>
  <c r="T13" i="43"/>
  <c r="D24" i="53"/>
  <c r="B38" i="52"/>
  <c r="B21" i="50"/>
  <c r="D16" i="50"/>
  <c r="D12" i="49"/>
  <c r="P22" i="47"/>
  <c r="B16" i="47"/>
  <c r="T13" i="47"/>
  <c r="D12" i="47"/>
  <c r="H34" i="46"/>
  <c r="H33" i="46"/>
  <c r="H29" i="46"/>
  <c r="H25" i="46"/>
  <c r="P15" i="46"/>
  <c r="D5" i="46"/>
  <c r="P20" i="44"/>
  <c r="P16" i="44"/>
  <c r="D12" i="44"/>
  <c r="P21" i="43"/>
  <c r="T15" i="43"/>
  <c r="P13" i="43"/>
  <c r="H12" i="43"/>
  <c r="D24" i="52"/>
  <c r="H34" i="50"/>
  <c r="H29" i="50"/>
  <c r="P15" i="50"/>
  <c r="H20" i="49"/>
  <c r="D5" i="49"/>
  <c r="B39" i="47"/>
  <c r="T34" i="47"/>
  <c r="D29" i="47"/>
  <c r="T24" i="47"/>
  <c r="P13" i="47"/>
  <c r="D5" i="47"/>
  <c r="H24" i="46"/>
  <c r="H22" i="46"/>
  <c r="H13" i="46"/>
  <c r="D4" i="46"/>
  <c r="H34" i="44"/>
  <c r="H33" i="44"/>
  <c r="H29" i="44"/>
  <c r="H25" i="44"/>
  <c r="P15" i="44"/>
  <c r="D5" i="44"/>
  <c r="P20" i="43"/>
  <c r="P16" i="43"/>
  <c r="D12" i="43"/>
  <c r="H29" i="53"/>
  <c r="P16" i="52"/>
  <c r="H24" i="50"/>
  <c r="P25" i="49"/>
  <c r="B38" i="47"/>
  <c r="T25" i="47"/>
  <c r="P24" i="47"/>
  <c r="H20" i="47"/>
  <c r="D4" i="47"/>
  <c r="D34" i="46"/>
  <c r="D33" i="46"/>
  <c r="D29" i="46"/>
  <c r="D25" i="46"/>
  <c r="H21" i="46"/>
  <c r="D13" i="46"/>
  <c r="B39" i="44"/>
  <c r="H24" i="44"/>
  <c r="H22" i="44"/>
  <c r="H13" i="44"/>
  <c r="D4" i="44"/>
  <c r="H34" i="43"/>
  <c r="H33" i="43"/>
  <c r="H29" i="43"/>
  <c r="H25" i="43"/>
  <c r="P15" i="43"/>
  <c r="D5" i="43"/>
  <c r="D22" i="53"/>
  <c r="H16" i="53"/>
  <c r="D29" i="52"/>
  <c r="H15" i="50"/>
  <c r="D22" i="49"/>
  <c r="P15" i="49"/>
  <c r="H33" i="47"/>
  <c r="H21" i="47"/>
  <c r="T15" i="47"/>
  <c r="B39" i="46"/>
  <c r="B25" i="46"/>
  <c r="D24" i="46"/>
  <c r="D22" i="46"/>
  <c r="H20" i="46"/>
  <c r="H16" i="46"/>
  <c r="B13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B22" i="53"/>
  <c r="D22" i="52"/>
  <c r="H16" i="52"/>
  <c r="D20" i="50"/>
  <c r="H25" i="49"/>
  <c r="B22" i="49"/>
  <c r="H22" i="47"/>
  <c r="T16" i="47"/>
  <c r="H13" i="47"/>
  <c r="B38" i="46"/>
  <c r="B22" i="46"/>
  <c r="D21" i="46"/>
  <c r="H15" i="46"/>
  <c r="H34" i="53"/>
  <c r="P15" i="53"/>
  <c r="H33" i="50"/>
  <c r="B25" i="49"/>
  <c r="T21" i="49"/>
  <c r="H15" i="49"/>
  <c r="D33" i="47"/>
  <c r="D21" i="47"/>
  <c r="P15" i="47"/>
  <c r="D13" i="47"/>
  <c r="B21" i="46"/>
  <c r="D20" i="46"/>
  <c r="D16" i="46"/>
  <c r="B22" i="44"/>
  <c r="D21" i="44"/>
  <c r="H15" i="44"/>
  <c r="B25" i="43"/>
  <c r="D24" i="43"/>
  <c r="D22" i="43"/>
  <c r="H20" i="43"/>
  <c r="H16" i="43"/>
  <c r="B13" i="43"/>
  <c r="D34" i="52"/>
  <c r="H21" i="52"/>
  <c r="B39" i="50"/>
  <c r="H22" i="50"/>
  <c r="H13" i="50"/>
  <c r="H34" i="49"/>
  <c r="H29" i="49"/>
  <c r="H34" i="47"/>
  <c r="T29" i="47"/>
  <c r="H24" i="47"/>
  <c r="D22" i="47"/>
  <c r="P16" i="47"/>
  <c r="B13" i="47"/>
  <c r="T34" i="46"/>
  <c r="T33" i="46"/>
  <c r="T29" i="46"/>
  <c r="T25" i="46"/>
  <c r="B16" i="46"/>
  <c r="D15" i="46"/>
  <c r="T12" i="46"/>
  <c r="D21" i="53"/>
  <c r="H15" i="53"/>
  <c r="B22" i="50"/>
  <c r="H25" i="47"/>
  <c r="B22" i="47"/>
  <c r="T24" i="46"/>
  <c r="T22" i="46"/>
  <c r="P12" i="46"/>
  <c r="T34" i="44"/>
  <c r="T33" i="44"/>
  <c r="T29" i="44"/>
  <c r="T25" i="44"/>
  <c r="B16" i="44"/>
  <c r="D15" i="44"/>
  <c r="T12" i="44"/>
  <c r="B21" i="43"/>
  <c r="D20" i="43"/>
  <c r="D16" i="43"/>
  <c r="B25" i="53"/>
  <c r="H20" i="53"/>
  <c r="B13" i="53"/>
  <c r="D33" i="52"/>
  <c r="D25" i="52"/>
  <c r="D13" i="52"/>
  <c r="H25" i="50"/>
  <c r="D5" i="50"/>
  <c r="D21" i="49"/>
  <c r="P16" i="49"/>
  <c r="B13" i="49"/>
  <c r="D25" i="47"/>
  <c r="H15" i="47"/>
  <c r="P12" i="47"/>
  <c r="P24" i="46"/>
  <c r="P22" i="46"/>
  <c r="T20" i="46"/>
  <c r="T16" i="46"/>
  <c r="T13" i="46"/>
  <c r="P34" i="44"/>
  <c r="P33" i="44"/>
  <c r="P29" i="44"/>
  <c r="P25" i="44"/>
  <c r="T21" i="44"/>
  <c r="T24" i="43"/>
  <c r="T22" i="43"/>
  <c r="P12" i="43"/>
  <c r="H16" i="47"/>
  <c r="P21" i="46"/>
  <c r="H12" i="46"/>
  <c r="T16" i="44"/>
  <c r="P33" i="43"/>
  <c r="P21" i="41"/>
  <c r="T15" i="41"/>
  <c r="P13" i="41"/>
  <c r="H12" i="41"/>
  <c r="P24" i="40"/>
  <c r="P22" i="40"/>
  <c r="T20" i="40"/>
  <c r="T16" i="40"/>
  <c r="T13" i="40"/>
  <c r="P29" i="46"/>
  <c r="B25" i="44"/>
  <c r="H16" i="44"/>
  <c r="B38" i="43"/>
  <c r="D33" i="43"/>
  <c r="D13" i="43"/>
  <c r="B25" i="47"/>
  <c r="D15" i="47"/>
  <c r="B21" i="44"/>
  <c r="D16" i="44"/>
  <c r="B22" i="43"/>
  <c r="H34" i="41"/>
  <c r="H33" i="41"/>
  <c r="H29" i="41"/>
  <c r="H25" i="41"/>
  <c r="P15" i="41"/>
  <c r="D5" i="41"/>
  <c r="P20" i="40"/>
  <c r="P16" i="40"/>
  <c r="D12" i="40"/>
  <c r="H34" i="38"/>
  <c r="H33" i="38"/>
  <c r="H29" i="38"/>
  <c r="D24" i="47"/>
  <c r="T12" i="47"/>
  <c r="T24" i="44"/>
  <c r="T25" i="43"/>
  <c r="T12" i="43"/>
  <c r="B39" i="41"/>
  <c r="H24" i="41"/>
  <c r="H22" i="41"/>
  <c r="H13" i="41"/>
  <c r="D4" i="41"/>
  <c r="H34" i="40"/>
  <c r="H33" i="40"/>
  <c r="H29" i="40"/>
  <c r="H25" i="40"/>
  <c r="P15" i="40"/>
  <c r="D5" i="40"/>
  <c r="B39" i="38"/>
  <c r="H24" i="38"/>
  <c r="H22" i="38"/>
  <c r="H13" i="38"/>
  <c r="D4" i="38"/>
  <c r="H34" i="37"/>
  <c r="H33" i="37"/>
  <c r="H29" i="37"/>
  <c r="H25" i="37"/>
  <c r="P24" i="44"/>
  <c r="T20" i="44"/>
  <c r="P25" i="43"/>
  <c r="T21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B38" i="38"/>
  <c r="D34" i="38"/>
  <c r="D33" i="38"/>
  <c r="D29" i="38"/>
  <c r="D25" i="38"/>
  <c r="H21" i="38"/>
  <c r="D4" i="50"/>
  <c r="D34" i="47"/>
  <c r="P25" i="46"/>
  <c r="D24" i="44"/>
  <c r="H20" i="44"/>
  <c r="D25" i="43"/>
  <c r="H21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T33" i="47"/>
  <c r="D20" i="44"/>
  <c r="D21" i="43"/>
  <c r="B25" i="52"/>
  <c r="H33" i="49"/>
  <c r="T20" i="47"/>
  <c r="P34" i="46"/>
  <c r="T22" i="44"/>
  <c r="T34" i="43"/>
  <c r="T29" i="43"/>
  <c r="B16" i="43"/>
  <c r="B21" i="41"/>
  <c r="D20" i="41"/>
  <c r="D16" i="41"/>
  <c r="B22" i="40"/>
  <c r="D21" i="40"/>
  <c r="H15" i="40"/>
  <c r="H33" i="53"/>
  <c r="P20" i="52"/>
  <c r="P20" i="47"/>
  <c r="T15" i="46"/>
  <c r="P22" i="44"/>
  <c r="T13" i="44"/>
  <c r="P34" i="43"/>
  <c r="P29" i="43"/>
  <c r="T34" i="41"/>
  <c r="T33" i="41"/>
  <c r="T29" i="41"/>
  <c r="T25" i="41"/>
  <c r="B16" i="41"/>
  <c r="D15" i="41"/>
  <c r="T12" i="41"/>
  <c r="B21" i="40"/>
  <c r="D20" i="40"/>
  <c r="D16" i="40"/>
  <c r="H20" i="52"/>
  <c r="P33" i="46"/>
  <c r="D22" i="44"/>
  <c r="B13" i="44"/>
  <c r="D34" i="43"/>
  <c r="D29" i="43"/>
  <c r="T24" i="41"/>
  <c r="T22" i="41"/>
  <c r="P12" i="41"/>
  <c r="T34" i="40"/>
  <c r="T33" i="40"/>
  <c r="T29" i="40"/>
  <c r="T25" i="40"/>
  <c r="B16" i="40"/>
  <c r="D15" i="40"/>
  <c r="T12" i="40"/>
  <c r="T24" i="38"/>
  <c r="T22" i="38"/>
  <c r="P12" i="38"/>
  <c r="T34" i="37"/>
  <c r="T33" i="37"/>
  <c r="T29" i="37"/>
  <c r="T25" i="37"/>
  <c r="H25" i="53"/>
  <c r="P13" i="46"/>
  <c r="H15" i="43"/>
  <c r="P34" i="41"/>
  <c r="P33" i="41"/>
  <c r="P29" i="41"/>
  <c r="P25" i="41"/>
  <c r="T21" i="41"/>
  <c r="T24" i="40"/>
  <c r="T22" i="40"/>
  <c r="P12" i="40"/>
  <c r="T20" i="41"/>
  <c r="T13" i="41"/>
  <c r="P33" i="40"/>
  <c r="P25" i="40"/>
  <c r="T29" i="38"/>
  <c r="P24" i="38"/>
  <c r="B22" i="38"/>
  <c r="T20" i="38"/>
  <c r="D13" i="38"/>
  <c r="T21" i="37"/>
  <c r="T20" i="37"/>
  <c r="T16" i="37"/>
  <c r="T13" i="37"/>
  <c r="B21" i="35"/>
  <c r="D20" i="35"/>
  <c r="D16" i="35"/>
  <c r="B22" i="34"/>
  <c r="D21" i="34"/>
  <c r="H15" i="34"/>
  <c r="P20" i="41"/>
  <c r="P13" i="40"/>
  <c r="P29" i="38"/>
  <c r="T15" i="38"/>
  <c r="B25" i="37"/>
  <c r="T22" i="37"/>
  <c r="T15" i="37"/>
  <c r="P13" i="37"/>
  <c r="H12" i="37"/>
  <c r="T34" i="35"/>
  <c r="T33" i="35"/>
  <c r="T29" i="35"/>
  <c r="T25" i="35"/>
  <c r="B16" i="35"/>
  <c r="D15" i="35"/>
  <c r="T12" i="35"/>
  <c r="B21" i="34"/>
  <c r="D20" i="34"/>
  <c r="D16" i="34"/>
  <c r="D24" i="49"/>
  <c r="B25" i="40"/>
  <c r="H20" i="40"/>
  <c r="B13" i="40"/>
  <c r="T25" i="38"/>
  <c r="P20" i="38"/>
  <c r="P29" i="37"/>
  <c r="P21" i="37"/>
  <c r="P20" i="37"/>
  <c r="P16" i="37"/>
  <c r="D12" i="37"/>
  <c r="T24" i="35"/>
  <c r="T22" i="35"/>
  <c r="P12" i="35"/>
  <c r="T34" i="34"/>
  <c r="T33" i="34"/>
  <c r="T29" i="34"/>
  <c r="T25" i="34"/>
  <c r="D15" i="43"/>
  <c r="P24" i="41"/>
  <c r="T34" i="38"/>
  <c r="P25" i="38"/>
  <c r="T21" i="38"/>
  <c r="P15" i="38"/>
  <c r="T12" i="38"/>
  <c r="P22" i="37"/>
  <c r="P15" i="37"/>
  <c r="D5" i="37"/>
  <c r="P34" i="35"/>
  <c r="P33" i="35"/>
  <c r="P29" i="35"/>
  <c r="P25" i="35"/>
  <c r="T21" i="35"/>
  <c r="T24" i="34"/>
  <c r="T22" i="34"/>
  <c r="P12" i="34"/>
  <c r="D12" i="41"/>
  <c r="H12" i="40"/>
  <c r="P34" i="38"/>
  <c r="T16" i="38"/>
  <c r="H15" i="38"/>
  <c r="T24" i="37"/>
  <c r="H13" i="37"/>
  <c r="D4" i="37"/>
  <c r="P24" i="35"/>
  <c r="P22" i="35"/>
  <c r="T20" i="35"/>
  <c r="T16" i="35"/>
  <c r="T13" i="35"/>
  <c r="P34" i="34"/>
  <c r="P33" i="34"/>
  <c r="P29" i="34"/>
  <c r="P25" i="34"/>
  <c r="T21" i="34"/>
  <c r="B13" i="52"/>
  <c r="D24" i="40"/>
  <c r="P21" i="38"/>
  <c r="D20" i="38"/>
  <c r="D13" i="37"/>
  <c r="P22" i="41"/>
  <c r="T16" i="41"/>
  <c r="P29" i="40"/>
  <c r="P16" i="38"/>
  <c r="D15" i="38"/>
  <c r="H12" i="38"/>
  <c r="P24" i="37"/>
  <c r="H22" i="37"/>
  <c r="H20" i="37"/>
  <c r="H16" i="37"/>
  <c r="B13" i="37"/>
  <c r="P20" i="35"/>
  <c r="P16" i="35"/>
  <c r="D12" i="35"/>
  <c r="P21" i="34"/>
  <c r="T15" i="34"/>
  <c r="P13" i="34"/>
  <c r="H12" i="34"/>
  <c r="P16" i="41"/>
  <c r="H25" i="38"/>
  <c r="D12" i="38"/>
  <c r="D22" i="37"/>
  <c r="D21" i="37"/>
  <c r="H15" i="37"/>
  <c r="H34" i="35"/>
  <c r="H33" i="35"/>
  <c r="H29" i="35"/>
  <c r="H25" i="35"/>
  <c r="P15" i="35"/>
  <c r="D5" i="35"/>
  <c r="B22" i="41"/>
  <c r="D22" i="40"/>
  <c r="H16" i="40"/>
  <c r="P22" i="38"/>
  <c r="D21" i="38"/>
  <c r="T13" i="38"/>
  <c r="D5" i="38"/>
  <c r="P33" i="37"/>
  <c r="P25" i="37"/>
  <c r="B22" i="37"/>
  <c r="B21" i="37"/>
  <c r="D20" i="37"/>
  <c r="D16" i="37"/>
  <c r="B39" i="35"/>
  <c r="H24" i="35"/>
  <c r="H22" i="35"/>
  <c r="H13" i="35"/>
  <c r="D4" i="35"/>
  <c r="H34" i="34"/>
  <c r="H33" i="34"/>
  <c r="H29" i="34"/>
  <c r="H25" i="34"/>
  <c r="P15" i="34"/>
  <c r="D5" i="34"/>
  <c r="P34" i="40"/>
  <c r="T21" i="40"/>
  <c r="B21" i="38"/>
  <c r="D16" i="38"/>
  <c r="P13" i="38"/>
  <c r="B39" i="37"/>
  <c r="H24" i="37"/>
  <c r="B16" i="37"/>
  <c r="D15" i="37"/>
  <c r="T12" i="37"/>
  <c r="B38" i="35"/>
  <c r="D34" i="35"/>
  <c r="D33" i="35"/>
  <c r="D29" i="35"/>
  <c r="D25" i="35"/>
  <c r="H21" i="35"/>
  <c r="D13" i="35"/>
  <c r="B39" i="34"/>
  <c r="T21" i="46"/>
  <c r="P12" i="44"/>
  <c r="P21" i="40"/>
  <c r="T15" i="40"/>
  <c r="T33" i="38"/>
  <c r="B16" i="38"/>
  <c r="D24" i="37"/>
  <c r="P12" i="37"/>
  <c r="B25" i="35"/>
  <c r="D24" i="35"/>
  <c r="D22" i="35"/>
  <c r="H15" i="41"/>
  <c r="H12" i="35"/>
  <c r="B25" i="34"/>
  <c r="T24" i="32"/>
  <c r="T22" i="32"/>
  <c r="P12" i="32"/>
  <c r="T34" i="31"/>
  <c r="T33" i="31"/>
  <c r="T29" i="31"/>
  <c r="T25" i="31"/>
  <c r="B16" i="31"/>
  <c r="D15" i="31"/>
  <c r="T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38" i="34"/>
  <c r="D29" i="34"/>
  <c r="P24" i="34"/>
  <c r="H16" i="34"/>
  <c r="H13" i="34"/>
  <c r="P34" i="32"/>
  <c r="P33" i="32"/>
  <c r="P29" i="32"/>
  <c r="P25" i="32"/>
  <c r="T21" i="32"/>
  <c r="T24" i="31"/>
  <c r="T22" i="31"/>
  <c r="P12" i="31"/>
  <c r="B25" i="29"/>
  <c r="D24" i="29"/>
  <c r="P34" i="37"/>
  <c r="B16" i="34"/>
  <c r="D13" i="34"/>
  <c r="P24" i="32"/>
  <c r="P22" i="32"/>
  <c r="T20" i="32"/>
  <c r="T16" i="32"/>
  <c r="T13" i="32"/>
  <c r="P34" i="31"/>
  <c r="P33" i="31"/>
  <c r="P29" i="31"/>
  <c r="P25" i="31"/>
  <c r="T21" i="31"/>
  <c r="B22" i="29"/>
  <c r="D21" i="29"/>
  <c r="H15" i="29"/>
  <c r="B25" i="28"/>
  <c r="D24" i="28"/>
  <c r="D22" i="28"/>
  <c r="H20" i="28"/>
  <c r="H16" i="28"/>
  <c r="B13" i="28"/>
  <c r="T33" i="43"/>
  <c r="D33" i="34"/>
  <c r="H24" i="34"/>
  <c r="B13" i="34"/>
  <c r="P21" i="32"/>
  <c r="T15" i="32"/>
  <c r="P13" i="32"/>
  <c r="H12" i="32"/>
  <c r="P24" i="31"/>
  <c r="P22" i="31"/>
  <c r="T20" i="31"/>
  <c r="T16" i="31"/>
  <c r="T13" i="31"/>
  <c r="B21" i="29"/>
  <c r="D20" i="29"/>
  <c r="D16" i="29"/>
  <c r="B22" i="28"/>
  <c r="D21" i="28"/>
  <c r="H15" i="28"/>
  <c r="P33" i="38"/>
  <c r="H16" i="35"/>
  <c r="H21" i="34"/>
  <c r="T12" i="34"/>
  <c r="P20" i="32"/>
  <c r="P16" i="32"/>
  <c r="D12" i="32"/>
  <c r="P21" i="31"/>
  <c r="T15" i="31"/>
  <c r="P13" i="31"/>
  <c r="H12" i="31"/>
  <c r="T34" i="29"/>
  <c r="T33" i="29"/>
  <c r="T29" i="29"/>
  <c r="T25" i="29"/>
  <c r="B16" i="29"/>
  <c r="D15" i="29"/>
  <c r="T12" i="29"/>
  <c r="B21" i="28"/>
  <c r="D20" i="28"/>
  <c r="D16" i="28"/>
  <c r="B22" i="35"/>
  <c r="D24" i="34"/>
  <c r="H34" i="32"/>
  <c r="H33" i="32"/>
  <c r="H29" i="32"/>
  <c r="H25" i="32"/>
  <c r="P15" i="32"/>
  <c r="D5" i="32"/>
  <c r="P20" i="31"/>
  <c r="P16" i="31"/>
  <c r="D12" i="31"/>
  <c r="T24" i="29"/>
  <c r="T22" i="29"/>
  <c r="P12" i="29"/>
  <c r="T34" i="28"/>
  <c r="T33" i="28"/>
  <c r="T29" i="28"/>
  <c r="T25" i="28"/>
  <c r="B16" i="28"/>
  <c r="D15" i="28"/>
  <c r="T12" i="28"/>
  <c r="P21" i="35"/>
  <c r="T15" i="35"/>
  <c r="B39" i="32"/>
  <c r="H24" i="32"/>
  <c r="H22" i="32"/>
  <c r="H13" i="32"/>
  <c r="D4" i="32"/>
  <c r="H34" i="31"/>
  <c r="H33" i="31"/>
  <c r="H29" i="31"/>
  <c r="H25" i="31"/>
  <c r="P15" i="31"/>
  <c r="D5" i="31"/>
  <c r="P22" i="34"/>
  <c r="T20" i="34"/>
  <c r="D12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D21" i="35"/>
  <c r="H15" i="35"/>
  <c r="P20" i="34"/>
  <c r="D4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21" i="29"/>
  <c r="T15" i="29"/>
  <c r="P13" i="29"/>
  <c r="H12" i="29"/>
  <c r="P24" i="28"/>
  <c r="P22" i="28"/>
  <c r="T20" i="28"/>
  <c r="T16" i="28"/>
  <c r="T13" i="28"/>
  <c r="P13" i="35"/>
  <c r="H22" i="34"/>
  <c r="T16" i="34"/>
  <c r="D15" i="34"/>
  <c r="B22" i="32"/>
  <c r="D21" i="32"/>
  <c r="H15" i="32"/>
  <c r="B25" i="31"/>
  <c r="D24" i="31"/>
  <c r="D22" i="31"/>
  <c r="H20" i="31"/>
  <c r="H16" i="31"/>
  <c r="B13" i="31"/>
  <c r="P20" i="29"/>
  <c r="P16" i="29"/>
  <c r="D12" i="29"/>
  <c r="P21" i="28"/>
  <c r="T15" i="28"/>
  <c r="P13" i="28"/>
  <c r="H12" i="28"/>
  <c r="H20" i="35"/>
  <c r="B13" i="35"/>
  <c r="D34" i="34"/>
  <c r="P16" i="34"/>
  <c r="B21" i="32"/>
  <c r="D20" i="32"/>
  <c r="D16" i="32"/>
  <c r="B22" i="31"/>
  <c r="D21" i="31"/>
  <c r="H15" i="31"/>
  <c r="H34" i="29"/>
  <c r="H33" i="29"/>
  <c r="H29" i="29"/>
  <c r="H25" i="29"/>
  <c r="P15" i="29"/>
  <c r="D5" i="29"/>
  <c r="P20" i="28"/>
  <c r="P16" i="28"/>
  <c r="D12" i="28"/>
  <c r="D22" i="34"/>
  <c r="T25" i="32"/>
  <c r="P22" i="29"/>
  <c r="T13" i="29"/>
  <c r="P34" i="28"/>
  <c r="P29" i="28"/>
  <c r="T24" i="26"/>
  <c r="T22" i="26"/>
  <c r="P12" i="26"/>
  <c r="T34" i="25"/>
  <c r="T33" i="25"/>
  <c r="T29" i="25"/>
  <c r="T25" i="25"/>
  <c r="B16" i="25"/>
  <c r="D15" i="25"/>
  <c r="T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H20" i="34"/>
  <c r="H22" i="29"/>
  <c r="H13" i="29"/>
  <c r="H34" i="28"/>
  <c r="H29" i="28"/>
  <c r="P15" i="28"/>
  <c r="P34" i="26"/>
  <c r="P33" i="26"/>
  <c r="P29" i="26"/>
  <c r="P25" i="26"/>
  <c r="T21" i="26"/>
  <c r="T24" i="25"/>
  <c r="T22" i="25"/>
  <c r="P12" i="25"/>
  <c r="B22" i="23"/>
  <c r="D21" i="23"/>
  <c r="H15" i="23"/>
  <c r="B25" i="22"/>
  <c r="D24" i="22"/>
  <c r="D22" i="22"/>
  <c r="H20" i="22"/>
  <c r="H16" i="22"/>
  <c r="B13" i="22"/>
  <c r="P34" i="29"/>
  <c r="D22" i="29"/>
  <c r="B13" i="29"/>
  <c r="D34" i="28"/>
  <c r="D29" i="28"/>
  <c r="P24" i="26"/>
  <c r="P22" i="26"/>
  <c r="T20" i="26"/>
  <c r="T16" i="26"/>
  <c r="T13" i="26"/>
  <c r="P34" i="25"/>
  <c r="P33" i="25"/>
  <c r="P29" i="25"/>
  <c r="P25" i="25"/>
  <c r="T21" i="25"/>
  <c r="B21" i="23"/>
  <c r="D20" i="23"/>
  <c r="D16" i="23"/>
  <c r="B22" i="22"/>
  <c r="D21" i="22"/>
  <c r="H15" i="22"/>
  <c r="T13" i="34"/>
  <c r="T21" i="29"/>
  <c r="T22" i="28"/>
  <c r="P21" i="26"/>
  <c r="T15" i="26"/>
  <c r="P13" i="26"/>
  <c r="H12" i="26"/>
  <c r="P24" i="25"/>
  <c r="P22" i="25"/>
  <c r="T20" i="25"/>
  <c r="T16" i="25"/>
  <c r="T13" i="25"/>
  <c r="T34" i="23"/>
  <c r="T33" i="23"/>
  <c r="T29" i="23"/>
  <c r="T25" i="23"/>
  <c r="B16" i="23"/>
  <c r="D15" i="23"/>
  <c r="T12" i="23"/>
  <c r="B21" i="22"/>
  <c r="D20" i="22"/>
  <c r="D16" i="22"/>
  <c r="T16" i="29"/>
  <c r="P33" i="28"/>
  <c r="P20" i="26"/>
  <c r="P16" i="26"/>
  <c r="D12" i="26"/>
  <c r="P21" i="25"/>
  <c r="T15" i="25"/>
  <c r="P13" i="25"/>
  <c r="H12" i="25"/>
  <c r="T24" i="23"/>
  <c r="T22" i="23"/>
  <c r="P12" i="23"/>
  <c r="T34" i="22"/>
  <c r="T33" i="22"/>
  <c r="T29" i="22"/>
  <c r="T25" i="22"/>
  <c r="B16" i="22"/>
  <c r="D15" i="22"/>
  <c r="T12" i="22"/>
  <c r="B38" i="20"/>
  <c r="D34" i="20"/>
  <c r="D33" i="20"/>
  <c r="P33" i="29"/>
  <c r="P25" i="29"/>
  <c r="D4" i="29"/>
  <c r="H33" i="28"/>
  <c r="H34" i="26"/>
  <c r="H33" i="26"/>
  <c r="H29" i="26"/>
  <c r="H25" i="26"/>
  <c r="P15" i="26"/>
  <c r="D5" i="26"/>
  <c r="P20" i="25"/>
  <c r="P16" i="25"/>
  <c r="D12" i="25"/>
  <c r="P34" i="23"/>
  <c r="P33" i="23"/>
  <c r="P29" i="23"/>
  <c r="P25" i="23"/>
  <c r="T21" i="23"/>
  <c r="T24" i="22"/>
  <c r="T22" i="22"/>
  <c r="P12" i="22"/>
  <c r="D21" i="41"/>
  <c r="H16" i="29"/>
  <c r="B38" i="28"/>
  <c r="D33" i="28"/>
  <c r="D13" i="28"/>
  <c r="B39" i="26"/>
  <c r="H24" i="26"/>
  <c r="H22" i="26"/>
  <c r="H13" i="26"/>
  <c r="D4" i="26"/>
  <c r="H34" i="25"/>
  <c r="H33" i="25"/>
  <c r="H29" i="25"/>
  <c r="H25" i="25"/>
  <c r="P15" i="25"/>
  <c r="D5" i="25"/>
  <c r="P24" i="23"/>
  <c r="P22" i="23"/>
  <c r="T20" i="23"/>
  <c r="T16" i="23"/>
  <c r="T13" i="23"/>
  <c r="P34" i="22"/>
  <c r="P33" i="22"/>
  <c r="P29" i="22"/>
  <c r="P25" i="22"/>
  <c r="T21" i="22"/>
  <c r="T34" i="32"/>
  <c r="B16" i="32"/>
  <c r="P12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T33" i="32"/>
  <c r="D15" i="32"/>
  <c r="B21" i="31"/>
  <c r="T20" i="29"/>
  <c r="P25" i="28"/>
  <c r="T21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20" i="23"/>
  <c r="P16" i="23"/>
  <c r="D12" i="23"/>
  <c r="P21" i="22"/>
  <c r="T15" i="22"/>
  <c r="P13" i="22"/>
  <c r="H12" i="22"/>
  <c r="T12" i="32"/>
  <c r="D20" i="31"/>
  <c r="P24" i="29"/>
  <c r="H25" i="28"/>
  <c r="D5" i="28"/>
  <c r="B22" i="26"/>
  <c r="D21" i="26"/>
  <c r="H15" i="26"/>
  <c r="B25" i="25"/>
  <c r="D24" i="25"/>
  <c r="D22" i="25"/>
  <c r="H20" i="25"/>
  <c r="H16" i="25"/>
  <c r="B13" i="25"/>
  <c r="H34" i="23"/>
  <c r="H33" i="23"/>
  <c r="H29" i="23"/>
  <c r="H25" i="23"/>
  <c r="P15" i="23"/>
  <c r="D5" i="23"/>
  <c r="P20" i="22"/>
  <c r="P16" i="22"/>
  <c r="D12" i="22"/>
  <c r="T29" i="32"/>
  <c r="B39" i="29"/>
  <c r="H24" i="29"/>
  <c r="H20" i="29"/>
  <c r="D25" i="28"/>
  <c r="H21" i="28"/>
  <c r="B21" i="26"/>
  <c r="D20" i="26"/>
  <c r="D16" i="26"/>
  <c r="B22" i="25"/>
  <c r="D21" i="25"/>
  <c r="H15" i="25"/>
  <c r="B39" i="23"/>
  <c r="H24" i="23"/>
  <c r="H22" i="23"/>
  <c r="H13" i="23"/>
  <c r="D4" i="23"/>
  <c r="H34" i="22"/>
  <c r="H33" i="22"/>
  <c r="H29" i="22"/>
  <c r="H25" i="22"/>
  <c r="P15" i="22"/>
  <c r="D5" i="22"/>
  <c r="P34" i="20"/>
  <c r="P33" i="20"/>
  <c r="P29" i="20"/>
  <c r="D25" i="34"/>
  <c r="D16" i="31"/>
  <c r="P29" i="29"/>
  <c r="T24" i="28"/>
  <c r="T34" i="26"/>
  <c r="T33" i="26"/>
  <c r="T29" i="26"/>
  <c r="T25" i="26"/>
  <c r="D15" i="26"/>
  <c r="B21" i="25"/>
  <c r="P22" i="22"/>
  <c r="T13" i="22"/>
  <c r="P21" i="20"/>
  <c r="T15" i="20"/>
  <c r="P13" i="20"/>
  <c r="H12" i="20"/>
  <c r="P24" i="19"/>
  <c r="P22" i="19"/>
  <c r="T20" i="19"/>
  <c r="T16" i="19"/>
  <c r="T13" i="19"/>
  <c r="T12" i="26"/>
  <c r="D20" i="25"/>
  <c r="D25" i="23"/>
  <c r="H22" i="22"/>
  <c r="H13" i="22"/>
  <c r="B39" i="20"/>
  <c r="T33" i="20"/>
  <c r="P20" i="20"/>
  <c r="P16" i="20"/>
  <c r="D12" i="20"/>
  <c r="P21" i="19"/>
  <c r="T15" i="19"/>
  <c r="P13" i="19"/>
  <c r="H12" i="19"/>
  <c r="T15" i="23"/>
  <c r="H29" i="20"/>
  <c r="H25" i="20"/>
  <c r="P15" i="20"/>
  <c r="D5" i="20"/>
  <c r="P20" i="19"/>
  <c r="P16" i="19"/>
  <c r="D12" i="19"/>
  <c r="D16" i="25"/>
  <c r="D34" i="23"/>
  <c r="D4" i="22"/>
  <c r="T34" i="20"/>
  <c r="H24" i="20"/>
  <c r="H22" i="20"/>
  <c r="H13" i="20"/>
  <c r="D4" i="20"/>
  <c r="H34" i="19"/>
  <c r="H33" i="19"/>
  <c r="H29" i="19"/>
  <c r="H25" i="19"/>
  <c r="P15" i="19"/>
  <c r="D5" i="19"/>
  <c r="P13" i="23"/>
  <c r="T20" i="22"/>
  <c r="D29" i="20"/>
  <c r="D25" i="20"/>
  <c r="H21" i="20"/>
  <c r="D13" i="20"/>
  <c r="B39" i="19"/>
  <c r="H24" i="19"/>
  <c r="H22" i="19"/>
  <c r="H13" i="19"/>
  <c r="D4" i="19"/>
  <c r="D33" i="23"/>
  <c r="D13" i="23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P21" i="23"/>
  <c r="H12" i="23"/>
  <c r="H33" i="20"/>
  <c r="B22" i="20"/>
  <c r="D21" i="20"/>
  <c r="H15" i="20"/>
  <c r="B25" i="19"/>
  <c r="D24" i="19"/>
  <c r="D22" i="19"/>
  <c r="H20" i="19"/>
  <c r="H16" i="19"/>
  <c r="B13" i="19"/>
  <c r="H21" i="23"/>
  <c r="B39" i="22"/>
  <c r="B21" i="20"/>
  <c r="D20" i="20"/>
  <c r="D16" i="20"/>
  <c r="B22" i="19"/>
  <c r="D21" i="19"/>
  <c r="H15" i="19"/>
  <c r="T16" i="22"/>
  <c r="H34" i="20"/>
  <c r="T25" i="20"/>
  <c r="B16" i="20"/>
  <c r="D15" i="20"/>
  <c r="T12" i="20"/>
  <c r="B21" i="19"/>
  <c r="D20" i="19"/>
  <c r="D16" i="19"/>
  <c r="D29" i="23"/>
  <c r="T29" i="20"/>
  <c r="T24" i="20"/>
  <c r="T22" i="20"/>
  <c r="P12" i="20"/>
  <c r="T34" i="19"/>
  <c r="T33" i="19"/>
  <c r="T29" i="19"/>
  <c r="T25" i="19"/>
  <c r="B16" i="19"/>
  <c r="D15" i="19"/>
  <c r="T12" i="19"/>
  <c r="P24" i="22"/>
  <c r="P25" i="20"/>
  <c r="T21" i="20"/>
  <c r="T24" i="19"/>
  <c r="T22" i="19"/>
  <c r="P12" i="19"/>
  <c r="B16" i="26"/>
  <c r="B38" i="23"/>
  <c r="H24" i="22"/>
  <c r="P24" i="20"/>
  <c r="P22" i="20"/>
  <c r="T20" i="20"/>
  <c r="T16" i="20"/>
  <c r="T13" i="20"/>
  <c r="P34" i="19"/>
  <c r="P33" i="19"/>
  <c r="P29" i="19"/>
  <c r="P25" i="19"/>
  <c r="T21" i="19"/>
  <c r="B39" i="17"/>
  <c r="H24" i="17"/>
  <c r="H22" i="17"/>
  <c r="H13" i="17"/>
  <c r="D4" i="17"/>
  <c r="H34" i="16"/>
  <c r="H33" i="16"/>
  <c r="H29" i="16"/>
  <c r="H25" i="16"/>
  <c r="P15" i="16"/>
  <c r="D5" i="16"/>
  <c r="B21" i="14"/>
  <c r="D20" i="14"/>
  <c r="D16" i="14"/>
  <c r="B22" i="13"/>
  <c r="D21" i="13"/>
  <c r="H15" i="13"/>
  <c r="B21" i="11"/>
  <c r="D20" i="11"/>
  <c r="B38" i="17"/>
  <c r="D34" i="17"/>
  <c r="D33" i="17"/>
  <c r="D29" i="17"/>
  <c r="D25" i="17"/>
  <c r="H21" i="17"/>
  <c r="D13" i="17"/>
  <c r="B39" i="16"/>
  <c r="H24" i="16"/>
  <c r="H22" i="16"/>
  <c r="H13" i="16"/>
  <c r="D4" i="16"/>
  <c r="T34" i="14"/>
  <c r="T33" i="14"/>
  <c r="T29" i="14"/>
  <c r="T25" i="14"/>
  <c r="B16" i="14"/>
  <c r="D15" i="14"/>
  <c r="T12" i="14"/>
  <c r="B21" i="13"/>
  <c r="D20" i="13"/>
  <c r="D16" i="13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24" i="14"/>
  <c r="T22" i="14"/>
  <c r="P12" i="14"/>
  <c r="T34" i="13"/>
  <c r="T33" i="13"/>
  <c r="T29" i="13"/>
  <c r="T25" i="13"/>
  <c r="B16" i="13"/>
  <c r="D15" i="13"/>
  <c r="T12" i="13"/>
  <c r="B22" i="17"/>
  <c r="D21" i="17"/>
  <c r="H15" i="17"/>
  <c r="B25" i="16"/>
  <c r="D24" i="16"/>
  <c r="D22" i="16"/>
  <c r="H20" i="16"/>
  <c r="H16" i="16"/>
  <c r="B13" i="16"/>
  <c r="P34" i="14"/>
  <c r="P33" i="14"/>
  <c r="P29" i="14"/>
  <c r="P25" i="14"/>
  <c r="T21" i="14"/>
  <c r="T24" i="13"/>
  <c r="T22" i="13"/>
  <c r="P12" i="13"/>
  <c r="P34" i="11"/>
  <c r="P33" i="11"/>
  <c r="B21" i="17"/>
  <c r="D20" i="17"/>
  <c r="D16" i="17"/>
  <c r="B22" i="16"/>
  <c r="D21" i="16"/>
  <c r="H15" i="16"/>
  <c r="P24" i="14"/>
  <c r="P22" i="14"/>
  <c r="T20" i="14"/>
  <c r="T16" i="14"/>
  <c r="T13" i="14"/>
  <c r="P34" i="13"/>
  <c r="P33" i="13"/>
  <c r="P29" i="13"/>
  <c r="P25" i="13"/>
  <c r="T21" i="13"/>
  <c r="T34" i="17"/>
  <c r="T33" i="17"/>
  <c r="T29" i="17"/>
  <c r="T25" i="17"/>
  <c r="B16" i="17"/>
  <c r="D15" i="17"/>
  <c r="T12" i="17"/>
  <c r="B21" i="16"/>
  <c r="D20" i="16"/>
  <c r="D16" i="16"/>
  <c r="P21" i="14"/>
  <c r="T15" i="14"/>
  <c r="P13" i="14"/>
  <c r="H12" i="14"/>
  <c r="P24" i="13"/>
  <c r="P22" i="13"/>
  <c r="T20" i="13"/>
  <c r="T16" i="13"/>
  <c r="T13" i="13"/>
  <c r="T24" i="17"/>
  <c r="T22" i="17"/>
  <c r="P12" i="17"/>
  <c r="T34" i="16"/>
  <c r="T33" i="16"/>
  <c r="T29" i="16"/>
  <c r="T25" i="16"/>
  <c r="B16" i="16"/>
  <c r="D15" i="16"/>
  <c r="T12" i="16"/>
  <c r="P20" i="14"/>
  <c r="P16" i="14"/>
  <c r="D12" i="14"/>
  <c r="P21" i="13"/>
  <c r="T15" i="13"/>
  <c r="P13" i="13"/>
  <c r="H12" i="13"/>
  <c r="P34" i="17"/>
  <c r="P33" i="17"/>
  <c r="P29" i="17"/>
  <c r="P25" i="17"/>
  <c r="T21" i="17"/>
  <c r="T24" i="16"/>
  <c r="T22" i="16"/>
  <c r="P12" i="16"/>
  <c r="H34" i="14"/>
  <c r="H33" i="14"/>
  <c r="H29" i="14"/>
  <c r="H25" i="14"/>
  <c r="P15" i="14"/>
  <c r="D5" i="14"/>
  <c r="P20" i="13"/>
  <c r="P16" i="13"/>
  <c r="D12" i="13"/>
  <c r="P24" i="17"/>
  <c r="P22" i="17"/>
  <c r="T20" i="17"/>
  <c r="T16" i="17"/>
  <c r="T13" i="17"/>
  <c r="P34" i="16"/>
  <c r="P33" i="16"/>
  <c r="P29" i="16"/>
  <c r="P25" i="16"/>
  <c r="T21" i="16"/>
  <c r="B39" i="14"/>
  <c r="H24" i="14"/>
  <c r="H22" i="14"/>
  <c r="H13" i="14"/>
  <c r="D4" i="14"/>
  <c r="H34" i="13"/>
  <c r="H33" i="13"/>
  <c r="H29" i="13"/>
  <c r="H25" i="13"/>
  <c r="P15" i="13"/>
  <c r="D5" i="13"/>
  <c r="P21" i="17"/>
  <c r="T15" i="17"/>
  <c r="P13" i="17"/>
  <c r="H12" i="17"/>
  <c r="P24" i="16"/>
  <c r="P22" i="16"/>
  <c r="T20" i="16"/>
  <c r="T16" i="16"/>
  <c r="T13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B38" i="11"/>
  <c r="D34" i="11"/>
  <c r="D33" i="11"/>
  <c r="D29" i="11"/>
  <c r="D25" i="11"/>
  <c r="H21" i="11"/>
  <c r="P20" i="17"/>
  <c r="P16" i="17"/>
  <c r="D12" i="17"/>
  <c r="P21" i="16"/>
  <c r="T15" i="16"/>
  <c r="P13" i="16"/>
  <c r="H1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H16" i="13"/>
  <c r="H29" i="11"/>
  <c r="P21" i="11"/>
  <c r="H15" i="11"/>
  <c r="B25" i="10"/>
  <c r="D24" i="10"/>
  <c r="D22" i="10"/>
  <c r="H20" i="10"/>
  <c r="H16" i="10"/>
  <c r="B13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H25" i="17"/>
  <c r="T24" i="11"/>
  <c r="P22" i="11"/>
  <c r="D16" i="11"/>
  <c r="B22" i="10"/>
  <c r="D21" i="10"/>
  <c r="H15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12" i="16"/>
  <c r="B13" i="13"/>
  <c r="T34" i="11"/>
  <c r="T25" i="11"/>
  <c r="H20" i="11"/>
  <c r="B16" i="11"/>
  <c r="D15" i="11"/>
  <c r="T12" i="11"/>
  <c r="B21" i="10"/>
  <c r="D20" i="10"/>
  <c r="D16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B39" i="11"/>
  <c r="P24" i="11"/>
  <c r="P12" i="11"/>
  <c r="T34" i="10"/>
  <c r="T33" i="10"/>
  <c r="T29" i="10"/>
  <c r="T25" i="10"/>
  <c r="B16" i="10"/>
  <c r="D15" i="10"/>
  <c r="T12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B22" i="14"/>
  <c r="H33" i="11"/>
  <c r="P25" i="11"/>
  <c r="T24" i="10"/>
  <c r="T22" i="10"/>
  <c r="P12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21" i="14"/>
  <c r="H22" i="11"/>
  <c r="D21" i="11"/>
  <c r="T16" i="11"/>
  <c r="T13" i="11"/>
  <c r="P34" i="10"/>
  <c r="P33" i="10"/>
  <c r="P29" i="10"/>
  <c r="P25" i="10"/>
  <c r="T21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B25" i="13"/>
  <c r="T29" i="11"/>
  <c r="D22" i="11"/>
  <c r="T15" i="11"/>
  <c r="P13" i="11"/>
  <c r="H12" i="11"/>
  <c r="P24" i="10"/>
  <c r="P22" i="10"/>
  <c r="T20" i="10"/>
  <c r="T16" i="10"/>
  <c r="T13" i="10"/>
  <c r="D24" i="13"/>
  <c r="H34" i="11"/>
  <c r="H24" i="11"/>
  <c r="B22" i="11"/>
  <c r="P16" i="11"/>
  <c r="D12" i="11"/>
  <c r="P21" i="10"/>
  <c r="T15" i="10"/>
  <c r="P13" i="10"/>
  <c r="H12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H34" i="17"/>
  <c r="P15" i="17"/>
  <c r="D22" i="13"/>
  <c r="P29" i="11"/>
  <c r="H25" i="11"/>
  <c r="D24" i="11"/>
  <c r="P15" i="11"/>
  <c r="D5" i="11"/>
  <c r="P20" i="10"/>
  <c r="P16" i="10"/>
  <c r="D12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H33" i="17"/>
  <c r="P20" i="16"/>
  <c r="H15" i="14"/>
  <c r="T20" i="11"/>
  <c r="H13" i="11"/>
  <c r="D4" i="11"/>
  <c r="H34" i="10"/>
  <c r="H33" i="10"/>
  <c r="H29" i="10"/>
  <c r="H25" i="10"/>
  <c r="P15" i="10"/>
  <c r="D5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D5" i="17"/>
  <c r="H20" i="13"/>
  <c r="B25" i="11"/>
  <c r="T21" i="11"/>
  <c r="D13" i="11"/>
  <c r="B39" i="10"/>
  <c r="H24" i="10"/>
  <c r="H22" i="10"/>
  <c r="H13" i="10"/>
  <c r="D4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33" i="8"/>
  <c r="D15" i="8"/>
  <c r="B21" i="7"/>
  <c r="T12" i="5"/>
  <c r="D20" i="4"/>
  <c r="H29" i="17"/>
  <c r="H16" i="11"/>
  <c r="H22" i="8"/>
  <c r="H13" i="8"/>
  <c r="H29" i="7"/>
  <c r="D12" i="5"/>
  <c r="H21" i="10"/>
  <c r="T12" i="8"/>
  <c r="D20" i="7"/>
  <c r="T29" i="5"/>
  <c r="P16" i="16"/>
  <c r="B13" i="11"/>
  <c r="D4" i="8"/>
  <c r="P20" i="5"/>
  <c r="T33" i="11"/>
  <c r="B38" i="10"/>
  <c r="T29" i="8"/>
  <c r="D16" i="4"/>
  <c r="H25" i="7"/>
  <c r="T15" i="4"/>
  <c r="D34" i="10"/>
  <c r="D16" i="7"/>
  <c r="T25" i="5"/>
  <c r="D33" i="10"/>
  <c r="D13" i="10"/>
  <c r="B39" i="8"/>
  <c r="H34" i="7"/>
  <c r="P15" i="7"/>
  <c r="P16" i="5"/>
  <c r="P13" i="4"/>
  <c r="T25" i="8"/>
  <c r="T34" i="5"/>
  <c r="B16" i="5"/>
  <c r="T22" i="11"/>
  <c r="D29" i="10"/>
  <c r="H33" i="7"/>
  <c r="P21" i="4"/>
  <c r="H12" i="4"/>
  <c r="H24" i="8"/>
  <c r="T34" i="8"/>
  <c r="B16" i="8"/>
  <c r="T33" i="5"/>
  <c r="D15" i="5"/>
  <c r="B21" i="4"/>
  <c r="P20" i="11"/>
  <c r="D25" i="10"/>
  <c r="D5" i="7"/>
  <c r="L25" i="10" l="1"/>
  <c r="X20" i="11"/>
  <c r="L15" i="5"/>
  <c r="Z33" i="5"/>
  <c r="Z34" i="8"/>
  <c r="N24" i="8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21" i="4"/>
  <c r="N33" i="7"/>
  <c r="L29" i="10"/>
  <c r="Z22" i="11"/>
  <c r="Z34" i="5"/>
  <c r="Z25" i="8"/>
  <c r="X13" i="4"/>
  <c r="X16" i="5"/>
  <c r="X15" i="7"/>
  <c r="N34" i="7"/>
  <c r="L13" i="10"/>
  <c r="L33" i="10"/>
  <c r="Z25" i="5"/>
  <c r="L16" i="7"/>
  <c r="L34" i="10"/>
  <c r="Z15" i="4"/>
  <c r="N25" i="7"/>
  <c r="L16" i="4"/>
  <c r="Z29" i="8"/>
  <c r="Z33" i="11"/>
  <c r="X20" i="5"/>
  <c r="X16" i="16"/>
  <c r="Z29" i="5"/>
  <c r="L20" i="7"/>
  <c r="V21" i="8"/>
  <c r="V20" i="8"/>
  <c r="V18" i="8"/>
  <c r="V16" i="8"/>
  <c r="T18" i="8"/>
  <c r="V15" i="8"/>
  <c r="Z12" i="8"/>
  <c r="V36" i="8"/>
  <c r="V34" i="8"/>
  <c r="V33" i="8"/>
  <c r="V31" i="8"/>
  <c r="V29" i="8"/>
  <c r="V27" i="8"/>
  <c r="V25" i="8"/>
  <c r="V22" i="8"/>
  <c r="V24" i="8"/>
  <c r="N21" i="10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N29" i="7"/>
  <c r="N13" i="8"/>
  <c r="N22" i="8"/>
  <c r="N16" i="11"/>
  <c r="N29" i="17"/>
  <c r="L20" i="4"/>
  <c r="Z12" i="5"/>
  <c r="V36" i="5"/>
  <c r="V34" i="5"/>
  <c r="V33" i="5"/>
  <c r="V31" i="5"/>
  <c r="V29" i="5"/>
  <c r="V27" i="5"/>
  <c r="V25" i="5"/>
  <c r="V21" i="5"/>
  <c r="V20" i="5"/>
  <c r="V18" i="5"/>
  <c r="V16" i="5"/>
  <c r="T18" i="5"/>
  <c r="V15" i="5"/>
  <c r="V24" i="5"/>
  <c r="V22" i="5"/>
  <c r="L15" i="8"/>
  <c r="Z33" i="8"/>
  <c r="Z13" i="4"/>
  <c r="Z16" i="4"/>
  <c r="Z20" i="4"/>
  <c r="X22" i="4"/>
  <c r="X24" i="4"/>
  <c r="J24" i="5"/>
  <c r="J22" i="5"/>
  <c r="J21" i="5"/>
  <c r="J20" i="5"/>
  <c r="J18" i="5"/>
  <c r="J16" i="5"/>
  <c r="H18" i="5"/>
  <c r="J15" i="5"/>
  <c r="N12" i="5"/>
  <c r="J31" i="5"/>
  <c r="J29" i="5"/>
  <c r="J27" i="5"/>
  <c r="J36" i="5"/>
  <c r="J25" i="5"/>
  <c r="J34" i="5"/>
  <c r="J33" i="5"/>
  <c r="X13" i="5"/>
  <c r="Z15" i="5"/>
  <c r="X21" i="5"/>
  <c r="N15" i="7"/>
  <c r="L21" i="7"/>
  <c r="L16" i="8"/>
  <c r="L20" i="8"/>
  <c r="N13" i="10"/>
  <c r="N22" i="10"/>
  <c r="N24" i="10"/>
  <c r="L13" i="11"/>
  <c r="Z21" i="11"/>
  <c r="N20" i="13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5" i="10"/>
  <c r="N25" i="10"/>
  <c r="N29" i="10"/>
  <c r="N33" i="10"/>
  <c r="N34" i="10"/>
  <c r="N13" i="11"/>
  <c r="Z20" i="11"/>
  <c r="N15" i="14"/>
  <c r="X20" i="16"/>
  <c r="N33" i="17"/>
  <c r="P18" i="4"/>
  <c r="R15" i="4"/>
  <c r="R36" i="4"/>
  <c r="R34" i="4"/>
  <c r="R33" i="4"/>
  <c r="R31" i="4"/>
  <c r="R29" i="4"/>
  <c r="R27" i="4"/>
  <c r="R25" i="4"/>
  <c r="R24" i="4"/>
  <c r="R22" i="4"/>
  <c r="R21" i="4"/>
  <c r="R18" i="4"/>
  <c r="R16" i="4"/>
  <c r="X12" i="4"/>
  <c r="R20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F21" i="10"/>
  <c r="F20" i="10"/>
  <c r="F18" i="10"/>
  <c r="F16" i="10"/>
  <c r="D18" i="10"/>
  <c r="F15" i="10"/>
  <c r="L12" i="10"/>
  <c r="F36" i="10"/>
  <c r="F34" i="10"/>
  <c r="F33" i="10"/>
  <c r="F31" i="10"/>
  <c r="F29" i="10"/>
  <c r="F27" i="10"/>
  <c r="F25" i="10"/>
  <c r="F24" i="10"/>
  <c r="F22" i="10"/>
  <c r="X16" i="10"/>
  <c r="X20" i="10"/>
  <c r="X15" i="11"/>
  <c r="L24" i="11"/>
  <c r="N25" i="11"/>
  <c r="X29" i="11"/>
  <c r="L22" i="13"/>
  <c r="X15" i="17"/>
  <c r="N34" i="17"/>
  <c r="Z12" i="4"/>
  <c r="V24" i="4"/>
  <c r="V22" i="4"/>
  <c r="V21" i="4"/>
  <c r="V20" i="4"/>
  <c r="V18" i="4"/>
  <c r="V16" i="4"/>
  <c r="T18" i="4"/>
  <c r="V15" i="4"/>
  <c r="V27" i="4"/>
  <c r="V36" i="4"/>
  <c r="V25" i="4"/>
  <c r="V34" i="4"/>
  <c r="V33" i="4"/>
  <c r="V31" i="4"/>
  <c r="V29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L13" i="8"/>
  <c r="N21" i="8"/>
  <c r="L25" i="8"/>
  <c r="L29" i="8"/>
  <c r="L33" i="8"/>
  <c r="L34" i="8"/>
  <c r="H18" i="10"/>
  <c r="J15" i="10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X13" i="10"/>
  <c r="Z15" i="10"/>
  <c r="X21" i="10"/>
  <c r="D18" i="11"/>
  <c r="F24" i="11"/>
  <c r="F22" i="11"/>
  <c r="F16" i="11"/>
  <c r="F29" i="11"/>
  <c r="F18" i="11"/>
  <c r="F15" i="11"/>
  <c r="F31" i="11"/>
  <c r="F20" i="11"/>
  <c r="F21" i="11"/>
  <c r="F33" i="11"/>
  <c r="L12" i="11"/>
  <c r="F34" i="11"/>
  <c r="F25" i="11"/>
  <c r="F36" i="11"/>
  <c r="F27" i="11"/>
  <c r="X16" i="11"/>
  <c r="N24" i="11"/>
  <c r="N34" i="11"/>
  <c r="L24" i="13"/>
  <c r="Z13" i="10"/>
  <c r="Z16" i="10"/>
  <c r="Z20" i="10"/>
  <c r="X22" i="10"/>
  <c r="X24" i="10"/>
  <c r="J20" i="11"/>
  <c r="J18" i="11"/>
  <c r="H18" i="11"/>
  <c r="J31" i="11"/>
  <c r="J33" i="11"/>
  <c r="J21" i="11"/>
  <c r="J22" i="11"/>
  <c r="N12" i="11"/>
  <c r="J34" i="11"/>
  <c r="J24" i="11"/>
  <c r="J25" i="11"/>
  <c r="J36" i="11"/>
  <c r="J27" i="11"/>
  <c r="J16" i="11"/>
  <c r="J15" i="11"/>
  <c r="J29" i="11"/>
  <c r="X13" i="11"/>
  <c r="Z15" i="11"/>
  <c r="L22" i="11"/>
  <c r="Z29" i="11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16" i="7"/>
  <c r="X20" i="7"/>
  <c r="X15" i="8"/>
  <c r="N25" i="8"/>
  <c r="N29" i="8"/>
  <c r="N33" i="8"/>
  <c r="N34" i="8"/>
  <c r="Z21" i="10"/>
  <c r="X25" i="10"/>
  <c r="X29" i="10"/>
  <c r="X33" i="10"/>
  <c r="X34" i="10"/>
  <c r="Z13" i="11"/>
  <c r="Z16" i="11"/>
  <c r="L21" i="11"/>
  <c r="N22" i="11"/>
  <c r="L21" i="14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1" i="7"/>
  <c r="J20" i="7"/>
  <c r="J18" i="7"/>
  <c r="J16" i="7"/>
  <c r="H18" i="7"/>
  <c r="J15" i="7"/>
  <c r="J24" i="7"/>
  <c r="J22" i="7"/>
  <c r="X13" i="7"/>
  <c r="Z15" i="7"/>
  <c r="X21" i="7"/>
  <c r="L12" i="8"/>
  <c r="F24" i="8"/>
  <c r="F22" i="8"/>
  <c r="F21" i="8"/>
  <c r="F20" i="8"/>
  <c r="F18" i="8"/>
  <c r="F16" i="8"/>
  <c r="D18" i="8"/>
  <c r="F15" i="8"/>
  <c r="F34" i="8"/>
  <c r="F33" i="8"/>
  <c r="F31" i="8"/>
  <c r="F29" i="8"/>
  <c r="F27" i="8"/>
  <c r="F36" i="8"/>
  <c r="F25" i="8"/>
  <c r="X16" i="8"/>
  <c r="X20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X25" i="11"/>
  <c r="N33" i="11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0" i="8"/>
  <c r="J18" i="8"/>
  <c r="J16" i="8"/>
  <c r="H18" i="8"/>
  <c r="J15" i="8"/>
  <c r="J21" i="8"/>
  <c r="X13" i="8"/>
  <c r="Z15" i="8"/>
  <c r="X21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R36" i="11"/>
  <c r="R33" i="11"/>
  <c r="R22" i="11"/>
  <c r="X12" i="11"/>
  <c r="R24" i="11"/>
  <c r="R34" i="11"/>
  <c r="R25" i="11"/>
  <c r="R27" i="11"/>
  <c r="R16" i="11"/>
  <c r="R29" i="11"/>
  <c r="R15" i="11"/>
  <c r="R18" i="11"/>
  <c r="R31" i="11"/>
  <c r="P18" i="11"/>
  <c r="R20" i="11"/>
  <c r="R21" i="11"/>
  <c r="X24" i="11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16" i="10"/>
  <c r="L20" i="10"/>
  <c r="V36" i="11"/>
  <c r="V34" i="11"/>
  <c r="V33" i="11"/>
  <c r="V31" i="11"/>
  <c r="V29" i="11"/>
  <c r="V27" i="11"/>
  <c r="V25" i="11"/>
  <c r="V24" i="11"/>
  <c r="Z12" i="11"/>
  <c r="V16" i="11"/>
  <c r="V15" i="11"/>
  <c r="V18" i="11"/>
  <c r="T18" i="11"/>
  <c r="V20" i="11"/>
  <c r="V21" i="11"/>
  <c r="V22" i="11"/>
  <c r="L15" i="11"/>
  <c r="N20" i="11"/>
  <c r="Z25" i="11"/>
  <c r="Z34" i="11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X12" i="7"/>
  <c r="Z22" i="7"/>
  <c r="Z24" i="7"/>
  <c r="Z21" i="8"/>
  <c r="X25" i="8"/>
  <c r="X29" i="8"/>
  <c r="X33" i="8"/>
  <c r="X34" i="8"/>
  <c r="N15" i="10"/>
  <c r="L21" i="10"/>
  <c r="L16" i="11"/>
  <c r="X22" i="11"/>
  <c r="Z24" i="11"/>
  <c r="N25" i="17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L12" i="4"/>
  <c r="D18" i="4"/>
  <c r="F15" i="4"/>
  <c r="X16" i="4"/>
  <c r="X20" i="4"/>
  <c r="X15" i="5"/>
  <c r="N25" i="5"/>
  <c r="N29" i="5"/>
  <c r="N33" i="5"/>
  <c r="N34" i="5"/>
  <c r="V24" i="7"/>
  <c r="V22" i="7"/>
  <c r="V21" i="7"/>
  <c r="V20" i="7"/>
  <c r="V18" i="7"/>
  <c r="V16" i="7"/>
  <c r="T18" i="7"/>
  <c r="V15" i="7"/>
  <c r="Z12" i="7"/>
  <c r="V29" i="7"/>
  <c r="V27" i="7"/>
  <c r="V36" i="7"/>
  <c r="V25" i="7"/>
  <c r="V34" i="7"/>
  <c r="V33" i="7"/>
  <c r="V31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X12" i="8"/>
  <c r="Z22" i="8"/>
  <c r="Z24" i="8"/>
  <c r="N16" i="10"/>
  <c r="N20" i="10"/>
  <c r="L22" i="10"/>
  <c r="L24" i="10"/>
  <c r="N15" i="11"/>
  <c r="X21" i="11"/>
  <c r="N29" i="11"/>
  <c r="N16" i="13"/>
  <c r="L13" i="13"/>
  <c r="N21" i="13"/>
  <c r="L25" i="13"/>
  <c r="L29" i="13"/>
  <c r="L33" i="13"/>
  <c r="L34" i="13"/>
  <c r="N16" i="14"/>
  <c r="N20" i="14"/>
  <c r="L22" i="14"/>
  <c r="L24" i="14"/>
  <c r="J24" i="16"/>
  <c r="J22" i="16"/>
  <c r="J21" i="16"/>
  <c r="J20" i="16"/>
  <c r="J18" i="16"/>
  <c r="J16" i="16"/>
  <c r="H18" i="16"/>
  <c r="J15" i="16"/>
  <c r="N12" i="16"/>
  <c r="J34" i="16"/>
  <c r="J33" i="16"/>
  <c r="J31" i="16"/>
  <c r="J29" i="16"/>
  <c r="J27" i="16"/>
  <c r="J25" i="16"/>
  <c r="J36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X16" i="17"/>
  <c r="X20" i="17"/>
  <c r="N21" i="11"/>
  <c r="L25" i="11"/>
  <c r="L29" i="11"/>
  <c r="L33" i="11"/>
  <c r="L34" i="11"/>
  <c r="N13" i="13"/>
  <c r="N22" i="13"/>
  <c r="N24" i="13"/>
  <c r="L13" i="14"/>
  <c r="N21" i="14"/>
  <c r="L25" i="14"/>
  <c r="L29" i="14"/>
  <c r="L33" i="14"/>
  <c r="L34" i="14"/>
  <c r="Z13" i="16"/>
  <c r="Z16" i="16"/>
  <c r="Z20" i="16"/>
  <c r="X22" i="16"/>
  <c r="X24" i="16"/>
  <c r="J21" i="17"/>
  <c r="J20" i="17"/>
  <c r="J18" i="17"/>
  <c r="J16" i="17"/>
  <c r="H18" i="17"/>
  <c r="J15" i="17"/>
  <c r="N12" i="17"/>
  <c r="J36" i="17"/>
  <c r="J34" i="17"/>
  <c r="J33" i="17"/>
  <c r="J31" i="17"/>
  <c r="J29" i="17"/>
  <c r="J27" i="17"/>
  <c r="J25" i="17"/>
  <c r="J24" i="17"/>
  <c r="J22" i="17"/>
  <c r="X13" i="17"/>
  <c r="Z15" i="17"/>
  <c r="X21" i="17"/>
  <c r="X15" i="13"/>
  <c r="N25" i="13"/>
  <c r="N29" i="13"/>
  <c r="N33" i="13"/>
  <c r="N34" i="13"/>
  <c r="N13" i="14"/>
  <c r="N22" i="14"/>
  <c r="N24" i="14"/>
  <c r="Z21" i="16"/>
  <c r="X25" i="16"/>
  <c r="X29" i="16"/>
  <c r="X33" i="16"/>
  <c r="X34" i="16"/>
  <c r="Z13" i="17"/>
  <c r="Z16" i="17"/>
  <c r="Z20" i="17"/>
  <c r="X22" i="17"/>
  <c r="X24" i="17"/>
  <c r="F20" i="13"/>
  <c r="F18" i="13"/>
  <c r="F16" i="13"/>
  <c r="D18" i="13"/>
  <c r="F15" i="13"/>
  <c r="L12" i="13"/>
  <c r="F36" i="13"/>
  <c r="F34" i="13"/>
  <c r="F33" i="13"/>
  <c r="F31" i="13"/>
  <c r="F29" i="13"/>
  <c r="F27" i="13"/>
  <c r="F25" i="13"/>
  <c r="F24" i="13"/>
  <c r="F22" i="13"/>
  <c r="F21" i="13"/>
  <c r="X16" i="13"/>
  <c r="X20" i="13"/>
  <c r="X15" i="14"/>
  <c r="N25" i="14"/>
  <c r="N29" i="14"/>
  <c r="N33" i="14"/>
  <c r="N34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R15" i="16"/>
  <c r="P18" i="16"/>
  <c r="Z22" i="16"/>
  <c r="Z24" i="16"/>
  <c r="Z21" i="17"/>
  <c r="X25" i="17"/>
  <c r="X29" i="17"/>
  <c r="X33" i="17"/>
  <c r="X34" i="17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J15" i="13"/>
  <c r="H18" i="13"/>
  <c r="X13" i="13"/>
  <c r="Z15" i="13"/>
  <c r="X21" i="13"/>
  <c r="D18" i="14"/>
  <c r="F15" i="14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X16" i="14"/>
  <c r="X20" i="14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Z21" i="13"/>
  <c r="X25" i="13"/>
  <c r="X29" i="13"/>
  <c r="X33" i="13"/>
  <c r="X34" i="13"/>
  <c r="Z13" i="14"/>
  <c r="Z16" i="14"/>
  <c r="Z20" i="14"/>
  <c r="X22" i="14"/>
  <c r="X24" i="14"/>
  <c r="N15" i="16"/>
  <c r="L21" i="16"/>
  <c r="L16" i="17"/>
  <c r="L20" i="17"/>
  <c r="X33" i="11"/>
  <c r="X34" i="11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Z22" i="13"/>
  <c r="Z24" i="13"/>
  <c r="Z21" i="14"/>
  <c r="X25" i="14"/>
  <c r="X29" i="14"/>
  <c r="X33" i="14"/>
  <c r="X34" i="14"/>
  <c r="N16" i="16"/>
  <c r="N20" i="16"/>
  <c r="L22" i="16"/>
  <c r="L24" i="16"/>
  <c r="N15" i="17"/>
  <c r="L21" i="17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Z22" i="14"/>
  <c r="Z24" i="14"/>
  <c r="L13" i="16"/>
  <c r="N21" i="16"/>
  <c r="L25" i="16"/>
  <c r="L29" i="16"/>
  <c r="L33" i="16"/>
  <c r="L34" i="16"/>
  <c r="N16" i="17"/>
  <c r="N20" i="17"/>
  <c r="L22" i="17"/>
  <c r="L24" i="17"/>
  <c r="L16" i="13"/>
  <c r="L20" i="13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Z12" i="14"/>
  <c r="L15" i="14"/>
  <c r="Z25" i="14"/>
  <c r="Z29" i="14"/>
  <c r="Z33" i="14"/>
  <c r="Z34" i="14"/>
  <c r="N13" i="16"/>
  <c r="N22" i="16"/>
  <c r="N24" i="16"/>
  <c r="L13" i="17"/>
  <c r="N21" i="17"/>
  <c r="L25" i="17"/>
  <c r="L29" i="17"/>
  <c r="L33" i="17"/>
  <c r="L34" i="17"/>
  <c r="L20" i="11"/>
  <c r="N15" i="13"/>
  <c r="L21" i="13"/>
  <c r="L16" i="14"/>
  <c r="L20" i="14"/>
  <c r="X15" i="16"/>
  <c r="N25" i="16"/>
  <c r="N29" i="16"/>
  <c r="N33" i="16"/>
  <c r="N34" i="16"/>
  <c r="N13" i="17"/>
  <c r="N22" i="17"/>
  <c r="N24" i="17"/>
  <c r="Z21" i="19"/>
  <c r="X25" i="19"/>
  <c r="X29" i="19"/>
  <c r="X33" i="19"/>
  <c r="X34" i="19"/>
  <c r="Z13" i="20"/>
  <c r="Z16" i="20"/>
  <c r="Z20" i="20"/>
  <c r="X22" i="20"/>
  <c r="X24" i="20"/>
  <c r="N24" i="22"/>
  <c r="R21" i="19"/>
  <c r="R20" i="19"/>
  <c r="R18" i="19"/>
  <c r="R16" i="19"/>
  <c r="P18" i="19"/>
  <c r="R15" i="19"/>
  <c r="X12" i="19"/>
  <c r="R36" i="19"/>
  <c r="R34" i="19"/>
  <c r="R33" i="19"/>
  <c r="R31" i="19"/>
  <c r="R29" i="19"/>
  <c r="R27" i="19"/>
  <c r="R25" i="19"/>
  <c r="R24" i="19"/>
  <c r="R22" i="19"/>
  <c r="Z22" i="19"/>
  <c r="Z24" i="19"/>
  <c r="Z21" i="20"/>
  <c r="X25" i="20"/>
  <c r="X24" i="22"/>
  <c r="T18" i="19"/>
  <c r="V15" i="19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L15" i="19"/>
  <c r="Z25" i="19"/>
  <c r="Z29" i="19"/>
  <c r="Z33" i="19"/>
  <c r="Z34" i="19"/>
  <c r="R31" i="20"/>
  <c r="R20" i="20"/>
  <c r="R18" i="20"/>
  <c r="R16" i="20"/>
  <c r="P18" i="20"/>
  <c r="R15" i="20"/>
  <c r="R33" i="20"/>
  <c r="R34" i="20"/>
  <c r="R36" i="20"/>
  <c r="X12" i="20"/>
  <c r="R27" i="20"/>
  <c r="R25" i="20"/>
  <c r="R29" i="20"/>
  <c r="R24" i="20"/>
  <c r="R22" i="20"/>
  <c r="R21" i="20"/>
  <c r="Z22" i="20"/>
  <c r="Z24" i="20"/>
  <c r="Z29" i="20"/>
  <c r="L29" i="23"/>
  <c r="L16" i="19"/>
  <c r="L20" i="19"/>
  <c r="V33" i="20"/>
  <c r="V34" i="20"/>
  <c r="V36" i="20"/>
  <c r="Z12" i="20"/>
  <c r="V27" i="20"/>
  <c r="V25" i="20"/>
  <c r="V29" i="20"/>
  <c r="V24" i="20"/>
  <c r="V22" i="20"/>
  <c r="V21" i="20"/>
  <c r="V31" i="20"/>
  <c r="V20" i="20"/>
  <c r="V18" i="20"/>
  <c r="V16" i="20"/>
  <c r="T18" i="20"/>
  <c r="V15" i="20"/>
  <c r="L15" i="20"/>
  <c r="Z25" i="20"/>
  <c r="N34" i="20"/>
  <c r="Z16" i="22"/>
  <c r="N15" i="19"/>
  <c r="L21" i="19"/>
  <c r="L16" i="20"/>
  <c r="L20" i="20"/>
  <c r="N21" i="23"/>
  <c r="N16" i="19"/>
  <c r="N20" i="19"/>
  <c r="L22" i="19"/>
  <c r="L24" i="19"/>
  <c r="N15" i="20"/>
  <c r="L21" i="20"/>
  <c r="N33" i="20"/>
  <c r="H18" i="23"/>
  <c r="J15" i="23"/>
  <c r="N12" i="23"/>
  <c r="J36" i="23"/>
  <c r="J34" i="23"/>
  <c r="J33" i="23"/>
  <c r="J31" i="23"/>
  <c r="J29" i="23"/>
  <c r="J27" i="23"/>
  <c r="J25" i="23"/>
  <c r="J24" i="23"/>
  <c r="J22" i="23"/>
  <c r="J21" i="23"/>
  <c r="J16" i="23"/>
  <c r="J20" i="23"/>
  <c r="J18" i="23"/>
  <c r="X21" i="23"/>
  <c r="L13" i="19"/>
  <c r="N21" i="19"/>
  <c r="L25" i="19"/>
  <c r="L29" i="19"/>
  <c r="L33" i="19"/>
  <c r="L34" i="19"/>
  <c r="N16" i="20"/>
  <c r="N20" i="20"/>
  <c r="L22" i="20"/>
  <c r="L24" i="20"/>
  <c r="L13" i="23"/>
  <c r="L33" i="23"/>
  <c r="N13" i="19"/>
  <c r="N22" i="19"/>
  <c r="N24" i="19"/>
  <c r="L13" i="20"/>
  <c r="N21" i="20"/>
  <c r="L25" i="20"/>
  <c r="L29" i="20"/>
  <c r="Z20" i="22"/>
  <c r="X13" i="23"/>
  <c r="X15" i="19"/>
  <c r="N25" i="19"/>
  <c r="N29" i="19"/>
  <c r="N33" i="19"/>
  <c r="N34" i="19"/>
  <c r="N13" i="20"/>
  <c r="N22" i="20"/>
  <c r="N24" i="20"/>
  <c r="Z34" i="20"/>
  <c r="L34" i="23"/>
  <c r="L16" i="25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N29" i="20"/>
  <c r="Z15" i="23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29" i="20"/>
  <c r="F27" i="20"/>
  <c r="F25" i="20"/>
  <c r="F24" i="20"/>
  <c r="F22" i="20"/>
  <c r="F31" i="20"/>
  <c r="F21" i="20"/>
  <c r="F20" i="20"/>
  <c r="F18" i="20"/>
  <c r="F16" i="20"/>
  <c r="F33" i="20"/>
  <c r="D18" i="20"/>
  <c r="F15" i="20"/>
  <c r="F34" i="20"/>
  <c r="F36" i="20"/>
  <c r="L12" i="20"/>
  <c r="X16" i="20"/>
  <c r="X20" i="20"/>
  <c r="Z33" i="20"/>
  <c r="N13" i="22"/>
  <c r="N22" i="22"/>
  <c r="L25" i="23"/>
  <c r="L20" i="25"/>
  <c r="V21" i="26"/>
  <c r="V20" i="26"/>
  <c r="V18" i="26"/>
  <c r="V16" i="26"/>
  <c r="T18" i="26"/>
  <c r="V15" i="26"/>
  <c r="Z12" i="26"/>
  <c r="V36" i="26"/>
  <c r="V34" i="26"/>
  <c r="V33" i="26"/>
  <c r="V31" i="26"/>
  <c r="V29" i="26"/>
  <c r="V27" i="26"/>
  <c r="V25" i="26"/>
  <c r="V24" i="26"/>
  <c r="V22" i="26"/>
  <c r="Z13" i="19"/>
  <c r="Z16" i="19"/>
  <c r="Z20" i="19"/>
  <c r="X22" i="19"/>
  <c r="X24" i="19"/>
  <c r="J29" i="20"/>
  <c r="J27" i="20"/>
  <c r="J25" i="20"/>
  <c r="J24" i="20"/>
  <c r="J22" i="20"/>
  <c r="J31" i="20"/>
  <c r="J21" i="20"/>
  <c r="J20" i="20"/>
  <c r="J18" i="20"/>
  <c r="J16" i="20"/>
  <c r="J33" i="20"/>
  <c r="H18" i="20"/>
  <c r="J15" i="20"/>
  <c r="J34" i="20"/>
  <c r="J36" i="20"/>
  <c r="N12" i="20"/>
  <c r="X13" i="20"/>
  <c r="Z15" i="20"/>
  <c r="X21" i="20"/>
  <c r="Z13" i="22"/>
  <c r="X22" i="22"/>
  <c r="L15" i="26"/>
  <c r="Z25" i="26"/>
  <c r="Z29" i="26"/>
  <c r="Z33" i="26"/>
  <c r="Z34" i="26"/>
  <c r="Z24" i="28"/>
  <c r="X29" i="29"/>
  <c r="L16" i="31"/>
  <c r="L25" i="34"/>
  <c r="X29" i="20"/>
  <c r="X33" i="20"/>
  <c r="X34" i="20"/>
  <c r="X15" i="22"/>
  <c r="N25" i="22"/>
  <c r="N29" i="22"/>
  <c r="N33" i="22"/>
  <c r="N34" i="22"/>
  <c r="N13" i="23"/>
  <c r="N22" i="23"/>
  <c r="N24" i="23"/>
  <c r="N15" i="25"/>
  <c r="L21" i="25"/>
  <c r="L16" i="26"/>
  <c r="L20" i="26"/>
  <c r="N21" i="28"/>
  <c r="L25" i="28"/>
  <c r="N20" i="29"/>
  <c r="N24" i="29"/>
  <c r="Z29" i="32"/>
  <c r="F24" i="22"/>
  <c r="F22" i="22"/>
  <c r="F21" i="22"/>
  <c r="F20" i="22"/>
  <c r="F18" i="22"/>
  <c r="F16" i="22"/>
  <c r="D18" i="22"/>
  <c r="F15" i="22"/>
  <c r="F33" i="22"/>
  <c r="L12" i="22"/>
  <c r="F31" i="22"/>
  <c r="F29" i="22"/>
  <c r="F27" i="22"/>
  <c r="F36" i="22"/>
  <c r="F25" i="22"/>
  <c r="F34" i="22"/>
  <c r="X16" i="22"/>
  <c r="X20" i="22"/>
  <c r="X15" i="23"/>
  <c r="N25" i="23"/>
  <c r="N29" i="23"/>
  <c r="N33" i="23"/>
  <c r="N34" i="23"/>
  <c r="N16" i="25"/>
  <c r="N20" i="25"/>
  <c r="L22" i="25"/>
  <c r="L24" i="25"/>
  <c r="N15" i="26"/>
  <c r="L21" i="26"/>
  <c r="N25" i="28"/>
  <c r="X24" i="29"/>
  <c r="L20" i="31"/>
  <c r="V21" i="32"/>
  <c r="V20" i="32"/>
  <c r="V18" i="32"/>
  <c r="V16" i="32"/>
  <c r="T18" i="32"/>
  <c r="V15" i="32"/>
  <c r="Z12" i="32"/>
  <c r="V36" i="32"/>
  <c r="V34" i="32"/>
  <c r="V33" i="32"/>
  <c r="V31" i="32"/>
  <c r="V29" i="32"/>
  <c r="V27" i="32"/>
  <c r="V25" i="32"/>
  <c r="V24" i="32"/>
  <c r="V22" i="32"/>
  <c r="J20" i="22"/>
  <c r="J18" i="22"/>
  <c r="J16" i="22"/>
  <c r="H18" i="22"/>
  <c r="J15" i="22"/>
  <c r="N12" i="22"/>
  <c r="J36" i="22"/>
  <c r="J34" i="22"/>
  <c r="J33" i="22"/>
  <c r="J31" i="22"/>
  <c r="J29" i="22"/>
  <c r="J27" i="22"/>
  <c r="J25" i="22"/>
  <c r="J24" i="22"/>
  <c r="J22" i="22"/>
  <c r="J21" i="22"/>
  <c r="X13" i="22"/>
  <c r="Z15" i="22"/>
  <c r="X21" i="22"/>
  <c r="F21" i="23"/>
  <c r="F20" i="23"/>
  <c r="F18" i="23"/>
  <c r="F16" i="23"/>
  <c r="D18" i="23"/>
  <c r="F15" i="23"/>
  <c r="L12" i="23"/>
  <c r="F36" i="23"/>
  <c r="F34" i="23"/>
  <c r="F33" i="23"/>
  <c r="F31" i="23"/>
  <c r="F29" i="23"/>
  <c r="F27" i="23"/>
  <c r="F25" i="23"/>
  <c r="F24" i="23"/>
  <c r="F22" i="23"/>
  <c r="X16" i="23"/>
  <c r="X20" i="23"/>
  <c r="L13" i="25"/>
  <c r="N21" i="25"/>
  <c r="L25" i="25"/>
  <c r="L29" i="25"/>
  <c r="L33" i="25"/>
  <c r="L34" i="25"/>
  <c r="N16" i="26"/>
  <c r="N20" i="26"/>
  <c r="L22" i="26"/>
  <c r="L24" i="26"/>
  <c r="Z21" i="28"/>
  <c r="X25" i="28"/>
  <c r="Z20" i="29"/>
  <c r="L15" i="32"/>
  <c r="Z33" i="32"/>
  <c r="N13" i="25"/>
  <c r="N22" i="25"/>
  <c r="N24" i="25"/>
  <c r="L13" i="26"/>
  <c r="N21" i="26"/>
  <c r="L25" i="26"/>
  <c r="L29" i="26"/>
  <c r="L33" i="26"/>
  <c r="L34" i="26"/>
  <c r="X12" i="28"/>
  <c r="R21" i="28"/>
  <c r="R20" i="28"/>
  <c r="R18" i="28"/>
  <c r="R16" i="28"/>
  <c r="P18" i="28"/>
  <c r="R15" i="28"/>
  <c r="R24" i="28"/>
  <c r="R33" i="28"/>
  <c r="R27" i="28"/>
  <c r="R22" i="28"/>
  <c r="R36" i="28"/>
  <c r="R31" i="28"/>
  <c r="R25" i="28"/>
  <c r="R34" i="28"/>
  <c r="R29" i="28"/>
  <c r="Z34" i="32"/>
  <c r="Z21" i="22"/>
  <c r="X25" i="22"/>
  <c r="X29" i="22"/>
  <c r="X33" i="22"/>
  <c r="X34" i="22"/>
  <c r="Z13" i="23"/>
  <c r="Z16" i="23"/>
  <c r="Z20" i="23"/>
  <c r="X22" i="23"/>
  <c r="X24" i="23"/>
  <c r="X15" i="25"/>
  <c r="N25" i="25"/>
  <c r="N29" i="25"/>
  <c r="N33" i="25"/>
  <c r="N34" i="25"/>
  <c r="N13" i="26"/>
  <c r="N22" i="26"/>
  <c r="N24" i="26"/>
  <c r="L13" i="28"/>
  <c r="L33" i="28"/>
  <c r="N16" i="29"/>
  <c r="L21" i="41"/>
  <c r="X12" i="22"/>
  <c r="R36" i="22"/>
  <c r="R34" i="22"/>
  <c r="R33" i="22"/>
  <c r="R31" i="22"/>
  <c r="R29" i="22"/>
  <c r="R27" i="22"/>
  <c r="R25" i="22"/>
  <c r="R24" i="22"/>
  <c r="R22" i="22"/>
  <c r="R20" i="22"/>
  <c r="R18" i="22"/>
  <c r="R16" i="22"/>
  <c r="P18" i="22"/>
  <c r="R15" i="22"/>
  <c r="R21" i="22"/>
  <c r="Z22" i="22"/>
  <c r="Z24" i="22"/>
  <c r="Z21" i="23"/>
  <c r="X25" i="23"/>
  <c r="X29" i="23"/>
  <c r="X33" i="23"/>
  <c r="X34" i="23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X16" i="25"/>
  <c r="X20" i="25"/>
  <c r="X15" i="26"/>
  <c r="N25" i="26"/>
  <c r="N29" i="26"/>
  <c r="N33" i="26"/>
  <c r="N34" i="26"/>
  <c r="N33" i="28"/>
  <c r="X25" i="29"/>
  <c r="X33" i="29"/>
  <c r="L33" i="20"/>
  <c r="L34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P18" i="23"/>
  <c r="R15" i="23"/>
  <c r="R16" i="23"/>
  <c r="R20" i="23"/>
  <c r="R18" i="23"/>
  <c r="Z22" i="23"/>
  <c r="Z24" i="23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X16" i="26"/>
  <c r="X20" i="26"/>
  <c r="X33" i="28"/>
  <c r="Z16" i="29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X13" i="26"/>
  <c r="Z15" i="26"/>
  <c r="X21" i="26"/>
  <c r="Z22" i="28"/>
  <c r="Z21" i="29"/>
  <c r="Z13" i="34"/>
  <c r="N15" i="22"/>
  <c r="L21" i="22"/>
  <c r="L16" i="23"/>
  <c r="L20" i="23"/>
  <c r="Z21" i="25"/>
  <c r="X25" i="25"/>
  <c r="X29" i="25"/>
  <c r="X33" i="25"/>
  <c r="X34" i="25"/>
  <c r="Z13" i="26"/>
  <c r="Z16" i="26"/>
  <c r="Z20" i="26"/>
  <c r="X22" i="26"/>
  <c r="X24" i="26"/>
  <c r="L29" i="28"/>
  <c r="L34" i="28"/>
  <c r="L22" i="29"/>
  <c r="X34" i="29"/>
  <c r="N16" i="22"/>
  <c r="N20" i="22"/>
  <c r="L22" i="22"/>
  <c r="L24" i="22"/>
  <c r="N15" i="23"/>
  <c r="L21" i="23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X12" i="25"/>
  <c r="Z22" i="25"/>
  <c r="Z24" i="25"/>
  <c r="Z21" i="26"/>
  <c r="X25" i="26"/>
  <c r="X29" i="26"/>
  <c r="X33" i="26"/>
  <c r="X34" i="26"/>
  <c r="X15" i="28"/>
  <c r="N29" i="28"/>
  <c r="N34" i="28"/>
  <c r="N13" i="29"/>
  <c r="N22" i="29"/>
  <c r="N20" i="34"/>
  <c r="L13" i="22"/>
  <c r="N21" i="22"/>
  <c r="L25" i="22"/>
  <c r="L29" i="22"/>
  <c r="L33" i="22"/>
  <c r="L34" i="22"/>
  <c r="N16" i="23"/>
  <c r="N20" i="23"/>
  <c r="L22" i="23"/>
  <c r="L24" i="23"/>
  <c r="V24" i="25"/>
  <c r="V22" i="25"/>
  <c r="V21" i="25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X29" i="28"/>
  <c r="X34" i="28"/>
  <c r="Z13" i="29"/>
  <c r="X22" i="29"/>
  <c r="Z25" i="32"/>
  <c r="L22" i="34"/>
  <c r="F36" i="28"/>
  <c r="F34" i="28"/>
  <c r="F33" i="28"/>
  <c r="F31" i="28"/>
  <c r="F29" i="28"/>
  <c r="F27" i="28"/>
  <c r="F25" i="28"/>
  <c r="F21" i="28"/>
  <c r="F20" i="28"/>
  <c r="F18" i="28"/>
  <c r="F16" i="28"/>
  <c r="D18" i="28"/>
  <c r="F15" i="28"/>
  <c r="L12" i="28"/>
  <c r="F24" i="28"/>
  <c r="F22" i="28"/>
  <c r="X16" i="28"/>
  <c r="X20" i="28"/>
  <c r="X15" i="29"/>
  <c r="N25" i="29"/>
  <c r="N29" i="29"/>
  <c r="N33" i="29"/>
  <c r="N34" i="29"/>
  <c r="N15" i="31"/>
  <c r="L21" i="31"/>
  <c r="L16" i="32"/>
  <c r="L20" i="32"/>
  <c r="X16" i="34"/>
  <c r="L34" i="34"/>
  <c r="N20" i="35"/>
  <c r="J21" i="28"/>
  <c r="H18" i="28"/>
  <c r="J15" i="28"/>
  <c r="J36" i="28"/>
  <c r="J34" i="28"/>
  <c r="J33" i="28"/>
  <c r="J31" i="28"/>
  <c r="J29" i="28"/>
  <c r="J27" i="28"/>
  <c r="J25" i="28"/>
  <c r="J24" i="28"/>
  <c r="J20" i="28"/>
  <c r="J22" i="28"/>
  <c r="J18" i="28"/>
  <c r="N12" i="28"/>
  <c r="J16" i="28"/>
  <c r="X13" i="28"/>
  <c r="Z15" i="28"/>
  <c r="X21" i="28"/>
  <c r="F24" i="29"/>
  <c r="F22" i="29"/>
  <c r="F20" i="29"/>
  <c r="F18" i="29"/>
  <c r="F16" i="29"/>
  <c r="D18" i="29"/>
  <c r="F15" i="29"/>
  <c r="F36" i="29"/>
  <c r="F29" i="29"/>
  <c r="F34" i="29"/>
  <c r="F27" i="29"/>
  <c r="L12" i="29"/>
  <c r="F21" i="29"/>
  <c r="F33" i="29"/>
  <c r="F25" i="29"/>
  <c r="F31" i="29"/>
  <c r="X16" i="29"/>
  <c r="X20" i="29"/>
  <c r="N16" i="31"/>
  <c r="N20" i="31"/>
  <c r="L22" i="31"/>
  <c r="L24" i="31"/>
  <c r="N15" i="32"/>
  <c r="L21" i="32"/>
  <c r="L15" i="34"/>
  <c r="Z16" i="34"/>
  <c r="N22" i="34"/>
  <c r="X13" i="35"/>
  <c r="Z13" i="28"/>
  <c r="Z16" i="28"/>
  <c r="Z20" i="28"/>
  <c r="X22" i="28"/>
  <c r="X24" i="28"/>
  <c r="J20" i="29"/>
  <c r="J18" i="29"/>
  <c r="J16" i="29"/>
  <c r="J36" i="29"/>
  <c r="J34" i="29"/>
  <c r="J33" i="29"/>
  <c r="J31" i="29"/>
  <c r="J29" i="29"/>
  <c r="J27" i="29"/>
  <c r="J25" i="29"/>
  <c r="J24" i="29"/>
  <c r="J22" i="29"/>
  <c r="H18" i="29"/>
  <c r="N12" i="29"/>
  <c r="J21" i="29"/>
  <c r="J15" i="29"/>
  <c r="X13" i="29"/>
  <c r="Z15" i="29"/>
  <c r="X21" i="29"/>
  <c r="L13" i="31"/>
  <c r="N21" i="31"/>
  <c r="L25" i="31"/>
  <c r="L29" i="31"/>
  <c r="L33" i="31"/>
  <c r="L34" i="31"/>
  <c r="N16" i="32"/>
  <c r="N20" i="32"/>
  <c r="L22" i="32"/>
  <c r="L24" i="32"/>
  <c r="X20" i="34"/>
  <c r="N15" i="35"/>
  <c r="L21" i="35"/>
  <c r="N13" i="31"/>
  <c r="N22" i="31"/>
  <c r="N24" i="31"/>
  <c r="L13" i="32"/>
  <c r="N21" i="32"/>
  <c r="L25" i="32"/>
  <c r="L29" i="32"/>
  <c r="L33" i="32"/>
  <c r="L34" i="32"/>
  <c r="F20" i="34"/>
  <c r="F18" i="34"/>
  <c r="F16" i="34"/>
  <c r="D18" i="34"/>
  <c r="F15" i="34"/>
  <c r="F36" i="34"/>
  <c r="F29" i="34"/>
  <c r="F33" i="34"/>
  <c r="F24" i="34"/>
  <c r="F27" i="34"/>
  <c r="F21" i="34"/>
  <c r="L12" i="34"/>
  <c r="F31" i="34"/>
  <c r="F34" i="34"/>
  <c r="F25" i="34"/>
  <c r="F22" i="34"/>
  <c r="Z20" i="34"/>
  <c r="X22" i="34"/>
  <c r="X15" i="31"/>
  <c r="N25" i="31"/>
  <c r="N29" i="31"/>
  <c r="N33" i="31"/>
  <c r="N34" i="31"/>
  <c r="N13" i="32"/>
  <c r="N22" i="32"/>
  <c r="N24" i="32"/>
  <c r="Z15" i="35"/>
  <c r="X21" i="35"/>
  <c r="Z12" i="28"/>
  <c r="V36" i="28"/>
  <c r="V34" i="28"/>
  <c r="V33" i="28"/>
  <c r="V31" i="28"/>
  <c r="V29" i="28"/>
  <c r="V27" i="28"/>
  <c r="V25" i="28"/>
  <c r="V24" i="28"/>
  <c r="V22" i="28"/>
  <c r="T18" i="28"/>
  <c r="V15" i="28"/>
  <c r="V20" i="28"/>
  <c r="V18" i="28"/>
  <c r="V21" i="28"/>
  <c r="V16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0" i="29"/>
  <c r="R18" i="29"/>
  <c r="R16" i="29"/>
  <c r="P18" i="29"/>
  <c r="R15" i="29"/>
  <c r="R21" i="29"/>
  <c r="R24" i="29"/>
  <c r="R22" i="29"/>
  <c r="Z22" i="29"/>
  <c r="Z24" i="29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F15" i="31"/>
  <c r="D18" i="31"/>
  <c r="X16" i="31"/>
  <c r="X20" i="31"/>
  <c r="X15" i="32"/>
  <c r="N25" i="32"/>
  <c r="N29" i="32"/>
  <c r="N33" i="32"/>
  <c r="N34" i="32"/>
  <c r="L24" i="34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T18" i="29"/>
  <c r="V16" i="29"/>
  <c r="V20" i="29"/>
  <c r="V15" i="29"/>
  <c r="V18" i="29"/>
  <c r="L15" i="29"/>
  <c r="Z25" i="29"/>
  <c r="Z29" i="29"/>
  <c r="Z33" i="29"/>
  <c r="Z3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Z12" i="34"/>
  <c r="V36" i="34"/>
  <c r="V34" i="34"/>
  <c r="V33" i="34"/>
  <c r="V31" i="34"/>
  <c r="V29" i="34"/>
  <c r="V27" i="34"/>
  <c r="V25" i="34"/>
  <c r="V24" i="34"/>
  <c r="V21" i="34"/>
  <c r="V20" i="34"/>
  <c r="V18" i="34"/>
  <c r="T18" i="34"/>
  <c r="V15" i="34"/>
  <c r="V22" i="34"/>
  <c r="V16" i="34"/>
  <c r="N21" i="34"/>
  <c r="N16" i="35"/>
  <c r="X33" i="38"/>
  <c r="N15" i="28"/>
  <c r="L21" i="28"/>
  <c r="L16" i="29"/>
  <c r="L20" i="29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X13" i="32"/>
  <c r="Z15" i="32"/>
  <c r="X21" i="32"/>
  <c r="N24" i="34"/>
  <c r="L33" i="34"/>
  <c r="Z33" i="43"/>
  <c r="N16" i="28"/>
  <c r="N20" i="28"/>
  <c r="L22" i="28"/>
  <c r="L24" i="28"/>
  <c r="N15" i="29"/>
  <c r="L21" i="29"/>
  <c r="Z21" i="31"/>
  <c r="X25" i="31"/>
  <c r="X29" i="31"/>
  <c r="X33" i="31"/>
  <c r="X34" i="31"/>
  <c r="Z13" i="32"/>
  <c r="Z16" i="32"/>
  <c r="Z20" i="32"/>
  <c r="X22" i="32"/>
  <c r="X24" i="32"/>
  <c r="L13" i="34"/>
  <c r="X34" i="37"/>
  <c r="L24" i="29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X25" i="32"/>
  <c r="X29" i="32"/>
  <c r="X33" i="32"/>
  <c r="X34" i="32"/>
  <c r="N13" i="34"/>
  <c r="N16" i="34"/>
  <c r="X24" i="34"/>
  <c r="L29" i="34"/>
  <c r="N13" i="28"/>
  <c r="N22" i="28"/>
  <c r="N24" i="28"/>
  <c r="L13" i="29"/>
  <c r="N21" i="29"/>
  <c r="L25" i="29"/>
  <c r="L29" i="29"/>
  <c r="L33" i="29"/>
  <c r="L34" i="29"/>
  <c r="V24" i="31"/>
  <c r="V22" i="31"/>
  <c r="V21" i="31"/>
  <c r="V20" i="31"/>
  <c r="V18" i="31"/>
  <c r="V16" i="31"/>
  <c r="T18" i="31"/>
  <c r="V15" i="31"/>
  <c r="Z12" i="31"/>
  <c r="V33" i="31"/>
  <c r="V31" i="31"/>
  <c r="V29" i="31"/>
  <c r="V27" i="31"/>
  <c r="V25" i="31"/>
  <c r="V36" i="31"/>
  <c r="V34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5" i="41"/>
  <c r="L22" i="35"/>
  <c r="L24" i="35"/>
  <c r="R36" i="37"/>
  <c r="R29" i="37"/>
  <c r="R21" i="37"/>
  <c r="R20" i="37"/>
  <c r="R18" i="37"/>
  <c r="R16" i="37"/>
  <c r="R22" i="37"/>
  <c r="P18" i="37"/>
  <c r="R15" i="37"/>
  <c r="R31" i="37"/>
  <c r="R24" i="37"/>
  <c r="R33" i="37"/>
  <c r="R25" i="37"/>
  <c r="X12" i="37"/>
  <c r="R34" i="37"/>
  <c r="R27" i="37"/>
  <c r="L24" i="37"/>
  <c r="Z33" i="38"/>
  <c r="Z15" i="40"/>
  <c r="X21" i="40"/>
  <c r="R20" i="44"/>
  <c r="R18" i="44"/>
  <c r="R16" i="44"/>
  <c r="P18" i="44"/>
  <c r="R15" i="44"/>
  <c r="R24" i="44"/>
  <c r="R22" i="44"/>
  <c r="R21" i="44"/>
  <c r="R34" i="44"/>
  <c r="R29" i="44"/>
  <c r="R33" i="44"/>
  <c r="R27" i="44"/>
  <c r="X12" i="44"/>
  <c r="R36" i="44"/>
  <c r="R31" i="44"/>
  <c r="R25" i="44"/>
  <c r="Z21" i="46"/>
  <c r="L13" i="35"/>
  <c r="N21" i="35"/>
  <c r="L25" i="35"/>
  <c r="L29" i="35"/>
  <c r="L33" i="35"/>
  <c r="L34" i="35"/>
  <c r="V24" i="37"/>
  <c r="V22" i="37"/>
  <c r="V36" i="37"/>
  <c r="V29" i="37"/>
  <c r="T18" i="37"/>
  <c r="V15" i="37"/>
  <c r="V31" i="37"/>
  <c r="V33" i="37"/>
  <c r="V25" i="37"/>
  <c r="Z12" i="37"/>
  <c r="V34" i="37"/>
  <c r="V27" i="37"/>
  <c r="V21" i="37"/>
  <c r="V20" i="37"/>
  <c r="V18" i="37"/>
  <c r="V16" i="37"/>
  <c r="L15" i="37"/>
  <c r="N24" i="37"/>
  <c r="X13" i="38"/>
  <c r="L16" i="38"/>
  <c r="Z21" i="40"/>
  <c r="X34" i="40"/>
  <c r="X15" i="34"/>
  <c r="N25" i="34"/>
  <c r="N29" i="34"/>
  <c r="N33" i="34"/>
  <c r="N34" i="34"/>
  <c r="N13" i="35"/>
  <c r="N22" i="35"/>
  <c r="N24" i="35"/>
  <c r="L16" i="37"/>
  <c r="L20" i="37"/>
  <c r="X25" i="37"/>
  <c r="X33" i="37"/>
  <c r="Z13" i="38"/>
  <c r="L21" i="38"/>
  <c r="X22" i="38"/>
  <c r="N16" i="40"/>
  <c r="L22" i="40"/>
  <c r="X15" i="35"/>
  <c r="N25" i="35"/>
  <c r="N29" i="35"/>
  <c r="N33" i="35"/>
  <c r="N34" i="35"/>
  <c r="N15" i="37"/>
  <c r="L21" i="37"/>
  <c r="L22" i="37"/>
  <c r="F36" i="38"/>
  <c r="F34" i="38"/>
  <c r="F33" i="38"/>
  <c r="F31" i="38"/>
  <c r="F29" i="38"/>
  <c r="F27" i="38"/>
  <c r="F25" i="38"/>
  <c r="F24" i="38"/>
  <c r="F22" i="38"/>
  <c r="F21" i="38"/>
  <c r="F18" i="38"/>
  <c r="D18" i="38"/>
  <c r="F20" i="38"/>
  <c r="F15" i="38"/>
  <c r="L12" i="38"/>
  <c r="F16" i="38"/>
  <c r="N25" i="38"/>
  <c r="X16" i="41"/>
  <c r="J24" i="34"/>
  <c r="J22" i="34"/>
  <c r="J16" i="34"/>
  <c r="J33" i="34"/>
  <c r="J21" i="34"/>
  <c r="J36" i="34"/>
  <c r="J27" i="34"/>
  <c r="J18" i="34"/>
  <c r="N12" i="34"/>
  <c r="J31" i="34"/>
  <c r="H18" i="34"/>
  <c r="J34" i="34"/>
  <c r="J15" i="34"/>
  <c r="J25" i="34"/>
  <c r="J20" i="34"/>
  <c r="J29" i="34"/>
  <c r="X13" i="34"/>
  <c r="Z15" i="34"/>
  <c r="X21" i="34"/>
  <c r="D18" i="35"/>
  <c r="F15" i="35"/>
  <c r="L12" i="35"/>
  <c r="F36" i="35"/>
  <c r="F34" i="35"/>
  <c r="F33" i="35"/>
  <c r="F31" i="35"/>
  <c r="F29" i="35"/>
  <c r="F27" i="35"/>
  <c r="F25" i="35"/>
  <c r="F24" i="35"/>
  <c r="F22" i="35"/>
  <c r="F18" i="35"/>
  <c r="F16" i="35"/>
  <c r="F21" i="35"/>
  <c r="F20" i="35"/>
  <c r="X16" i="35"/>
  <c r="X20" i="35"/>
  <c r="N16" i="37"/>
  <c r="N20" i="37"/>
  <c r="N22" i="37"/>
  <c r="X24" i="37"/>
  <c r="J21" i="38"/>
  <c r="J20" i="38"/>
  <c r="J18" i="38"/>
  <c r="J16" i="38"/>
  <c r="H18" i="38"/>
  <c r="J15" i="38"/>
  <c r="J36" i="38"/>
  <c r="J33" i="38"/>
  <c r="J24" i="38"/>
  <c r="J29" i="38"/>
  <c r="N12" i="38"/>
  <c r="J25" i="38"/>
  <c r="J34" i="38"/>
  <c r="J31" i="38"/>
  <c r="J27" i="38"/>
  <c r="J22" i="38"/>
  <c r="L15" i="38"/>
  <c r="X16" i="38"/>
  <c r="X29" i="40"/>
  <c r="Z16" i="41"/>
  <c r="X22" i="41"/>
  <c r="L13" i="37"/>
  <c r="L20" i="38"/>
  <c r="X21" i="38"/>
  <c r="L24" i="40"/>
  <c r="Z21" i="34"/>
  <c r="X25" i="34"/>
  <c r="X29" i="34"/>
  <c r="X33" i="34"/>
  <c r="X34" i="34"/>
  <c r="Z13" i="35"/>
  <c r="Z16" i="35"/>
  <c r="Z20" i="35"/>
  <c r="X22" i="35"/>
  <c r="X24" i="35"/>
  <c r="N13" i="37"/>
  <c r="Z24" i="37"/>
  <c r="N15" i="38"/>
  <c r="Z16" i="38"/>
  <c r="X34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N12" i="40"/>
  <c r="H18" i="40"/>
  <c r="J15" i="40"/>
  <c r="F36" i="41"/>
  <c r="F34" i="41"/>
  <c r="F33" i="41"/>
  <c r="F31" i="41"/>
  <c r="F29" i="41"/>
  <c r="F27" i="41"/>
  <c r="F25" i="41"/>
  <c r="F24" i="41"/>
  <c r="F22" i="41"/>
  <c r="F21" i="41"/>
  <c r="D18" i="41"/>
  <c r="F15" i="41"/>
  <c r="F20" i="41"/>
  <c r="L12" i="41"/>
  <c r="F18" i="41"/>
  <c r="F16" i="41"/>
  <c r="X12" i="34"/>
  <c r="R36" i="34"/>
  <c r="R34" i="34"/>
  <c r="R33" i="34"/>
  <c r="R31" i="34"/>
  <c r="R29" i="34"/>
  <c r="R27" i="34"/>
  <c r="R25" i="34"/>
  <c r="R24" i="34"/>
  <c r="R22" i="34"/>
  <c r="R20" i="34"/>
  <c r="R18" i="34"/>
  <c r="R16" i="34"/>
  <c r="R21" i="34"/>
  <c r="P18" i="34"/>
  <c r="R15" i="34"/>
  <c r="Z22" i="34"/>
  <c r="Z24" i="34"/>
  <c r="Z21" i="35"/>
  <c r="X25" i="35"/>
  <c r="X29" i="35"/>
  <c r="X33" i="35"/>
  <c r="X34" i="35"/>
  <c r="X15" i="37"/>
  <c r="X22" i="37"/>
  <c r="V21" i="38"/>
  <c r="V15" i="38"/>
  <c r="V25" i="38"/>
  <c r="Z12" i="38"/>
  <c r="V34" i="38"/>
  <c r="V16" i="38"/>
  <c r="V31" i="38"/>
  <c r="V27" i="38"/>
  <c r="V22" i="38"/>
  <c r="V36" i="38"/>
  <c r="V18" i="38"/>
  <c r="T18" i="38"/>
  <c r="V33" i="38"/>
  <c r="V24" i="38"/>
  <c r="V29" i="38"/>
  <c r="V20" i="38"/>
  <c r="X15" i="38"/>
  <c r="Z21" i="38"/>
  <c r="X25" i="38"/>
  <c r="Z34" i="38"/>
  <c r="X24" i="41"/>
  <c r="L15" i="43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P18" i="35"/>
  <c r="R15" i="35"/>
  <c r="R18" i="35"/>
  <c r="R16" i="35"/>
  <c r="R20" i="35"/>
  <c r="Z22" i="35"/>
  <c r="Z24" i="35"/>
  <c r="F24" i="37"/>
  <c r="F22" i="37"/>
  <c r="F33" i="37"/>
  <c r="F25" i="37"/>
  <c r="L12" i="37"/>
  <c r="F34" i="37"/>
  <c r="F27" i="37"/>
  <c r="F36" i="37"/>
  <c r="F29" i="37"/>
  <c r="F21" i="37"/>
  <c r="F20" i="37"/>
  <c r="F18" i="37"/>
  <c r="F16" i="37"/>
  <c r="D18" i="37"/>
  <c r="F15" i="37"/>
  <c r="F31" i="37"/>
  <c r="X16" i="37"/>
  <c r="X20" i="37"/>
  <c r="X21" i="37"/>
  <c r="X29" i="37"/>
  <c r="X20" i="38"/>
  <c r="Z25" i="38"/>
  <c r="N20" i="40"/>
  <c r="L24" i="49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Z12" i="35"/>
  <c r="L15" i="35"/>
  <c r="Z25" i="35"/>
  <c r="Z29" i="35"/>
  <c r="Z33" i="35"/>
  <c r="Z34" i="35"/>
  <c r="J24" i="37"/>
  <c r="J22" i="37"/>
  <c r="J34" i="37"/>
  <c r="J27" i="37"/>
  <c r="J36" i="37"/>
  <c r="J29" i="37"/>
  <c r="J21" i="37"/>
  <c r="J20" i="37"/>
  <c r="J18" i="37"/>
  <c r="J16" i="37"/>
  <c r="H18" i="37"/>
  <c r="J15" i="37"/>
  <c r="J31" i="37"/>
  <c r="N12" i="37"/>
  <c r="J33" i="37"/>
  <c r="J25" i="37"/>
  <c r="X13" i="37"/>
  <c r="Z15" i="37"/>
  <c r="Z22" i="37"/>
  <c r="Z15" i="38"/>
  <c r="X29" i="38"/>
  <c r="X13" i="40"/>
  <c r="X20" i="41"/>
  <c r="N15" i="34"/>
  <c r="L21" i="34"/>
  <c r="L16" i="35"/>
  <c r="L20" i="35"/>
  <c r="Z13" i="37"/>
  <c r="Z16" i="37"/>
  <c r="Z20" i="37"/>
  <c r="Z21" i="37"/>
  <c r="L13" i="38"/>
  <c r="Z20" i="38"/>
  <c r="X24" i="38"/>
  <c r="Z29" i="38"/>
  <c r="X25" i="40"/>
  <c r="X33" i="40"/>
  <c r="Z13" i="41"/>
  <c r="Z20" i="41"/>
  <c r="R21" i="40"/>
  <c r="P18" i="40"/>
  <c r="R15" i="40"/>
  <c r="X12" i="40"/>
  <c r="R36" i="40"/>
  <c r="R34" i="40"/>
  <c r="R33" i="40"/>
  <c r="R31" i="40"/>
  <c r="R29" i="40"/>
  <c r="R27" i="40"/>
  <c r="R25" i="40"/>
  <c r="R20" i="40"/>
  <c r="R24" i="40"/>
  <c r="R18" i="40"/>
  <c r="R22" i="40"/>
  <c r="R16" i="40"/>
  <c r="Z22" i="40"/>
  <c r="Z24" i="40"/>
  <c r="Z21" i="41"/>
  <c r="X25" i="41"/>
  <c r="X29" i="41"/>
  <c r="X33" i="41"/>
  <c r="X34" i="41"/>
  <c r="N15" i="43"/>
  <c r="X13" i="46"/>
  <c r="N25" i="53"/>
  <c r="Z25" i="37"/>
  <c r="Z29" i="37"/>
  <c r="Z33" i="37"/>
  <c r="Z34" i="37"/>
  <c r="R36" i="38"/>
  <c r="R34" i="38"/>
  <c r="R33" i="38"/>
  <c r="R31" i="38"/>
  <c r="R29" i="38"/>
  <c r="R27" i="38"/>
  <c r="R25" i="38"/>
  <c r="R20" i="38"/>
  <c r="R15" i="38"/>
  <c r="X12" i="38"/>
  <c r="R21" i="38"/>
  <c r="R16" i="38"/>
  <c r="R22" i="38"/>
  <c r="R18" i="38"/>
  <c r="P18" i="38"/>
  <c r="R24" i="38"/>
  <c r="Z22" i="38"/>
  <c r="Z24" i="38"/>
  <c r="T18" i="40"/>
  <c r="V15" i="40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L15" i="40"/>
  <c r="Z25" i="40"/>
  <c r="Z29" i="40"/>
  <c r="Z33" i="40"/>
  <c r="Z34" i="40"/>
  <c r="R20" i="41"/>
  <c r="R18" i="41"/>
  <c r="R16" i="41"/>
  <c r="X12" i="41"/>
  <c r="R36" i="41"/>
  <c r="R34" i="41"/>
  <c r="R33" i="41"/>
  <c r="R31" i="41"/>
  <c r="R29" i="41"/>
  <c r="R27" i="41"/>
  <c r="R25" i="41"/>
  <c r="R24" i="41"/>
  <c r="R22" i="41"/>
  <c r="P18" i="41"/>
  <c r="R21" i="41"/>
  <c r="R15" i="41"/>
  <c r="Z22" i="41"/>
  <c r="Z24" i="41"/>
  <c r="L29" i="43"/>
  <c r="L34" i="43"/>
  <c r="L22" i="44"/>
  <c r="X33" i="46"/>
  <c r="N20" i="52"/>
  <c r="L16" i="40"/>
  <c r="L20" i="40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Z12" i="41"/>
  <c r="T18" i="41"/>
  <c r="V15" i="41"/>
  <c r="L15" i="41"/>
  <c r="Z25" i="41"/>
  <c r="Z29" i="41"/>
  <c r="Z33" i="41"/>
  <c r="Z34" i="41"/>
  <c r="X29" i="43"/>
  <c r="X34" i="43"/>
  <c r="Z13" i="44"/>
  <c r="X22" i="44"/>
  <c r="Z15" i="46"/>
  <c r="X20" i="47"/>
  <c r="X20" i="52"/>
  <c r="N33" i="53"/>
  <c r="N15" i="40"/>
  <c r="L21" i="40"/>
  <c r="L16" i="41"/>
  <c r="L20" i="41"/>
  <c r="Z29" i="43"/>
  <c r="Z34" i="43"/>
  <c r="Z22" i="44"/>
  <c r="X34" i="46"/>
  <c r="Z20" i="47"/>
  <c r="N33" i="49"/>
  <c r="L21" i="43"/>
  <c r="L20" i="44"/>
  <c r="Z33" i="47"/>
  <c r="N21" i="37"/>
  <c r="L25" i="37"/>
  <c r="L29" i="37"/>
  <c r="L33" i="37"/>
  <c r="L34" i="37"/>
  <c r="N16" i="38"/>
  <c r="N20" i="38"/>
  <c r="L22" i="38"/>
  <c r="L24" i="38"/>
  <c r="L13" i="40"/>
  <c r="N21" i="40"/>
  <c r="L25" i="40"/>
  <c r="L29" i="40"/>
  <c r="L33" i="40"/>
  <c r="L34" i="40"/>
  <c r="N16" i="41"/>
  <c r="N20" i="41"/>
  <c r="L22" i="41"/>
  <c r="L24" i="41"/>
  <c r="N21" i="43"/>
  <c r="L25" i="43"/>
  <c r="N20" i="44"/>
  <c r="L24" i="44"/>
  <c r="X25" i="46"/>
  <c r="L34" i="47"/>
  <c r="N21" i="38"/>
  <c r="L25" i="38"/>
  <c r="L29" i="38"/>
  <c r="L33" i="38"/>
  <c r="L34" i="38"/>
  <c r="N13" i="40"/>
  <c r="N22" i="40"/>
  <c r="N24" i="40"/>
  <c r="L13" i="41"/>
  <c r="N21" i="41"/>
  <c r="L25" i="41"/>
  <c r="L29" i="41"/>
  <c r="L33" i="41"/>
  <c r="L34" i="41"/>
  <c r="Z21" i="43"/>
  <c r="X25" i="43"/>
  <c r="Z20" i="44"/>
  <c r="X24" i="44"/>
  <c r="N25" i="37"/>
  <c r="N29" i="37"/>
  <c r="N33" i="37"/>
  <c r="N34" i="37"/>
  <c r="N13" i="38"/>
  <c r="N22" i="38"/>
  <c r="N24" i="38"/>
  <c r="X15" i="40"/>
  <c r="N25" i="40"/>
  <c r="N29" i="40"/>
  <c r="N33" i="40"/>
  <c r="N34" i="40"/>
  <c r="N13" i="41"/>
  <c r="N22" i="41"/>
  <c r="N24" i="41"/>
  <c r="T18" i="43"/>
  <c r="V15" i="43"/>
  <c r="V36" i="43"/>
  <c r="V34" i="43"/>
  <c r="V33" i="43"/>
  <c r="V31" i="43"/>
  <c r="V29" i="43"/>
  <c r="V27" i="43"/>
  <c r="V25" i="43"/>
  <c r="V21" i="43"/>
  <c r="V18" i="43"/>
  <c r="Z12" i="43"/>
  <c r="V16" i="43"/>
  <c r="V24" i="43"/>
  <c r="V20" i="43"/>
  <c r="V22" i="43"/>
  <c r="Z25" i="43"/>
  <c r="Z24" i="44"/>
  <c r="V36" i="47"/>
  <c r="V34" i="47"/>
  <c r="V33" i="47"/>
  <c r="V31" i="47"/>
  <c r="V29" i="47"/>
  <c r="V27" i="47"/>
  <c r="V25" i="47"/>
  <c r="V20" i="47"/>
  <c r="V18" i="47"/>
  <c r="V16" i="47"/>
  <c r="V24" i="47"/>
  <c r="V15" i="47"/>
  <c r="T18" i="47"/>
  <c r="Z12" i="47"/>
  <c r="V21" i="47"/>
  <c r="V22" i="47"/>
  <c r="L24" i="47"/>
  <c r="N29" i="38"/>
  <c r="N33" i="38"/>
  <c r="N34" i="38"/>
  <c r="L12" i="40"/>
  <c r="F36" i="40"/>
  <c r="F34" i="40"/>
  <c r="F33" i="40"/>
  <c r="F31" i="40"/>
  <c r="F29" i="40"/>
  <c r="F27" i="40"/>
  <c r="F25" i="40"/>
  <c r="F24" i="40"/>
  <c r="F22" i="40"/>
  <c r="F20" i="40"/>
  <c r="F18" i="40"/>
  <c r="F16" i="40"/>
  <c r="D18" i="40"/>
  <c r="F15" i="40"/>
  <c r="F21" i="40"/>
  <c r="X16" i="40"/>
  <c r="X20" i="40"/>
  <c r="X15" i="41"/>
  <c r="N25" i="41"/>
  <c r="N29" i="41"/>
  <c r="N33" i="41"/>
  <c r="N34" i="41"/>
  <c r="L16" i="44"/>
  <c r="L15" i="47"/>
  <c r="L13" i="43"/>
  <c r="L33" i="43"/>
  <c r="N16" i="44"/>
  <c r="X29" i="46"/>
  <c r="Z13" i="40"/>
  <c r="Z16" i="40"/>
  <c r="Z20" i="40"/>
  <c r="X22" i="40"/>
  <c r="X24" i="40"/>
  <c r="J24" i="41"/>
  <c r="J22" i="41"/>
  <c r="J21" i="41"/>
  <c r="J20" i="41"/>
  <c r="J18" i="41"/>
  <c r="J16" i="41"/>
  <c r="H18" i="41"/>
  <c r="J15" i="41"/>
  <c r="N12" i="41"/>
  <c r="J33" i="41"/>
  <c r="J25" i="41"/>
  <c r="J31" i="41"/>
  <c r="J36" i="41"/>
  <c r="J29" i="41"/>
  <c r="J34" i="41"/>
  <c r="J27" i="41"/>
  <c r="X13" i="41"/>
  <c r="Z15" i="41"/>
  <c r="X21" i="41"/>
  <c r="X33" i="43"/>
  <c r="Z16" i="44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N12" i="46"/>
  <c r="X21" i="46"/>
  <c r="N16" i="47"/>
  <c r="R21" i="43"/>
  <c r="R20" i="43"/>
  <c r="R18" i="43"/>
  <c r="R16" i="43"/>
  <c r="P18" i="43"/>
  <c r="R15" i="43"/>
  <c r="X12" i="43"/>
  <c r="R36" i="43"/>
  <c r="R34" i="43"/>
  <c r="R33" i="43"/>
  <c r="R31" i="43"/>
  <c r="R29" i="43"/>
  <c r="R27" i="43"/>
  <c r="R25" i="43"/>
  <c r="R22" i="43"/>
  <c r="R24" i="43"/>
  <c r="Z22" i="43"/>
  <c r="Z24" i="43"/>
  <c r="Z21" i="44"/>
  <c r="X25" i="44"/>
  <c r="X29" i="44"/>
  <c r="X33" i="44"/>
  <c r="X34" i="44"/>
  <c r="Z13" i="46"/>
  <c r="Z16" i="46"/>
  <c r="Z20" i="46"/>
  <c r="X22" i="46"/>
  <c r="X24" i="46"/>
  <c r="X12" i="47"/>
  <c r="R24" i="47"/>
  <c r="R22" i="47"/>
  <c r="R33" i="47"/>
  <c r="R34" i="47"/>
  <c r="R25" i="47"/>
  <c r="R15" i="47"/>
  <c r="R36" i="47"/>
  <c r="R27" i="47"/>
  <c r="R16" i="47"/>
  <c r="R29" i="47"/>
  <c r="R18" i="47"/>
  <c r="R31" i="47"/>
  <c r="R20" i="47"/>
  <c r="R21" i="47"/>
  <c r="P18" i="47"/>
  <c r="N15" i="47"/>
  <c r="L25" i="47"/>
  <c r="X16" i="49"/>
  <c r="L21" i="49"/>
  <c r="N25" i="50"/>
  <c r="L13" i="52"/>
  <c r="L25" i="52"/>
  <c r="L33" i="52"/>
  <c r="N20" i="53"/>
  <c r="L16" i="43"/>
  <c r="L20" i="43"/>
  <c r="Z12" i="44"/>
  <c r="V24" i="44"/>
  <c r="V22" i="44"/>
  <c r="V20" i="44"/>
  <c r="V18" i="44"/>
  <c r="V16" i="44"/>
  <c r="V34" i="44"/>
  <c r="V29" i="44"/>
  <c r="V15" i="44"/>
  <c r="V33" i="44"/>
  <c r="V27" i="44"/>
  <c r="T18" i="44"/>
  <c r="V36" i="44"/>
  <c r="V31" i="44"/>
  <c r="V25" i="44"/>
  <c r="V21" i="44"/>
  <c r="L15" i="44"/>
  <c r="Z25" i="44"/>
  <c r="Z29" i="44"/>
  <c r="Z33" i="44"/>
  <c r="Z34" i="44"/>
  <c r="R36" i="46"/>
  <c r="P18" i="46"/>
  <c r="R15" i="46"/>
  <c r="X12" i="46"/>
  <c r="R34" i="46"/>
  <c r="R33" i="46"/>
  <c r="R31" i="46"/>
  <c r="R29" i="46"/>
  <c r="R27" i="46"/>
  <c r="R25" i="46"/>
  <c r="R21" i="46"/>
  <c r="R20" i="46"/>
  <c r="R18" i="46"/>
  <c r="R16" i="46"/>
  <c r="R24" i="46"/>
  <c r="R22" i="46"/>
  <c r="Z22" i="46"/>
  <c r="Z24" i="46"/>
  <c r="N25" i="47"/>
  <c r="N15" i="53"/>
  <c r="L21" i="53"/>
  <c r="Z12" i="46"/>
  <c r="V34" i="46"/>
  <c r="V33" i="46"/>
  <c r="V31" i="46"/>
  <c r="V29" i="46"/>
  <c r="V27" i="46"/>
  <c r="V25" i="46"/>
  <c r="V36" i="46"/>
  <c r="V24" i="46"/>
  <c r="V22" i="46"/>
  <c r="V21" i="46"/>
  <c r="T18" i="46"/>
  <c r="V15" i="46"/>
  <c r="V20" i="46"/>
  <c r="V18" i="46"/>
  <c r="V16" i="46"/>
  <c r="L15" i="46"/>
  <c r="Z25" i="46"/>
  <c r="Z29" i="46"/>
  <c r="Z33" i="46"/>
  <c r="Z34" i="46"/>
  <c r="X16" i="47"/>
  <c r="L22" i="47"/>
  <c r="N24" i="47"/>
  <c r="Z29" i="47"/>
  <c r="N34" i="47"/>
  <c r="N29" i="49"/>
  <c r="N34" i="49"/>
  <c r="N13" i="50"/>
  <c r="N22" i="50"/>
  <c r="N21" i="52"/>
  <c r="L34" i="52"/>
  <c r="N16" i="43"/>
  <c r="N20" i="43"/>
  <c r="L22" i="43"/>
  <c r="L24" i="43"/>
  <c r="N15" i="44"/>
  <c r="L21" i="44"/>
  <c r="L16" i="46"/>
  <c r="L20" i="46"/>
  <c r="L13" i="47"/>
  <c r="X15" i="47"/>
  <c r="L21" i="47"/>
  <c r="L33" i="47"/>
  <c r="N15" i="49"/>
  <c r="Z21" i="49"/>
  <c r="N33" i="50"/>
  <c r="X15" i="53"/>
  <c r="N34" i="53"/>
  <c r="N15" i="46"/>
  <c r="L21" i="46"/>
  <c r="N13" i="47"/>
  <c r="Z16" i="47"/>
  <c r="N22" i="47"/>
  <c r="N25" i="49"/>
  <c r="L20" i="50"/>
  <c r="N16" i="52"/>
  <c r="L22" i="52"/>
  <c r="N13" i="43"/>
  <c r="N22" i="43"/>
  <c r="N24" i="43"/>
  <c r="L13" i="44"/>
  <c r="N21" i="44"/>
  <c r="L25" i="44"/>
  <c r="L29" i="44"/>
  <c r="L33" i="44"/>
  <c r="L34" i="44"/>
  <c r="N16" i="46"/>
  <c r="N20" i="46"/>
  <c r="L22" i="46"/>
  <c r="L24" i="46"/>
  <c r="Z15" i="47"/>
  <c r="N21" i="47"/>
  <c r="N33" i="47"/>
  <c r="X15" i="49"/>
  <c r="L22" i="49"/>
  <c r="N15" i="50"/>
  <c r="L29" i="52"/>
  <c r="N16" i="53"/>
  <c r="L22" i="53"/>
  <c r="X15" i="43"/>
  <c r="N25" i="43"/>
  <c r="N29" i="43"/>
  <c r="N33" i="43"/>
  <c r="N34" i="43"/>
  <c r="N13" i="44"/>
  <c r="N22" i="44"/>
  <c r="N24" i="44"/>
  <c r="L13" i="46"/>
  <c r="N21" i="46"/>
  <c r="L25" i="46"/>
  <c r="L29" i="46"/>
  <c r="L33" i="46"/>
  <c r="L34" i="46"/>
  <c r="N20" i="47"/>
  <c r="X24" i="47"/>
  <c r="Z25" i="47"/>
  <c r="X25" i="49"/>
  <c r="N24" i="50"/>
  <c r="X16" i="52"/>
  <c r="N29" i="53"/>
  <c r="L12" i="43"/>
  <c r="F36" i="43"/>
  <c r="F34" i="43"/>
  <c r="F33" i="43"/>
  <c r="F31" i="43"/>
  <c r="F29" i="43"/>
  <c r="F27" i="43"/>
  <c r="F25" i="43"/>
  <c r="F21" i="43"/>
  <c r="D18" i="43"/>
  <c r="F15" i="43"/>
  <c r="F22" i="43"/>
  <c r="F18" i="43"/>
  <c r="F16" i="43"/>
  <c r="F24" i="43"/>
  <c r="F20" i="43"/>
  <c r="X16" i="43"/>
  <c r="X20" i="43"/>
  <c r="X15" i="44"/>
  <c r="N25" i="44"/>
  <c r="N29" i="44"/>
  <c r="N33" i="44"/>
  <c r="N34" i="44"/>
  <c r="N13" i="46"/>
  <c r="N22" i="46"/>
  <c r="N24" i="46"/>
  <c r="X13" i="47"/>
  <c r="Z24" i="47"/>
  <c r="L29" i="47"/>
  <c r="Z34" i="47"/>
  <c r="N20" i="49"/>
  <c r="X15" i="50"/>
  <c r="N29" i="50"/>
  <c r="N34" i="50"/>
  <c r="L24" i="52"/>
  <c r="J36" i="43"/>
  <c r="J34" i="43"/>
  <c r="J33" i="43"/>
  <c r="J31" i="43"/>
  <c r="J29" i="43"/>
  <c r="J27" i="43"/>
  <c r="J25" i="43"/>
  <c r="J24" i="43"/>
  <c r="J22" i="43"/>
  <c r="J21" i="43"/>
  <c r="H18" i="43"/>
  <c r="J15" i="43"/>
  <c r="J18" i="43"/>
  <c r="N12" i="43"/>
  <c r="J16" i="43"/>
  <c r="J20" i="43"/>
  <c r="X13" i="43"/>
  <c r="Z15" i="43"/>
  <c r="X21" i="43"/>
  <c r="F36" i="44"/>
  <c r="F34" i="44"/>
  <c r="F33" i="44"/>
  <c r="F31" i="44"/>
  <c r="F29" i="44"/>
  <c r="F27" i="44"/>
  <c r="F25" i="44"/>
  <c r="F24" i="44"/>
  <c r="F22" i="44"/>
  <c r="F20" i="44"/>
  <c r="F18" i="44"/>
  <c r="F16" i="44"/>
  <c r="L12" i="44"/>
  <c r="F21" i="44"/>
  <c r="F15" i="44"/>
  <c r="D18" i="44"/>
  <c r="X16" i="44"/>
  <c r="X20" i="44"/>
  <c r="X15" i="46"/>
  <c r="N25" i="46"/>
  <c r="N29" i="46"/>
  <c r="N33" i="46"/>
  <c r="N34" i="46"/>
  <c r="D18" i="47"/>
  <c r="F15" i="47"/>
  <c r="F16" i="47"/>
  <c r="F29" i="47"/>
  <c r="F18" i="47"/>
  <c r="F31" i="47"/>
  <c r="F20" i="47"/>
  <c r="F33" i="47"/>
  <c r="F21" i="47"/>
  <c r="F22" i="47"/>
  <c r="F34" i="47"/>
  <c r="F24" i="47"/>
  <c r="F27" i="47"/>
  <c r="F25" i="47"/>
  <c r="F36" i="47"/>
  <c r="L12" i="47"/>
  <c r="Z13" i="47"/>
  <c r="X22" i="47"/>
  <c r="D18" i="49"/>
  <c r="F15" i="49"/>
  <c r="L12" i="49"/>
  <c r="F36" i="49"/>
  <c r="F34" i="49"/>
  <c r="F33" i="49"/>
  <c r="F31" i="49"/>
  <c r="F29" i="49"/>
  <c r="F27" i="49"/>
  <c r="F25" i="49"/>
  <c r="F24" i="49"/>
  <c r="F22" i="49"/>
  <c r="F16" i="49"/>
  <c r="F20" i="49"/>
  <c r="F18" i="49"/>
  <c r="F21" i="49"/>
  <c r="L16" i="50"/>
  <c r="L24" i="53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N12" i="44"/>
  <c r="J15" i="44"/>
  <c r="H18" i="44"/>
  <c r="X13" i="44"/>
  <c r="Z15" i="44"/>
  <c r="X21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X16" i="46"/>
  <c r="X20" i="46"/>
  <c r="N12" i="47"/>
  <c r="J18" i="47"/>
  <c r="J31" i="47"/>
  <c r="H18" i="47"/>
  <c r="J20" i="47"/>
  <c r="J33" i="47"/>
  <c r="J21" i="47"/>
  <c r="J22" i="47"/>
  <c r="J34" i="47"/>
  <c r="J24" i="47"/>
  <c r="J25" i="47"/>
  <c r="J16" i="47"/>
  <c r="J15" i="47"/>
  <c r="J36" i="47"/>
  <c r="J29" i="47"/>
  <c r="J27" i="47"/>
  <c r="X21" i="47"/>
  <c r="Z22" i="47"/>
  <c r="N29" i="47"/>
  <c r="N16" i="49"/>
  <c r="X20" i="49"/>
  <c r="L21" i="50"/>
  <c r="F20" i="52"/>
  <c r="F18" i="52"/>
  <c r="F16" i="52"/>
  <c r="D18" i="52"/>
  <c r="F15" i="52"/>
  <c r="L12" i="52"/>
  <c r="F36" i="52"/>
  <c r="F34" i="52"/>
  <c r="F33" i="52"/>
  <c r="F31" i="52"/>
  <c r="F29" i="52"/>
  <c r="F27" i="52"/>
  <c r="F25" i="52"/>
  <c r="F24" i="52"/>
  <c r="F22" i="52"/>
  <c r="F21" i="52"/>
  <c r="L13" i="49"/>
  <c r="N21" i="49"/>
  <c r="L25" i="49"/>
  <c r="L29" i="49"/>
  <c r="L33" i="49"/>
  <c r="L34" i="49"/>
  <c r="N16" i="50"/>
  <c r="N20" i="50"/>
  <c r="L22" i="50"/>
  <c r="L24" i="50"/>
  <c r="N13" i="52"/>
  <c r="N22" i="52"/>
  <c r="N24" i="52"/>
  <c r="L13" i="53"/>
  <c r="N21" i="53"/>
  <c r="L25" i="53"/>
  <c r="L29" i="53"/>
  <c r="L33" i="53"/>
  <c r="L34" i="53"/>
  <c r="N13" i="49"/>
  <c r="N22" i="49"/>
  <c r="N24" i="49"/>
  <c r="L13" i="50"/>
  <c r="N21" i="50"/>
  <c r="L25" i="50"/>
  <c r="L29" i="50"/>
  <c r="L33" i="50"/>
  <c r="L34" i="50"/>
  <c r="X15" i="52"/>
  <c r="N25" i="52"/>
  <c r="N29" i="52"/>
  <c r="N33" i="52"/>
  <c r="N34" i="52"/>
  <c r="N13" i="53"/>
  <c r="N22" i="53"/>
  <c r="N24" i="53"/>
  <c r="N12" i="52"/>
  <c r="J24" i="52"/>
  <c r="J22" i="52"/>
  <c r="J21" i="52"/>
  <c r="J31" i="52"/>
  <c r="J18" i="52"/>
  <c r="H18" i="52"/>
  <c r="J36" i="52"/>
  <c r="J29" i="52"/>
  <c r="J16" i="52"/>
  <c r="J34" i="52"/>
  <c r="J27" i="52"/>
  <c r="J15" i="52"/>
  <c r="J20" i="52"/>
  <c r="J33" i="52"/>
  <c r="J25" i="52"/>
  <c r="X13" i="52"/>
  <c r="Z15" i="52"/>
  <c r="X21" i="52"/>
  <c r="D18" i="53"/>
  <c r="F15" i="53"/>
  <c r="L12" i="53"/>
  <c r="F36" i="53"/>
  <c r="F34" i="53"/>
  <c r="F33" i="53"/>
  <c r="F31" i="53"/>
  <c r="F29" i="53"/>
  <c r="F27" i="53"/>
  <c r="F25" i="53"/>
  <c r="F24" i="53"/>
  <c r="F22" i="53"/>
  <c r="F18" i="53"/>
  <c r="F16" i="53"/>
  <c r="F21" i="53"/>
  <c r="F20" i="53"/>
  <c r="X16" i="53"/>
  <c r="X20" i="53"/>
  <c r="Z21" i="47"/>
  <c r="X25" i="47"/>
  <c r="X29" i="47"/>
  <c r="X33" i="47"/>
  <c r="X34" i="47"/>
  <c r="J21" i="49"/>
  <c r="J20" i="49"/>
  <c r="J18" i="49"/>
  <c r="J16" i="49"/>
  <c r="N12" i="49"/>
  <c r="J36" i="49"/>
  <c r="J31" i="49"/>
  <c r="J22" i="49"/>
  <c r="J25" i="49"/>
  <c r="J15" i="49"/>
  <c r="J34" i="49"/>
  <c r="J29" i="49"/>
  <c r="H18" i="49"/>
  <c r="J33" i="49"/>
  <c r="J24" i="49"/>
  <c r="J27" i="49"/>
  <c r="X13" i="49"/>
  <c r="Z15" i="49"/>
  <c r="X21" i="49"/>
  <c r="L12" i="50"/>
  <c r="F24" i="50"/>
  <c r="F22" i="50"/>
  <c r="F21" i="50"/>
  <c r="F16" i="50"/>
  <c r="F34" i="50"/>
  <c r="F29" i="50"/>
  <c r="F20" i="50"/>
  <c r="F15" i="50"/>
  <c r="F33" i="50"/>
  <c r="F27" i="50"/>
  <c r="F18" i="50"/>
  <c r="D18" i="50"/>
  <c r="F36" i="50"/>
  <c r="F31" i="50"/>
  <c r="F25" i="50"/>
  <c r="X16" i="50"/>
  <c r="X20" i="50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1" i="53"/>
  <c r="J20" i="53"/>
  <c r="J18" i="53"/>
  <c r="J16" i="53"/>
  <c r="J24" i="53"/>
  <c r="H18" i="53"/>
  <c r="J22" i="53"/>
  <c r="J15" i="53"/>
  <c r="X13" i="53"/>
  <c r="Z15" i="53"/>
  <c r="X21" i="53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0" i="50"/>
  <c r="J18" i="50"/>
  <c r="J16" i="50"/>
  <c r="H18" i="50"/>
  <c r="J15" i="50"/>
  <c r="J24" i="50"/>
  <c r="J22" i="50"/>
  <c r="J21" i="50"/>
  <c r="X13" i="50"/>
  <c r="Z15" i="50"/>
  <c r="X21" i="50"/>
  <c r="Z21" i="52"/>
  <c r="X25" i="52"/>
  <c r="X29" i="52"/>
  <c r="X33" i="52"/>
  <c r="X34" i="52"/>
  <c r="Z13" i="53"/>
  <c r="Z16" i="53"/>
  <c r="Z20" i="53"/>
  <c r="X22" i="53"/>
  <c r="X24" i="53"/>
  <c r="X29" i="49"/>
  <c r="X33" i="49"/>
  <c r="X34" i="49"/>
  <c r="Z13" i="50"/>
  <c r="Z16" i="50"/>
  <c r="Z20" i="50"/>
  <c r="X22" i="50"/>
  <c r="X24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L16" i="47"/>
  <c r="L20" i="47"/>
  <c r="X12" i="49"/>
  <c r="R36" i="49"/>
  <c r="R34" i="49"/>
  <c r="R33" i="49"/>
  <c r="R31" i="49"/>
  <c r="R29" i="49"/>
  <c r="R27" i="49"/>
  <c r="R25" i="49"/>
  <c r="R21" i="49"/>
  <c r="R20" i="49"/>
  <c r="R18" i="49"/>
  <c r="R16" i="49"/>
  <c r="R22" i="49"/>
  <c r="R15" i="49"/>
  <c r="P18" i="49"/>
  <c r="R24" i="49"/>
  <c r="Z22" i="49"/>
  <c r="Z24" i="49"/>
  <c r="Z21" i="50"/>
  <c r="X25" i="50"/>
  <c r="X29" i="50"/>
  <c r="X33" i="50"/>
  <c r="X3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V36" i="49"/>
  <c r="V34" i="49"/>
  <c r="V33" i="49"/>
  <c r="V31" i="49"/>
  <c r="V29" i="49"/>
  <c r="V27" i="49"/>
  <c r="V25" i="49"/>
  <c r="V24" i="49"/>
  <c r="V22" i="49"/>
  <c r="V21" i="49"/>
  <c r="T18" i="49"/>
  <c r="V15" i="49"/>
  <c r="V18" i="49"/>
  <c r="V20" i="49"/>
  <c r="V16" i="49"/>
  <c r="Z12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X12" i="50"/>
  <c r="Z22" i="50"/>
  <c r="Z24" i="50"/>
  <c r="L16" i="52"/>
  <c r="L20" i="52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Z12" i="53"/>
  <c r="L15" i="53"/>
  <c r="Z25" i="53"/>
  <c r="Z29" i="53"/>
  <c r="Z33" i="53"/>
  <c r="Z34" i="53"/>
  <c r="L16" i="49"/>
  <c r="L20" i="49"/>
  <c r="V24" i="50"/>
  <c r="V22" i="50"/>
  <c r="V21" i="50"/>
  <c r="V20" i="50"/>
  <c r="V18" i="50"/>
  <c r="V16" i="50"/>
  <c r="T18" i="50"/>
  <c r="V15" i="50"/>
  <c r="V34" i="50"/>
  <c r="V29" i="50"/>
  <c r="V33" i="50"/>
  <c r="V27" i="50"/>
  <c r="Z12" i="50"/>
  <c r="V36" i="50"/>
  <c r="V31" i="50"/>
  <c r="V25" i="50"/>
  <c r="L15" i="50"/>
  <c r="Z25" i="50"/>
  <c r="Z29" i="50"/>
  <c r="Z33" i="50"/>
  <c r="Z34" i="50"/>
  <c r="N15" i="52"/>
  <c r="L21" i="52"/>
  <c r="L16" i="53"/>
  <c r="L20" i="53"/>
  <c r="Z13" i="110"/>
  <c r="Z16" i="110"/>
  <c r="N22" i="112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N24" i="112"/>
  <c r="Z20" i="110"/>
  <c r="X22" i="110"/>
  <c r="X16" i="111"/>
  <c r="X24" i="110"/>
  <c r="X20" i="111"/>
  <c r="N13" i="112"/>
  <c r="Z21" i="110"/>
  <c r="X25" i="110"/>
  <c r="X29" i="110"/>
  <c r="X33" i="110"/>
  <c r="X34" i="110"/>
  <c r="J24" i="111"/>
  <c r="J22" i="111"/>
  <c r="J21" i="111"/>
  <c r="J20" i="111"/>
  <c r="J18" i="111"/>
  <c r="J16" i="111"/>
  <c r="H18" i="111"/>
  <c r="J15" i="111"/>
  <c r="N12" i="111"/>
  <c r="J36" i="111"/>
  <c r="J34" i="111"/>
  <c r="J33" i="111"/>
  <c r="J31" i="111"/>
  <c r="J29" i="111"/>
  <c r="J27" i="111"/>
  <c r="J25" i="111"/>
  <c r="X13" i="111"/>
  <c r="Z15" i="111"/>
  <c r="X21" i="111"/>
  <c r="X15" i="112"/>
  <c r="N25" i="112"/>
  <c r="N29" i="112"/>
  <c r="N33" i="112"/>
  <c r="N34" i="112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R21" i="110"/>
  <c r="Z22" i="110"/>
  <c r="Z24" i="110"/>
  <c r="Z13" i="111"/>
  <c r="Z16" i="111"/>
  <c r="Z20" i="111"/>
  <c r="X22" i="111"/>
  <c r="X24" i="111"/>
  <c r="F24" i="112"/>
  <c r="F22" i="112"/>
  <c r="F21" i="112"/>
  <c r="F20" i="112"/>
  <c r="F18" i="112"/>
  <c r="F16" i="112"/>
  <c r="D18" i="112"/>
  <c r="F15" i="112"/>
  <c r="L12" i="112"/>
  <c r="F36" i="112"/>
  <c r="F34" i="112"/>
  <c r="F33" i="112"/>
  <c r="F31" i="112"/>
  <c r="F29" i="112"/>
  <c r="F27" i="112"/>
  <c r="F25" i="112"/>
  <c r="X16" i="112"/>
  <c r="X20" i="112"/>
  <c r="Z12" i="110"/>
  <c r="V36" i="110"/>
  <c r="V34" i="110"/>
  <c r="V33" i="110"/>
  <c r="V31" i="110"/>
  <c r="V29" i="110"/>
  <c r="V27" i="110"/>
  <c r="V25" i="110"/>
  <c r="V24" i="110"/>
  <c r="V22" i="110"/>
  <c r="V21" i="110"/>
  <c r="V20" i="110"/>
  <c r="V18" i="110"/>
  <c r="V16" i="110"/>
  <c r="T18" i="110"/>
  <c r="V15" i="110"/>
  <c r="L15" i="110"/>
  <c r="Z25" i="110"/>
  <c r="Z29" i="110"/>
  <c r="Z33" i="110"/>
  <c r="Z34" i="110"/>
  <c r="Z21" i="111"/>
  <c r="X25" i="111"/>
  <c r="X29" i="111"/>
  <c r="X33" i="111"/>
  <c r="X34" i="111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J21" i="112"/>
  <c r="X13" i="112"/>
  <c r="Z15" i="112"/>
  <c r="X21" i="112"/>
  <c r="L16" i="110"/>
  <c r="L20" i="110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P18" i="111"/>
  <c r="R15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L12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J264" i="3"/>
  <c r="J248" i="3"/>
  <c r="J263" i="3"/>
  <c r="J255" i="3"/>
  <c r="J243" i="3"/>
  <c r="J239" i="3"/>
  <c r="J262" i="3"/>
  <c r="J256" i="3"/>
  <c r="J261" i="3"/>
  <c r="J257" i="3"/>
  <c r="J249" i="3"/>
  <c r="J233" i="3"/>
  <c r="J229" i="3"/>
  <c r="J260" i="3"/>
  <c r="J250" i="3"/>
  <c r="J244" i="3"/>
  <c r="J240" i="3"/>
  <c r="J234" i="3"/>
  <c r="J259" i="3"/>
  <c r="J251" i="3"/>
  <c r="J235" i="3"/>
  <c r="J223" i="3"/>
  <c r="J269" i="3"/>
  <c r="J268" i="3"/>
  <c r="J273" i="3"/>
  <c r="J267" i="3"/>
  <c r="J237" i="3"/>
  <c r="J231" i="3"/>
  <c r="J266" i="3"/>
  <c r="J254" i="3"/>
  <c r="J246" i="3"/>
  <c r="J242" i="3"/>
  <c r="J238" i="3"/>
  <c r="J226" i="3"/>
  <c r="J220" i="3"/>
  <c r="J225" i="3"/>
  <c r="J217" i="3"/>
  <c r="J207" i="3"/>
  <c r="J197" i="3"/>
  <c r="J191" i="3"/>
  <c r="J159" i="3"/>
  <c r="J155" i="3"/>
  <c r="J151" i="3"/>
  <c r="J147" i="3"/>
  <c r="J143" i="3"/>
  <c r="J139" i="3"/>
  <c r="J135" i="3"/>
  <c r="J131" i="3"/>
  <c r="J127" i="3"/>
  <c r="J123" i="3"/>
  <c r="J119" i="3"/>
  <c r="J115" i="3"/>
  <c r="J114" i="3"/>
  <c r="J208" i="3"/>
  <c r="J198" i="3"/>
  <c r="J182" i="3"/>
  <c r="J178" i="3"/>
  <c r="J278" i="3"/>
  <c r="J222" i="3"/>
  <c r="J209" i="3"/>
  <c r="J199" i="3"/>
  <c r="J173" i="3"/>
  <c r="J169" i="3"/>
  <c r="J236" i="3"/>
  <c r="J228" i="3"/>
  <c r="J218" i="3"/>
  <c r="J210" i="3"/>
  <c r="J200" i="3"/>
  <c r="J192" i="3"/>
  <c r="J160" i="3"/>
  <c r="J156" i="3"/>
  <c r="J152" i="3"/>
  <c r="J148" i="3"/>
  <c r="J144" i="3"/>
  <c r="J140" i="3"/>
  <c r="J136" i="3"/>
  <c r="J132" i="3"/>
  <c r="J128" i="3"/>
  <c r="J124" i="3"/>
  <c r="J120" i="3"/>
  <c r="J116" i="3"/>
  <c r="J265" i="3"/>
  <c r="J247" i="3"/>
  <c r="J241" i="3"/>
  <c r="J211" i="3"/>
  <c r="J201" i="3"/>
  <c r="J183" i="3"/>
  <c r="J179" i="3"/>
  <c r="J165" i="3"/>
  <c r="J184" i="3"/>
  <c r="J170" i="3"/>
  <c r="J166" i="3"/>
  <c r="J253" i="3"/>
  <c r="J245" i="3"/>
  <c r="J212" i="3"/>
  <c r="J202" i="3"/>
  <c r="J174" i="3"/>
  <c r="J164" i="3"/>
  <c r="J219" i="3"/>
  <c r="J213" i="3"/>
  <c r="J203" i="3"/>
  <c r="J193" i="3"/>
  <c r="J185" i="3"/>
  <c r="H162" i="3"/>
  <c r="J157" i="3"/>
  <c r="J153" i="3"/>
  <c r="J149" i="3"/>
  <c r="J145" i="3"/>
  <c r="J141" i="3"/>
  <c r="J137" i="3"/>
  <c r="J133" i="3"/>
  <c r="J129" i="3"/>
  <c r="J125" i="3"/>
  <c r="J121" i="3"/>
  <c r="J117" i="3"/>
  <c r="J277" i="3"/>
  <c r="J214" i="3"/>
  <c r="J204" i="3"/>
  <c r="J194" i="3"/>
  <c r="J186" i="3"/>
  <c r="J180" i="3"/>
  <c r="J224" i="3"/>
  <c r="J215" i="3"/>
  <c r="J195" i="3"/>
  <c r="J187" i="3"/>
  <c r="J175" i="3"/>
  <c r="J171" i="3"/>
  <c r="J167" i="3"/>
  <c r="J232" i="3"/>
  <c r="J216" i="3"/>
  <c r="J188" i="3"/>
  <c r="J176" i="3"/>
  <c r="J158" i="3"/>
  <c r="J154" i="3"/>
  <c r="J150" i="3"/>
  <c r="J146" i="3"/>
  <c r="J142" i="3"/>
  <c r="J138" i="3"/>
  <c r="J134" i="3"/>
  <c r="J130" i="3"/>
  <c r="J126" i="3"/>
  <c r="J122" i="3"/>
  <c r="J118" i="3"/>
  <c r="J206" i="3"/>
  <c r="J196" i="3"/>
  <c r="J190" i="3"/>
  <c r="J172" i="3"/>
  <c r="J168" i="3"/>
  <c r="J252" i="3"/>
  <c r="J230" i="3"/>
  <c r="J221" i="3"/>
  <c r="J205" i="3"/>
  <c r="J189" i="3"/>
  <c r="J181" i="3"/>
  <c r="J177" i="3"/>
  <c r="J227" i="3"/>
  <c r="N114" i="3"/>
  <c r="Z164" i="3"/>
  <c r="Z184" i="3"/>
  <c r="Z199" i="3"/>
  <c r="Z114" i="3"/>
  <c r="Z25" i="3"/>
  <c r="Z53" i="3"/>
  <c r="Z61" i="3"/>
  <c r="Z105" i="3"/>
  <c r="Z109" i="3"/>
  <c r="Z17" i="3"/>
  <c r="Z45" i="3"/>
  <c r="F266" i="3"/>
  <c r="F278" i="3"/>
  <c r="F277" i="3"/>
  <c r="F265" i="3"/>
  <c r="F248" i="3"/>
  <c r="F247" i="3"/>
  <c r="F264" i="3"/>
  <c r="F255" i="3"/>
  <c r="F263" i="3"/>
  <c r="F262" i="3"/>
  <c r="F257" i="3"/>
  <c r="F256" i="3"/>
  <c r="F249" i="3"/>
  <c r="F233" i="3"/>
  <c r="F229" i="3"/>
  <c r="F228" i="3"/>
  <c r="F261" i="3"/>
  <c r="F244" i="3"/>
  <c r="F240" i="3"/>
  <c r="F253" i="3"/>
  <c r="F252" i="3"/>
  <c r="F269" i="3"/>
  <c r="F236" i="3"/>
  <c r="F273" i="3"/>
  <c r="F268" i="3"/>
  <c r="F231" i="3"/>
  <c r="F219" i="3"/>
  <c r="F218" i="3"/>
  <c r="F254" i="3"/>
  <c r="F242" i="3"/>
  <c r="F227" i="3"/>
  <c r="F196" i="3"/>
  <c r="F172" i="3"/>
  <c r="F168" i="3"/>
  <c r="F246" i="3"/>
  <c r="F225" i="3"/>
  <c r="F217" i="3"/>
  <c r="F207" i="3"/>
  <c r="F206" i="3"/>
  <c r="F191" i="3"/>
  <c r="F190" i="3"/>
  <c r="F159" i="3"/>
  <c r="F155" i="3"/>
  <c r="F151" i="3"/>
  <c r="F147" i="3"/>
  <c r="F143" i="3"/>
  <c r="F139" i="3"/>
  <c r="F135" i="3"/>
  <c r="F131" i="3"/>
  <c r="F127" i="3"/>
  <c r="F123" i="3"/>
  <c r="F119" i="3"/>
  <c r="F115" i="3"/>
  <c r="F114" i="3"/>
  <c r="F198" i="3"/>
  <c r="F197" i="3"/>
  <c r="F182" i="3"/>
  <c r="F178" i="3"/>
  <c r="F222" i="3"/>
  <c r="F209" i="3"/>
  <c r="F208" i="3"/>
  <c r="F173" i="3"/>
  <c r="F169" i="3"/>
  <c r="F267" i="3"/>
  <c r="F239" i="3"/>
  <c r="F200" i="3"/>
  <c r="F199" i="3"/>
  <c r="F192" i="3"/>
  <c r="F160" i="3"/>
  <c r="F156" i="3"/>
  <c r="F152" i="3"/>
  <c r="F148" i="3"/>
  <c r="F144" i="3"/>
  <c r="F140" i="3"/>
  <c r="F136" i="3"/>
  <c r="F132" i="3"/>
  <c r="F128" i="3"/>
  <c r="F124" i="3"/>
  <c r="F120" i="3"/>
  <c r="F116" i="3"/>
  <c r="F211" i="3"/>
  <c r="F210" i="3"/>
  <c r="F183" i="3"/>
  <c r="F179" i="3"/>
  <c r="F260" i="3"/>
  <c r="F243" i="3"/>
  <c r="F241" i="3"/>
  <c r="F251" i="3"/>
  <c r="F245" i="3"/>
  <c r="F202" i="3"/>
  <c r="F201" i="3"/>
  <c r="F174" i="3"/>
  <c r="F170" i="3"/>
  <c r="F166" i="3"/>
  <c r="F165" i="3"/>
  <c r="L12" i="3"/>
  <c r="N12" i="3" s="1"/>
  <c r="F234" i="3"/>
  <c r="F226" i="3"/>
  <c r="F223" i="3"/>
  <c r="F213" i="3"/>
  <c r="F212" i="3"/>
  <c r="F193" i="3"/>
  <c r="F185" i="3"/>
  <c r="F184" i="3"/>
  <c r="F164" i="3"/>
  <c r="F162" i="3"/>
  <c r="F157" i="3"/>
  <c r="F153" i="3"/>
  <c r="F149" i="3"/>
  <c r="F145" i="3"/>
  <c r="F141" i="3"/>
  <c r="F137" i="3"/>
  <c r="F133" i="3"/>
  <c r="F129" i="3"/>
  <c r="F125" i="3"/>
  <c r="F121" i="3"/>
  <c r="F117" i="3"/>
  <c r="F181" i="3"/>
  <c r="F237" i="3"/>
  <c r="F204" i="3"/>
  <c r="F203" i="3"/>
  <c r="F180" i="3"/>
  <c r="D162" i="3"/>
  <c r="F220" i="3"/>
  <c r="F215" i="3"/>
  <c r="F214" i="3"/>
  <c r="F195" i="3"/>
  <c r="F194" i="3"/>
  <c r="F187" i="3"/>
  <c r="F186" i="3"/>
  <c r="F175" i="3"/>
  <c r="F171" i="3"/>
  <c r="F167" i="3"/>
  <c r="F205" i="3"/>
  <c r="F188" i="3"/>
  <c r="F177" i="3"/>
  <c r="F176" i="3"/>
  <c r="F259" i="3"/>
  <c r="F232" i="3"/>
  <c r="F224" i="3"/>
  <c r="F158" i="3"/>
  <c r="F154" i="3"/>
  <c r="F150" i="3"/>
  <c r="F146" i="3"/>
  <c r="F142" i="3"/>
  <c r="F138" i="3"/>
  <c r="F134" i="3"/>
  <c r="F130" i="3"/>
  <c r="F126" i="3"/>
  <c r="F122" i="3"/>
  <c r="F118" i="3"/>
  <c r="F250" i="3"/>
  <c r="F238" i="3"/>
  <c r="F235" i="3"/>
  <c r="F230" i="3"/>
  <c r="F221" i="3"/>
  <c r="F216" i="3"/>
  <c r="F189" i="3"/>
  <c r="N201" i="3"/>
  <c r="R260" i="3"/>
  <c r="R257" i="3"/>
  <c r="R250" i="3"/>
  <c r="R249" i="3"/>
  <c r="R259" i="3"/>
  <c r="R244" i="3"/>
  <c r="R240" i="3"/>
  <c r="R252" i="3"/>
  <c r="R251" i="3"/>
  <c r="R269" i="3"/>
  <c r="R230" i="3"/>
  <c r="R268" i="3"/>
  <c r="R253" i="3"/>
  <c r="R245" i="3"/>
  <c r="R241" i="3"/>
  <c r="R225" i="3"/>
  <c r="R218" i="3"/>
  <c r="R217" i="3"/>
  <c r="R267" i="3"/>
  <c r="R237" i="3"/>
  <c r="R236" i="3"/>
  <c r="R278" i="3"/>
  <c r="R277" i="3"/>
  <c r="R265" i="3"/>
  <c r="R264" i="3"/>
  <c r="R263" i="3"/>
  <c r="R248" i="3"/>
  <c r="R232" i="3"/>
  <c r="R262" i="3"/>
  <c r="R256" i="3"/>
  <c r="R255" i="3"/>
  <c r="R243" i="3"/>
  <c r="R239" i="3"/>
  <c r="R228" i="3"/>
  <c r="R227" i="3"/>
  <c r="R201" i="3"/>
  <c r="R200" i="3"/>
  <c r="R192" i="3"/>
  <c r="R165" i="3"/>
  <c r="R160" i="3"/>
  <c r="R156" i="3"/>
  <c r="R152" i="3"/>
  <c r="R148" i="3"/>
  <c r="R144" i="3"/>
  <c r="R140" i="3"/>
  <c r="R136" i="3"/>
  <c r="R132" i="3"/>
  <c r="R128" i="3"/>
  <c r="R124" i="3"/>
  <c r="R120" i="3"/>
  <c r="R116" i="3"/>
  <c r="R233" i="3"/>
  <c r="R212" i="3"/>
  <c r="R211" i="3"/>
  <c r="R184" i="3"/>
  <c r="R183" i="3"/>
  <c r="R179" i="3"/>
  <c r="R164" i="3"/>
  <c r="R162" i="3"/>
  <c r="R273" i="3"/>
  <c r="R247" i="3"/>
  <c r="R231" i="3"/>
  <c r="R203" i="3"/>
  <c r="R202" i="3"/>
  <c r="R174" i="3"/>
  <c r="R170" i="3"/>
  <c r="R166" i="3"/>
  <c r="P162" i="3"/>
  <c r="R234" i="3"/>
  <c r="R219" i="3"/>
  <c r="R214" i="3"/>
  <c r="R213" i="3"/>
  <c r="R194" i="3"/>
  <c r="R193" i="3"/>
  <c r="R186" i="3"/>
  <c r="R185" i="3"/>
  <c r="R157" i="3"/>
  <c r="R153" i="3"/>
  <c r="R149" i="3"/>
  <c r="R145" i="3"/>
  <c r="R141" i="3"/>
  <c r="R137" i="3"/>
  <c r="R133" i="3"/>
  <c r="R129" i="3"/>
  <c r="R125" i="3"/>
  <c r="R121" i="3"/>
  <c r="R117" i="3"/>
  <c r="R229" i="3"/>
  <c r="R226" i="3"/>
  <c r="R223" i="3"/>
  <c r="R220" i="3"/>
  <c r="R204" i="3"/>
  <c r="R180" i="3"/>
  <c r="X12" i="3"/>
  <c r="Z12" i="3" s="1"/>
  <c r="R215" i="3"/>
  <c r="R188" i="3"/>
  <c r="R175" i="3"/>
  <c r="R167" i="3"/>
  <c r="R195" i="3"/>
  <c r="R187" i="3"/>
  <c r="R176" i="3"/>
  <c r="R171" i="3"/>
  <c r="R224" i="3"/>
  <c r="R216" i="3"/>
  <c r="R158" i="3"/>
  <c r="R154" i="3"/>
  <c r="R150" i="3"/>
  <c r="R146" i="3"/>
  <c r="R142" i="3"/>
  <c r="R138" i="3"/>
  <c r="R134" i="3"/>
  <c r="R130" i="3"/>
  <c r="R126" i="3"/>
  <c r="R122" i="3"/>
  <c r="R118" i="3"/>
  <c r="R221" i="3"/>
  <c r="R206" i="3"/>
  <c r="R205" i="3"/>
  <c r="R190" i="3"/>
  <c r="R189" i="3"/>
  <c r="R181" i="3"/>
  <c r="R177" i="3"/>
  <c r="R114" i="3"/>
  <c r="R238" i="3"/>
  <c r="R235" i="3"/>
  <c r="R197" i="3"/>
  <c r="R196" i="3"/>
  <c r="R172" i="3"/>
  <c r="R168" i="3"/>
  <c r="R266" i="3"/>
  <c r="R261" i="3"/>
  <c r="R254" i="3"/>
  <c r="R242" i="3"/>
  <c r="R208" i="3"/>
  <c r="R207" i="3"/>
  <c r="R191" i="3"/>
  <c r="R159" i="3"/>
  <c r="R155" i="3"/>
  <c r="R151" i="3"/>
  <c r="R147" i="3"/>
  <c r="R143" i="3"/>
  <c r="R139" i="3"/>
  <c r="R135" i="3"/>
  <c r="R131" i="3"/>
  <c r="R127" i="3"/>
  <c r="R123" i="3"/>
  <c r="R119" i="3"/>
  <c r="R115" i="3"/>
  <c r="R209" i="3"/>
  <c r="R169" i="3"/>
  <c r="R246" i="3"/>
  <c r="R199" i="3"/>
  <c r="R198" i="3"/>
  <c r="R182" i="3"/>
  <c r="R178" i="3"/>
  <c r="R222" i="3"/>
  <c r="R210" i="3"/>
  <c r="R173" i="3"/>
  <c r="Z218" i="3"/>
  <c r="V252" i="3"/>
  <c r="V269" i="3"/>
  <c r="V251" i="3"/>
  <c r="V268" i="3"/>
  <c r="V267" i="3"/>
  <c r="V253" i="3"/>
  <c r="V245" i="3"/>
  <c r="V241" i="3"/>
  <c r="V237" i="3"/>
  <c r="V225" i="3"/>
  <c r="V266" i="3"/>
  <c r="V236" i="3"/>
  <c r="V220" i="3"/>
  <c r="V278" i="3"/>
  <c r="V277" i="3"/>
  <c r="V273" i="3"/>
  <c r="V265" i="3"/>
  <c r="V247" i="3"/>
  <c r="V231" i="3"/>
  <c r="V263" i="3"/>
  <c r="V262" i="3"/>
  <c r="V256" i="3"/>
  <c r="V261" i="3"/>
  <c r="V255" i="3"/>
  <c r="V243" i="3"/>
  <c r="V239" i="3"/>
  <c r="V227" i="3"/>
  <c r="V260" i="3"/>
  <c r="V250" i="3"/>
  <c r="V234" i="3"/>
  <c r="V222" i="3"/>
  <c r="V233" i="3"/>
  <c r="V211" i="3"/>
  <c r="V203" i="3"/>
  <c r="V183" i="3"/>
  <c r="V179" i="3"/>
  <c r="T162" i="3"/>
  <c r="V160" i="3"/>
  <c r="V257" i="3"/>
  <c r="V214" i="3"/>
  <c r="V202" i="3"/>
  <c r="V194" i="3"/>
  <c r="V186" i="3"/>
  <c r="V174" i="3"/>
  <c r="V170" i="3"/>
  <c r="V166" i="3"/>
  <c r="V145" i="3"/>
  <c r="V117" i="3"/>
  <c r="V219" i="3"/>
  <c r="V213" i="3"/>
  <c r="V193" i="3"/>
  <c r="V185" i="3"/>
  <c r="V157" i="3"/>
  <c r="V153" i="3"/>
  <c r="V149" i="3"/>
  <c r="V141" i="3"/>
  <c r="V137" i="3"/>
  <c r="V133" i="3"/>
  <c r="V129" i="3"/>
  <c r="V125" i="3"/>
  <c r="V121" i="3"/>
  <c r="V132" i="3"/>
  <c r="V120" i="3"/>
  <c r="V116" i="3"/>
  <c r="V229" i="3"/>
  <c r="V226" i="3"/>
  <c r="V223" i="3"/>
  <c r="V204" i="3"/>
  <c r="V188" i="3"/>
  <c r="V180" i="3"/>
  <c r="V176" i="3"/>
  <c r="V122" i="3"/>
  <c r="V249" i="3"/>
  <c r="V224" i="3"/>
  <c r="V216" i="3"/>
  <c r="V215" i="3"/>
  <c r="V195" i="3"/>
  <c r="V187" i="3"/>
  <c r="V175" i="3"/>
  <c r="V171" i="3"/>
  <c r="V167" i="3"/>
  <c r="V158" i="3"/>
  <c r="V150" i="3"/>
  <c r="V130" i="3"/>
  <c r="V118" i="3"/>
  <c r="V206" i="3"/>
  <c r="V190" i="3"/>
  <c r="V154" i="3"/>
  <c r="V146" i="3"/>
  <c r="V142" i="3"/>
  <c r="V138" i="3"/>
  <c r="V134" i="3"/>
  <c r="V126" i="3"/>
  <c r="V114" i="3"/>
  <c r="V221" i="3"/>
  <c r="V205" i="3"/>
  <c r="V197" i="3"/>
  <c r="V189" i="3"/>
  <c r="V181" i="3"/>
  <c r="V177" i="3"/>
  <c r="V238" i="3"/>
  <c r="V235" i="3"/>
  <c r="V232" i="3"/>
  <c r="V208" i="3"/>
  <c r="V196" i="3"/>
  <c r="V172" i="3"/>
  <c r="V168" i="3"/>
  <c r="V136" i="3"/>
  <c r="V264" i="3"/>
  <c r="V254" i="3"/>
  <c r="V242" i="3"/>
  <c r="V240" i="3"/>
  <c r="V230" i="3"/>
  <c r="V207" i="3"/>
  <c r="V199" i="3"/>
  <c r="V191" i="3"/>
  <c r="V159" i="3"/>
  <c r="V155" i="3"/>
  <c r="V151" i="3"/>
  <c r="V147" i="3"/>
  <c r="V143" i="3"/>
  <c r="V139" i="3"/>
  <c r="V135" i="3"/>
  <c r="V131" i="3"/>
  <c r="V127" i="3"/>
  <c r="V123" i="3"/>
  <c r="V119" i="3"/>
  <c r="V115" i="3"/>
  <c r="V124" i="3"/>
  <c r="V246" i="3"/>
  <c r="V244" i="3"/>
  <c r="V217" i="3"/>
  <c r="V210" i="3"/>
  <c r="V198" i="3"/>
  <c r="V182" i="3"/>
  <c r="V178" i="3"/>
  <c r="V212" i="3"/>
  <c r="V200" i="3"/>
  <c r="V184" i="3"/>
  <c r="V164" i="3"/>
  <c r="V162" i="3"/>
  <c r="V148" i="3"/>
  <c r="V248" i="3"/>
  <c r="V228" i="3"/>
  <c r="V218" i="3"/>
  <c r="V209" i="3"/>
  <c r="V201" i="3"/>
  <c r="V173" i="3"/>
  <c r="V169" i="3"/>
  <c r="V165" i="3"/>
  <c r="V192" i="3"/>
  <c r="V156" i="3"/>
  <c r="V152" i="3"/>
  <c r="V144" i="3"/>
  <c r="V140" i="3"/>
  <c r="V128" i="3"/>
  <c r="Z14" i="3"/>
  <c r="N164" i="3"/>
  <c r="N199" i="3"/>
  <c r="N38" i="9"/>
  <c r="L38" i="9"/>
  <c r="Z71" i="9"/>
  <c r="N13" i="3"/>
  <c r="X14" i="3"/>
  <c r="N216" i="3"/>
  <c r="H22" i="6"/>
  <c r="N16" i="6"/>
  <c r="N18" i="9"/>
  <c r="V31" i="9"/>
  <c r="Z69" i="9"/>
  <c r="V71" i="9"/>
  <c r="N252" i="3"/>
  <c r="L252" i="3"/>
  <c r="N50" i="9"/>
  <c r="L50" i="9"/>
  <c r="X165" i="3"/>
  <c r="Z165" i="3" s="1"/>
  <c r="X201" i="3"/>
  <c r="Z201" i="3" s="1"/>
  <c r="X218" i="3"/>
  <c r="N224" i="3"/>
  <c r="H259" i="3"/>
  <c r="Z264" i="3"/>
  <c r="Z250" i="3"/>
  <c r="Z252" i="3"/>
  <c r="N277" i="3"/>
  <c r="X28" i="6"/>
  <c r="P88" i="9"/>
  <c r="X16" i="9"/>
  <c r="V38" i="9"/>
  <c r="V50" i="9"/>
  <c r="X56" i="9"/>
  <c r="Z56" i="9" s="1"/>
  <c r="L215" i="15"/>
  <c r="X13" i="3"/>
  <c r="X45" i="3"/>
  <c r="X53" i="3"/>
  <c r="X61" i="3"/>
  <c r="X65" i="3"/>
  <c r="Z65" i="3" s="1"/>
  <c r="X69" i="3"/>
  <c r="Z69" i="3" s="1"/>
  <c r="X73" i="3"/>
  <c r="Z73" i="3" s="1"/>
  <c r="X77" i="3"/>
  <c r="Z77" i="3" s="1"/>
  <c r="X81" i="3"/>
  <c r="Z81" i="3" s="1"/>
  <c r="X85" i="3"/>
  <c r="Z85" i="3" s="1"/>
  <c r="X89" i="3"/>
  <c r="Z89" i="3" s="1"/>
  <c r="X93" i="3"/>
  <c r="Z93" i="3" s="1"/>
  <c r="X97" i="3"/>
  <c r="Z97" i="3" s="1"/>
  <c r="X101" i="3"/>
  <c r="Z101" i="3" s="1"/>
  <c r="X105" i="3"/>
  <c r="X109" i="3"/>
  <c r="Z28" i="6"/>
  <c r="Z19" i="12"/>
  <c r="Z72" i="12"/>
  <c r="N47" i="18"/>
  <c r="Z77" i="18"/>
  <c r="X77" i="18"/>
  <c r="X17" i="3"/>
  <c r="X21" i="3"/>
  <c r="Z21" i="3" s="1"/>
  <c r="X25" i="3"/>
  <c r="X29" i="3"/>
  <c r="Z29" i="3" s="1"/>
  <c r="X33" i="3"/>
  <c r="Z33" i="3" s="1"/>
  <c r="X37" i="3"/>
  <c r="Z37" i="3" s="1"/>
  <c r="X41" i="3"/>
  <c r="Z41" i="3" s="1"/>
  <c r="X49" i="3"/>
  <c r="Z49" i="3" s="1"/>
  <c r="X57" i="3"/>
  <c r="Z57" i="3" s="1"/>
  <c r="Z13" i="3"/>
  <c r="L260" i="3"/>
  <c r="N260" i="3" s="1"/>
  <c r="D259" i="3"/>
  <c r="L259" i="3" s="1"/>
  <c r="X277" i="3"/>
  <c r="Z44" i="9"/>
  <c r="X44" i="9"/>
  <c r="N34" i="12"/>
  <c r="L34" i="12"/>
  <c r="P223" i="12"/>
  <c r="X229" i="12"/>
  <c r="N183" i="15"/>
  <c r="Z216" i="3"/>
  <c r="Z224" i="3"/>
  <c r="Z277" i="3"/>
  <c r="L34" i="15"/>
  <c r="N34" i="15" s="1"/>
  <c r="X234" i="3"/>
  <c r="Z234" i="3" s="1"/>
  <c r="Z263" i="3"/>
  <c r="F22" i="6"/>
  <c r="F20" i="6"/>
  <c r="F18" i="6"/>
  <c r="F16" i="6"/>
  <c r="F14" i="6"/>
  <c r="F24" i="6"/>
  <c r="D16" i="6"/>
  <c r="L12" i="6"/>
  <c r="N66" i="9"/>
  <c r="L66" i="9"/>
  <c r="X224" i="3"/>
  <c r="X259" i="3"/>
  <c r="X265" i="3"/>
  <c r="Z265" i="3" s="1"/>
  <c r="X29" i="6"/>
  <c r="H16" i="9"/>
  <c r="P12" i="15"/>
  <c r="T259" i="3"/>
  <c r="Z260" i="3"/>
  <c r="Z29" i="6"/>
  <c r="N242" i="18"/>
  <c r="Z247" i="3"/>
  <c r="X278" i="3"/>
  <c r="Z278" i="3" s="1"/>
  <c r="V35" i="9"/>
  <c r="V43" i="9"/>
  <c r="N69" i="9"/>
  <c r="N264" i="3"/>
  <c r="L266" i="3"/>
  <c r="N269" i="3"/>
  <c r="Z12" i="6"/>
  <c r="T16" i="6"/>
  <c r="V31" i="6"/>
  <c r="V29" i="6"/>
  <c r="V28" i="6"/>
  <c r="V26" i="6"/>
  <c r="V24" i="6"/>
  <c r="V20" i="6"/>
  <c r="V73" i="9"/>
  <c r="V65" i="9"/>
  <c r="V49" i="9"/>
  <c r="V37" i="9"/>
  <c r="V33" i="9"/>
  <c r="T16" i="9"/>
  <c r="V95" i="9"/>
  <c r="V92" i="9"/>
  <c r="V90" i="9"/>
  <c r="V80" i="9"/>
  <c r="V60" i="9"/>
  <c r="V52" i="9"/>
  <c r="V40" i="9"/>
  <c r="V28" i="9"/>
  <c r="V24" i="9"/>
  <c r="V20" i="9"/>
  <c r="V79" i="9"/>
  <c r="V67" i="9"/>
  <c r="V51" i="9"/>
  <c r="V39" i="9"/>
  <c r="V82" i="9"/>
  <c r="V74" i="9"/>
  <c r="V62" i="9"/>
  <c r="V54" i="9"/>
  <c r="V42" i="9"/>
  <c r="V34" i="9"/>
  <c r="V30" i="9"/>
  <c r="V81" i="9"/>
  <c r="V69" i="9"/>
  <c r="V61" i="9"/>
  <c r="V53" i="9"/>
  <c r="V41" i="9"/>
  <c r="V29" i="9"/>
  <c r="V25" i="9"/>
  <c r="V21" i="9"/>
  <c r="V68" i="9"/>
  <c r="V56" i="9"/>
  <c r="V44" i="9"/>
  <c r="V83" i="9"/>
  <c r="V75" i="9"/>
  <c r="V70" i="9"/>
  <c r="V58" i="9"/>
  <c r="V46" i="9"/>
  <c r="V26" i="9"/>
  <c r="V22" i="9"/>
  <c r="V77" i="9"/>
  <c r="V57" i="9"/>
  <c r="V45" i="9"/>
  <c r="V88" i="9"/>
  <c r="V86" i="9"/>
  <c r="V84" i="9"/>
  <c r="V76" i="9"/>
  <c r="V72" i="9"/>
  <c r="V64" i="9"/>
  <c r="V48" i="9"/>
  <c r="V36" i="9"/>
  <c r="V32" i="9"/>
  <c r="Z12" i="9"/>
  <c r="V59" i="9"/>
  <c r="V47" i="9"/>
  <c r="V27" i="9"/>
  <c r="V23" i="9"/>
  <c r="V19" i="9"/>
  <c r="Z19" i="9"/>
  <c r="V78" i="9"/>
  <c r="Z58" i="12"/>
  <c r="Z82" i="12"/>
  <c r="N14" i="6"/>
  <c r="X12" i="9"/>
  <c r="X14" i="9"/>
  <c r="J31" i="9"/>
  <c r="R32" i="9"/>
  <c r="J35" i="9"/>
  <c r="R36" i="9"/>
  <c r="J43" i="9"/>
  <c r="J55" i="9"/>
  <c r="J63" i="9"/>
  <c r="R64" i="9"/>
  <c r="F68" i="9"/>
  <c r="J69" i="9"/>
  <c r="R72" i="9"/>
  <c r="J75" i="9"/>
  <c r="R76" i="9"/>
  <c r="R77" i="9"/>
  <c r="J83" i="9"/>
  <c r="R84" i="9"/>
  <c r="T12" i="12"/>
  <c r="X14" i="12"/>
  <c r="Z14" i="12" s="1"/>
  <c r="N16" i="12"/>
  <c r="X21" i="12"/>
  <c r="Z21" i="12" s="1"/>
  <c r="X32" i="12"/>
  <c r="Z32" i="12" s="1"/>
  <c r="N36" i="12"/>
  <c r="Z41" i="12"/>
  <c r="X43" i="12"/>
  <c r="Z43" i="12" s="1"/>
  <c r="N49" i="12"/>
  <c r="N51" i="12"/>
  <c r="Z184" i="12"/>
  <c r="F209" i="12"/>
  <c r="N211" i="12"/>
  <c r="N223" i="12"/>
  <c r="N28" i="15"/>
  <c r="L30" i="15"/>
  <c r="N30" i="15" s="1"/>
  <c r="F165" i="15"/>
  <c r="Z192" i="15"/>
  <c r="N195" i="15"/>
  <c r="N206" i="15"/>
  <c r="Z37" i="18"/>
  <c r="X37" i="18"/>
  <c r="L55" i="18"/>
  <c r="N55" i="18" s="1"/>
  <c r="X260" i="3"/>
  <c r="P16" i="6"/>
  <c r="F21" i="9"/>
  <c r="F25" i="9"/>
  <c r="F29" i="9"/>
  <c r="J30" i="9"/>
  <c r="F40" i="9"/>
  <c r="F41" i="9"/>
  <c r="J42" i="9"/>
  <c r="R45" i="9"/>
  <c r="R46" i="9"/>
  <c r="F52" i="9"/>
  <c r="F53" i="9"/>
  <c r="J54" i="9"/>
  <c r="R57" i="9"/>
  <c r="R58" i="9"/>
  <c r="F61" i="9"/>
  <c r="J62" i="9"/>
  <c r="J68" i="9"/>
  <c r="F80" i="9"/>
  <c r="F81" i="9"/>
  <c r="J82" i="9"/>
  <c r="F92" i="9"/>
  <c r="F95" i="9"/>
  <c r="N18" i="12"/>
  <c r="X23" i="12"/>
  <c r="Z23" i="12" s="1"/>
  <c r="N25" i="12"/>
  <c r="X34" i="12"/>
  <c r="Z34" i="12" s="1"/>
  <c r="N38" i="12"/>
  <c r="D131" i="12"/>
  <c r="Z145" i="12"/>
  <c r="L153" i="12"/>
  <c r="N153" i="12" s="1"/>
  <c r="N155" i="12"/>
  <c r="L159" i="12"/>
  <c r="N159" i="12" s="1"/>
  <c r="F177" i="12"/>
  <c r="F193" i="12"/>
  <c r="F216" i="12"/>
  <c r="N26" i="15"/>
  <c r="L26" i="15"/>
  <c r="R14" i="6"/>
  <c r="R16" i="6"/>
  <c r="R18" i="6"/>
  <c r="R20" i="6"/>
  <c r="R22" i="6"/>
  <c r="D16" i="9"/>
  <c r="J21" i="9"/>
  <c r="R22" i="9"/>
  <c r="J25" i="9"/>
  <c r="R26" i="9"/>
  <c r="J29" i="9"/>
  <c r="F34" i="9"/>
  <c r="J41" i="9"/>
  <c r="J53" i="9"/>
  <c r="J61" i="9"/>
  <c r="R70" i="9"/>
  <c r="R71" i="9"/>
  <c r="F74" i="9"/>
  <c r="J81" i="9"/>
  <c r="X16" i="12"/>
  <c r="Z16" i="12" s="1"/>
  <c r="N27" i="12"/>
  <c r="X36" i="12"/>
  <c r="Z36" i="12" s="1"/>
  <c r="N40" i="12"/>
  <c r="Z45" i="12"/>
  <c r="Z47" i="12"/>
  <c r="X49" i="12"/>
  <c r="Z49" i="12" s="1"/>
  <c r="N87" i="12"/>
  <c r="N169" i="12"/>
  <c r="F207" i="12"/>
  <c r="T223" i="12"/>
  <c r="L22" i="15"/>
  <c r="N22" i="15" s="1"/>
  <c r="N78" i="15"/>
  <c r="L78" i="15"/>
  <c r="Z45" i="18"/>
  <c r="X45" i="18"/>
  <c r="R35" i="9"/>
  <c r="R43" i="9"/>
  <c r="R44" i="9"/>
  <c r="F50" i="9"/>
  <c r="F51" i="9"/>
  <c r="J52" i="9"/>
  <c r="R55" i="9"/>
  <c r="R56" i="9"/>
  <c r="R63" i="9"/>
  <c r="F66" i="9"/>
  <c r="F67" i="9"/>
  <c r="J74" i="9"/>
  <c r="R75" i="9"/>
  <c r="F79" i="9"/>
  <c r="J80" i="9"/>
  <c r="R83" i="9"/>
  <c r="J92" i="9"/>
  <c r="J95" i="9"/>
  <c r="X18" i="12"/>
  <c r="Z18" i="12" s="1"/>
  <c r="N20" i="12"/>
  <c r="X25" i="12"/>
  <c r="Z25" i="12" s="1"/>
  <c r="N29" i="12"/>
  <c r="X38" i="12"/>
  <c r="Z38" i="12" s="1"/>
  <c r="N42" i="12"/>
  <c r="X53" i="12"/>
  <c r="Z53" i="12" s="1"/>
  <c r="X153" i="12"/>
  <c r="X159" i="12"/>
  <c r="Z159" i="12" s="1"/>
  <c r="L167" i="12"/>
  <c r="N167" i="12" s="1"/>
  <c r="F176" i="12"/>
  <c r="F183" i="12"/>
  <c r="F191" i="12"/>
  <c r="F205" i="12"/>
  <c r="N18" i="15"/>
  <c r="L18" i="15"/>
  <c r="N72" i="15"/>
  <c r="N74" i="15"/>
  <c r="L74" i="15"/>
  <c r="N82" i="15"/>
  <c r="L82" i="15"/>
  <c r="N84" i="15"/>
  <c r="F133" i="15"/>
  <c r="F164" i="15"/>
  <c r="Z206" i="15"/>
  <c r="L63" i="18"/>
  <c r="N63" i="18" s="1"/>
  <c r="N44" i="12"/>
  <c r="Z153" i="12"/>
  <c r="H12" i="15"/>
  <c r="L14" i="15"/>
  <c r="N14" i="15" s="1"/>
  <c r="N70" i="15"/>
  <c r="L70" i="15"/>
  <c r="N86" i="15"/>
  <c r="L86" i="15"/>
  <c r="X53" i="18"/>
  <c r="Z53" i="18" s="1"/>
  <c r="X264" i="3"/>
  <c r="X12" i="6"/>
  <c r="X14" i="6"/>
  <c r="X18" i="6"/>
  <c r="X20" i="6"/>
  <c r="J14" i="9"/>
  <c r="J16" i="9"/>
  <c r="J18" i="9"/>
  <c r="J20" i="9"/>
  <c r="R21" i="9"/>
  <c r="J24" i="9"/>
  <c r="R25" i="9"/>
  <c r="J28" i="9"/>
  <c r="R29" i="9"/>
  <c r="R30" i="9"/>
  <c r="F33" i="9"/>
  <c r="F37" i="9"/>
  <c r="J38" i="9"/>
  <c r="R41" i="9"/>
  <c r="R42" i="9"/>
  <c r="F48" i="9"/>
  <c r="F49" i="9"/>
  <c r="J50" i="9"/>
  <c r="R53" i="9"/>
  <c r="R54" i="9"/>
  <c r="J60" i="9"/>
  <c r="R61" i="9"/>
  <c r="R62" i="9"/>
  <c r="F65" i="9"/>
  <c r="J66" i="9"/>
  <c r="X71" i="9"/>
  <c r="F73" i="9"/>
  <c r="R81" i="9"/>
  <c r="R82" i="9"/>
  <c r="F86" i="9"/>
  <c r="F88" i="9"/>
  <c r="J90" i="9"/>
  <c r="L13" i="12"/>
  <c r="L22" i="12"/>
  <c r="N22" i="12" s="1"/>
  <c r="Z27" i="12"/>
  <c r="L44" i="12"/>
  <c r="N46" i="12"/>
  <c r="L46" i="12"/>
  <c r="N48" i="12"/>
  <c r="L133" i="12"/>
  <c r="N133" i="12" s="1"/>
  <c r="Z157" i="12"/>
  <c r="X167" i="12"/>
  <c r="Z169" i="12"/>
  <c r="F182" i="12"/>
  <c r="F190" i="12"/>
  <c r="N56" i="15"/>
  <c r="N58" i="15"/>
  <c r="L58" i="15"/>
  <c r="N60" i="15"/>
  <c r="N62" i="15"/>
  <c r="L62" i="15"/>
  <c r="N66" i="15"/>
  <c r="L66" i="15"/>
  <c r="N175" i="15"/>
  <c r="H215" i="15"/>
  <c r="N217" i="15"/>
  <c r="Z57" i="18"/>
  <c r="L71" i="18"/>
  <c r="N71" i="18" s="1"/>
  <c r="J28" i="6"/>
  <c r="J29" i="6"/>
  <c r="J19" i="9"/>
  <c r="J33" i="9"/>
  <c r="R34" i="9"/>
  <c r="J37" i="9"/>
  <c r="J49" i="9"/>
  <c r="J65" i="9"/>
  <c r="J73" i="9"/>
  <c r="R74" i="9"/>
  <c r="F77" i="9"/>
  <c r="F78" i="9"/>
  <c r="P12" i="12"/>
  <c r="X13" i="12"/>
  <c r="Z29" i="12"/>
  <c r="L48" i="12"/>
  <c r="N50" i="12"/>
  <c r="L50" i="12"/>
  <c r="F162" i="12"/>
  <c r="Z167" i="12"/>
  <c r="N54" i="15"/>
  <c r="L54" i="15"/>
  <c r="F205" i="15"/>
  <c r="R240" i="18"/>
  <c r="R237" i="18"/>
  <c r="R230" i="18"/>
  <c r="R229" i="18"/>
  <c r="R213" i="18"/>
  <c r="R190" i="18"/>
  <c r="R189" i="18"/>
  <c r="R161" i="18"/>
  <c r="R157" i="18"/>
  <c r="R239" i="18"/>
  <c r="R224" i="18"/>
  <c r="R220" i="18"/>
  <c r="R208" i="18"/>
  <c r="R201" i="18"/>
  <c r="R200" i="18"/>
  <c r="R181" i="18"/>
  <c r="R180" i="18"/>
  <c r="R153" i="18"/>
  <c r="R232" i="18"/>
  <c r="R231" i="18"/>
  <c r="R191" i="18"/>
  <c r="R172" i="18"/>
  <c r="R171" i="18"/>
  <c r="R167" i="18"/>
  <c r="R214" i="18"/>
  <c r="R203" i="18"/>
  <c r="R202" i="18"/>
  <c r="R182" i="18"/>
  <c r="R162" i="18"/>
  <c r="R158" i="18"/>
  <c r="R154" i="18"/>
  <c r="R233" i="18"/>
  <c r="R225" i="18"/>
  <c r="R221" i="18"/>
  <c r="R209" i="18"/>
  <c r="R174" i="18"/>
  <c r="R173" i="18"/>
  <c r="R145" i="18"/>
  <c r="R141" i="18"/>
  <c r="R137" i="18"/>
  <c r="R133" i="18"/>
  <c r="R129" i="18"/>
  <c r="R125" i="18"/>
  <c r="R121" i="18"/>
  <c r="R117" i="18"/>
  <c r="R113" i="18"/>
  <c r="R109" i="18"/>
  <c r="R105" i="18"/>
  <c r="R247" i="18"/>
  <c r="R204" i="18"/>
  <c r="R193" i="18"/>
  <c r="R192" i="18"/>
  <c r="R168" i="18"/>
  <c r="R246" i="18"/>
  <c r="R216" i="18"/>
  <c r="R215" i="18"/>
  <c r="R184" i="18"/>
  <c r="R183" i="18"/>
  <c r="R176" i="18"/>
  <c r="R175" i="18"/>
  <c r="R245" i="18"/>
  <c r="R234" i="18"/>
  <c r="R227" i="18"/>
  <c r="R226" i="18"/>
  <c r="R222" i="18"/>
  <c r="R211" i="18"/>
  <c r="R210" i="18"/>
  <c r="R195" i="18"/>
  <c r="R194" i="18"/>
  <c r="R251" i="18"/>
  <c r="R244" i="18"/>
  <c r="R217" i="18"/>
  <c r="R205" i="18"/>
  <c r="R186" i="18"/>
  <c r="R185" i="18"/>
  <c r="R178" i="18"/>
  <c r="R177" i="18"/>
  <c r="R169" i="18"/>
  <c r="R165" i="18"/>
  <c r="R243" i="18"/>
  <c r="R228" i="18"/>
  <c r="R212" i="18"/>
  <c r="R197" i="18"/>
  <c r="R196" i="18"/>
  <c r="R160" i="18"/>
  <c r="R156" i="18"/>
  <c r="R242" i="18"/>
  <c r="R236" i="18"/>
  <c r="R235" i="18"/>
  <c r="R223" i="18"/>
  <c r="R188" i="18"/>
  <c r="R187" i="18"/>
  <c r="R179" i="18"/>
  <c r="R147" i="18"/>
  <c r="R143" i="18"/>
  <c r="R139" i="18"/>
  <c r="R135" i="18"/>
  <c r="R131" i="18"/>
  <c r="R127" i="18"/>
  <c r="R123" i="18"/>
  <c r="R119" i="18"/>
  <c r="R115" i="18"/>
  <c r="R111" i="18"/>
  <c r="R107" i="18"/>
  <c r="R241" i="18"/>
  <c r="R219" i="18"/>
  <c r="R218" i="18"/>
  <c r="R207" i="18"/>
  <c r="R206" i="18"/>
  <c r="R199" i="18"/>
  <c r="R198" i="18"/>
  <c r="R170" i="18"/>
  <c r="R166" i="18"/>
  <c r="R152" i="18"/>
  <c r="R148" i="18"/>
  <c r="R144" i="18"/>
  <c r="R164" i="18"/>
  <c r="R140" i="18"/>
  <c r="R146" i="18"/>
  <c r="R136" i="18"/>
  <c r="R155" i="18"/>
  <c r="R142" i="18"/>
  <c r="R138" i="18"/>
  <c r="R132" i="18"/>
  <c r="R150" i="18"/>
  <c r="R134" i="18"/>
  <c r="R159" i="18"/>
  <c r="P150" i="18"/>
  <c r="R128" i="18"/>
  <c r="R124" i="18"/>
  <c r="R120" i="18"/>
  <c r="R116" i="18"/>
  <c r="R112" i="18"/>
  <c r="R108" i="18"/>
  <c r="R104" i="18"/>
  <c r="R130" i="18"/>
  <c r="R126" i="18"/>
  <c r="R122" i="18"/>
  <c r="R118" i="18"/>
  <c r="R114" i="18"/>
  <c r="R110" i="18"/>
  <c r="R106" i="18"/>
  <c r="R163" i="18"/>
  <c r="Z61" i="18"/>
  <c r="X61" i="18"/>
  <c r="F23" i="9"/>
  <c r="F27" i="9"/>
  <c r="R39" i="9"/>
  <c r="R40" i="9"/>
  <c r="F46" i="9"/>
  <c r="F47" i="9"/>
  <c r="J48" i="9"/>
  <c r="R51" i="9"/>
  <c r="R52" i="9"/>
  <c r="F58" i="9"/>
  <c r="F59" i="9"/>
  <c r="R67" i="9"/>
  <c r="J78" i="9"/>
  <c r="R79" i="9"/>
  <c r="R80" i="9"/>
  <c r="J86" i="9"/>
  <c r="J88" i="9"/>
  <c r="R92" i="9"/>
  <c r="R95" i="9"/>
  <c r="X15" i="12"/>
  <c r="Z15" i="12" s="1"/>
  <c r="N17" i="12"/>
  <c r="L24" i="12"/>
  <c r="N24" i="12" s="1"/>
  <c r="N26" i="12"/>
  <c r="Z31" i="12"/>
  <c r="X33" i="12"/>
  <c r="N37" i="12"/>
  <c r="X48" i="12"/>
  <c r="Z48" i="12" s="1"/>
  <c r="X50" i="12"/>
  <c r="Z50" i="12" s="1"/>
  <c r="L52" i="12"/>
  <c r="N52" i="12" s="1"/>
  <c r="N54" i="12"/>
  <c r="L54" i="12"/>
  <c r="N56" i="12"/>
  <c r="L56" i="12"/>
  <c r="N58" i="12"/>
  <c r="L58" i="12"/>
  <c r="L60" i="12"/>
  <c r="N60" i="12" s="1"/>
  <c r="L62" i="12"/>
  <c r="N62" i="12" s="1"/>
  <c r="N64" i="12"/>
  <c r="L64" i="12"/>
  <c r="N66" i="12"/>
  <c r="L66" i="12"/>
  <c r="N68" i="12"/>
  <c r="L68" i="12"/>
  <c r="N70" i="12"/>
  <c r="L70" i="12"/>
  <c r="L72" i="12"/>
  <c r="N72" i="12" s="1"/>
  <c r="L74" i="12"/>
  <c r="N74" i="12" s="1"/>
  <c r="N76" i="12"/>
  <c r="L76" i="12"/>
  <c r="N78" i="12"/>
  <c r="L78" i="12"/>
  <c r="N80" i="12"/>
  <c r="L80" i="12"/>
  <c r="N82" i="12"/>
  <c r="L82" i="12"/>
  <c r="N84" i="12"/>
  <c r="L84" i="12"/>
  <c r="L91" i="12"/>
  <c r="X133" i="12"/>
  <c r="Z133" i="12" s="1"/>
  <c r="Z165" i="12"/>
  <c r="N178" i="12"/>
  <c r="Z203" i="12"/>
  <c r="N227" i="12"/>
  <c r="N48" i="15"/>
  <c r="L50" i="15"/>
  <c r="N50" i="15" s="1"/>
  <c r="Z175" i="15"/>
  <c r="F189" i="15"/>
  <c r="Z217" i="15"/>
  <c r="Z80" i="18"/>
  <c r="R20" i="9"/>
  <c r="J23" i="9"/>
  <c r="R24" i="9"/>
  <c r="J27" i="9"/>
  <c r="R28" i="9"/>
  <c r="F32" i="9"/>
  <c r="F36" i="9"/>
  <c r="J47" i="9"/>
  <c r="J59" i="9"/>
  <c r="R60" i="9"/>
  <c r="F64" i="9"/>
  <c r="F71" i="9"/>
  <c r="F72" i="9"/>
  <c r="F76" i="9"/>
  <c r="J77" i="9"/>
  <c r="F84" i="9"/>
  <c r="R90" i="9"/>
  <c r="N19" i="12"/>
  <c r="X24" i="12"/>
  <c r="Z24" i="12" s="1"/>
  <c r="N28" i="12"/>
  <c r="Z33" i="12"/>
  <c r="X35" i="12"/>
  <c r="N39" i="12"/>
  <c r="X52" i="12"/>
  <c r="Z52" i="12" s="1"/>
  <c r="X54" i="12"/>
  <c r="Z54" i="12" s="1"/>
  <c r="X56" i="12"/>
  <c r="Z56" i="12" s="1"/>
  <c r="X58" i="12"/>
  <c r="X60" i="12"/>
  <c r="Z60" i="12" s="1"/>
  <c r="X62" i="12"/>
  <c r="Z62" i="12" s="1"/>
  <c r="X64" i="12"/>
  <c r="Z64" i="12" s="1"/>
  <c r="X66" i="12"/>
  <c r="X68" i="12"/>
  <c r="Z68" i="12" s="1"/>
  <c r="X70" i="12"/>
  <c r="Z70" i="12" s="1"/>
  <c r="X72" i="12"/>
  <c r="X74" i="12"/>
  <c r="Z74" i="12" s="1"/>
  <c r="X76" i="12"/>
  <c r="Z76" i="12" s="1"/>
  <c r="X78" i="12"/>
  <c r="Z78" i="12" s="1"/>
  <c r="X80" i="12"/>
  <c r="Z80" i="12" s="1"/>
  <c r="X82" i="12"/>
  <c r="X84" i="12"/>
  <c r="L86" i="12"/>
  <c r="N86" i="12" s="1"/>
  <c r="N88" i="12"/>
  <c r="L88" i="12"/>
  <c r="N91" i="12"/>
  <c r="X227" i="12"/>
  <c r="Z227" i="12" s="1"/>
  <c r="F217" i="15"/>
  <c r="F200" i="15"/>
  <c r="F196" i="15"/>
  <c r="F195" i="15"/>
  <c r="F184" i="15"/>
  <c r="F183" i="15"/>
  <c r="F176" i="15"/>
  <c r="F175" i="15"/>
  <c r="F156" i="15"/>
  <c r="F124" i="15"/>
  <c r="F120" i="15"/>
  <c r="F116" i="15"/>
  <c r="F112" i="15"/>
  <c r="F108" i="15"/>
  <c r="F104" i="15"/>
  <c r="F100" i="15"/>
  <c r="F96" i="15"/>
  <c r="F92" i="15"/>
  <c r="F216" i="15"/>
  <c r="F207" i="15"/>
  <c r="F206" i="15"/>
  <c r="F167" i="15"/>
  <c r="F166" i="15"/>
  <c r="F147" i="15"/>
  <c r="F143" i="15"/>
  <c r="F215" i="15"/>
  <c r="F190" i="15"/>
  <c r="F178" i="15"/>
  <c r="F177" i="15"/>
  <c r="F158" i="15"/>
  <c r="F157" i="15"/>
  <c r="F138" i="15"/>
  <c r="F134" i="15"/>
  <c r="F130" i="15"/>
  <c r="F129" i="15"/>
  <c r="F209" i="15"/>
  <c r="F208" i="15"/>
  <c r="F201" i="15"/>
  <c r="F197" i="15"/>
  <c r="F185" i="15"/>
  <c r="F149" i="15"/>
  <c r="F148" i="15"/>
  <c r="F128" i="15"/>
  <c r="F121" i="15"/>
  <c r="F117" i="15"/>
  <c r="F113" i="15"/>
  <c r="F109" i="15"/>
  <c r="F105" i="15"/>
  <c r="F101" i="15"/>
  <c r="F97" i="15"/>
  <c r="F93" i="15"/>
  <c r="F89" i="15"/>
  <c r="F88" i="15"/>
  <c r="F180" i="15"/>
  <c r="F179" i="15"/>
  <c r="F168" i="15"/>
  <c r="F144" i="15"/>
  <c r="D126" i="15"/>
  <c r="L12" i="15"/>
  <c r="F191" i="15"/>
  <c r="F159" i="15"/>
  <c r="F151" i="15"/>
  <c r="F150" i="15"/>
  <c r="F139" i="15"/>
  <c r="F135" i="15"/>
  <c r="F131" i="15"/>
  <c r="F210" i="15"/>
  <c r="F202" i="15"/>
  <c r="F198" i="15"/>
  <c r="F186" i="15"/>
  <c r="F170" i="15"/>
  <c r="F169" i="15"/>
  <c r="F122" i="15"/>
  <c r="F118" i="15"/>
  <c r="F114" i="15"/>
  <c r="F110" i="15"/>
  <c r="F106" i="15"/>
  <c r="F102" i="15"/>
  <c r="F98" i="15"/>
  <c r="F94" i="15"/>
  <c r="F90" i="15"/>
  <c r="F193" i="15"/>
  <c r="F192" i="15"/>
  <c r="F181" i="15"/>
  <c r="F161" i="15"/>
  <c r="F160" i="15"/>
  <c r="F153" i="15"/>
  <c r="F152" i="15"/>
  <c r="F145" i="15"/>
  <c r="F141" i="15"/>
  <c r="F140" i="15"/>
  <c r="F221" i="15"/>
  <c r="F204" i="15"/>
  <c r="F203" i="15"/>
  <c r="F188" i="15"/>
  <c r="F187" i="15"/>
  <c r="F172" i="15"/>
  <c r="F171" i="15"/>
  <c r="F136" i="15"/>
  <c r="F132" i="15"/>
  <c r="F225" i="15"/>
  <c r="F220" i="15"/>
  <c r="F211" i="15"/>
  <c r="F199" i="15"/>
  <c r="F163" i="15"/>
  <c r="F162" i="15"/>
  <c r="F155" i="15"/>
  <c r="F154" i="15"/>
  <c r="F123" i="15"/>
  <c r="F119" i="15"/>
  <c r="F115" i="15"/>
  <c r="F111" i="15"/>
  <c r="F107" i="15"/>
  <c r="F103" i="15"/>
  <c r="F99" i="15"/>
  <c r="F95" i="15"/>
  <c r="F91" i="15"/>
  <c r="F219" i="15"/>
  <c r="F194" i="15"/>
  <c r="F182" i="15"/>
  <c r="F174" i="15"/>
  <c r="F173" i="15"/>
  <c r="F146" i="15"/>
  <c r="F142" i="15"/>
  <c r="L46" i="15"/>
  <c r="N46" i="15" s="1"/>
  <c r="N129" i="15"/>
  <c r="L39" i="18"/>
  <c r="N39" i="18" s="1"/>
  <c r="N79" i="18"/>
  <c r="R33" i="9"/>
  <c r="J36" i="9"/>
  <c r="R37" i="9"/>
  <c r="R38" i="9"/>
  <c r="F44" i="9"/>
  <c r="F45" i="9"/>
  <c r="J46" i="9"/>
  <c r="R49" i="9"/>
  <c r="R50" i="9"/>
  <c r="F56" i="9"/>
  <c r="F57" i="9"/>
  <c r="J58" i="9"/>
  <c r="J64" i="9"/>
  <c r="R65" i="9"/>
  <c r="R66" i="9"/>
  <c r="J72" i="9"/>
  <c r="R73" i="9"/>
  <c r="J76" i="9"/>
  <c r="J84" i="9"/>
  <c r="F188" i="12"/>
  <c r="F168" i="12"/>
  <c r="F167" i="12"/>
  <c r="F160" i="12"/>
  <c r="F159" i="12"/>
  <c r="F128" i="12"/>
  <c r="F124" i="12"/>
  <c r="F120" i="12"/>
  <c r="F116" i="12"/>
  <c r="F112" i="12"/>
  <c r="F108" i="12"/>
  <c r="F104" i="12"/>
  <c r="F100" i="12"/>
  <c r="F96" i="12"/>
  <c r="F92" i="12"/>
  <c r="F91" i="12"/>
  <c r="F199" i="12"/>
  <c r="F195" i="12"/>
  <c r="F194" i="12"/>
  <c r="F179" i="12"/>
  <c r="F178" i="12"/>
  <c r="F151" i="12"/>
  <c r="F218" i="12"/>
  <c r="F210" i="12"/>
  <c r="F206" i="12"/>
  <c r="F170" i="12"/>
  <c r="F169" i="12"/>
  <c r="F142" i="12"/>
  <c r="F138" i="12"/>
  <c r="F201" i="12"/>
  <c r="F200" i="12"/>
  <c r="F189" i="12"/>
  <c r="F181" i="12"/>
  <c r="F180" i="12"/>
  <c r="F161" i="12"/>
  <c r="F129" i="12"/>
  <c r="F125" i="12"/>
  <c r="F121" i="12"/>
  <c r="F117" i="12"/>
  <c r="F113" i="12"/>
  <c r="F109" i="12"/>
  <c r="F105" i="12"/>
  <c r="F101" i="12"/>
  <c r="F97" i="12"/>
  <c r="F93" i="12"/>
  <c r="F229" i="12"/>
  <c r="F212" i="12"/>
  <c r="F211" i="12"/>
  <c r="F196" i="12"/>
  <c r="F172" i="12"/>
  <c r="F171" i="12"/>
  <c r="F152" i="12"/>
  <c r="F148" i="12"/>
  <c r="F233" i="12"/>
  <c r="F228" i="12"/>
  <c r="F219" i="12"/>
  <c r="F227" i="12"/>
  <c r="F202" i="12"/>
  <c r="F154" i="12"/>
  <c r="F153" i="12"/>
  <c r="F133" i="12"/>
  <c r="F131" i="12"/>
  <c r="F126" i="12"/>
  <c r="F122" i="12"/>
  <c r="F118" i="12"/>
  <c r="F114" i="12"/>
  <c r="F110" i="12"/>
  <c r="F106" i="12"/>
  <c r="F102" i="12"/>
  <c r="F98" i="12"/>
  <c r="F94" i="12"/>
  <c r="F226" i="12"/>
  <c r="F221" i="12"/>
  <c r="F220" i="12"/>
  <c r="F213" i="12"/>
  <c r="F197" i="12"/>
  <c r="F185" i="12"/>
  <c r="F184" i="12"/>
  <c r="F173" i="12"/>
  <c r="F225" i="12"/>
  <c r="F208" i="12"/>
  <c r="F204" i="12"/>
  <c r="F203" i="12"/>
  <c r="F192" i="12"/>
  <c r="F164" i="12"/>
  <c r="F156" i="12"/>
  <c r="F155" i="12"/>
  <c r="F144" i="12"/>
  <c r="F140" i="12"/>
  <c r="F136" i="12"/>
  <c r="F224" i="12"/>
  <c r="F215" i="12"/>
  <c r="F214" i="12"/>
  <c r="F187" i="12"/>
  <c r="F186" i="12"/>
  <c r="F175" i="12"/>
  <c r="F174" i="12"/>
  <c r="F127" i="12"/>
  <c r="F123" i="12"/>
  <c r="F119" i="12"/>
  <c r="F115" i="12"/>
  <c r="F111" i="12"/>
  <c r="F107" i="12"/>
  <c r="F103" i="12"/>
  <c r="F99" i="12"/>
  <c r="F95" i="12"/>
  <c r="F223" i="12"/>
  <c r="F198" i="12"/>
  <c r="F166" i="12"/>
  <c r="F165" i="12"/>
  <c r="F158" i="12"/>
  <c r="F157" i="12"/>
  <c r="F150" i="12"/>
  <c r="F146" i="12"/>
  <c r="F145" i="12"/>
  <c r="Z35" i="12"/>
  <c r="F135" i="12"/>
  <c r="F137" i="12"/>
  <c r="F139" i="12"/>
  <c r="F141" i="12"/>
  <c r="F143" i="12"/>
  <c r="L42" i="15"/>
  <c r="N42" i="15" s="1"/>
  <c r="Z69" i="18"/>
  <c r="X69" i="18"/>
  <c r="R26" i="6"/>
  <c r="R28" i="6"/>
  <c r="R29" i="6"/>
  <c r="R19" i="9"/>
  <c r="F22" i="9"/>
  <c r="F26" i="9"/>
  <c r="J45" i="9"/>
  <c r="J57" i="9"/>
  <c r="F69" i="9"/>
  <c r="H12" i="12"/>
  <c r="N14" i="12"/>
  <c r="Z17" i="12"/>
  <c r="X19" i="12"/>
  <c r="N21" i="12"/>
  <c r="X28" i="12"/>
  <c r="Z28" i="12" s="1"/>
  <c r="L30" i="12"/>
  <c r="N30" i="12" s="1"/>
  <c r="N32" i="12"/>
  <c r="Z37" i="12"/>
  <c r="X39" i="12"/>
  <c r="Z39" i="12" s="1"/>
  <c r="N43" i="12"/>
  <c r="Z91" i="12"/>
  <c r="F147" i="12"/>
  <c r="Z178" i="12"/>
  <c r="N36" i="15"/>
  <c r="L38" i="15"/>
  <c r="N38" i="15" s="1"/>
  <c r="X169" i="15"/>
  <c r="Z169" i="15" s="1"/>
  <c r="Z171" i="15"/>
  <c r="L183" i="15"/>
  <c r="N192" i="15"/>
  <c r="Z203" i="15"/>
  <c r="F218" i="15"/>
  <c r="Z219" i="15"/>
  <c r="L47" i="18"/>
  <c r="V89" i="15"/>
  <c r="V93" i="15"/>
  <c r="V97" i="15"/>
  <c r="V101" i="15"/>
  <c r="V105" i="15"/>
  <c r="V109" i="15"/>
  <c r="V113" i="15"/>
  <c r="V117" i="15"/>
  <c r="V121" i="15"/>
  <c r="V149" i="15"/>
  <c r="V169" i="15"/>
  <c r="V185" i="15"/>
  <c r="V197" i="15"/>
  <c r="V201" i="15"/>
  <c r="V209" i="15"/>
  <c r="L216" i="15"/>
  <c r="N216" i="15" s="1"/>
  <c r="D12" i="18"/>
  <c r="L89" i="18"/>
  <c r="N89" i="18" s="1"/>
  <c r="X92" i="18"/>
  <c r="N104" i="18"/>
  <c r="N188" i="18"/>
  <c r="Z195" i="18"/>
  <c r="N236" i="18"/>
  <c r="V130" i="15"/>
  <c r="V134" i="15"/>
  <c r="V138" i="15"/>
  <c r="V150" i="15"/>
  <c r="V158" i="15"/>
  <c r="V178" i="15"/>
  <c r="V190" i="15"/>
  <c r="P215" i="15"/>
  <c r="X16" i="18"/>
  <c r="Z16" i="18" s="1"/>
  <c r="X28" i="18"/>
  <c r="X34" i="18"/>
  <c r="X42" i="18"/>
  <c r="Z42" i="18" s="1"/>
  <c r="X50" i="18"/>
  <c r="X58" i="18"/>
  <c r="Z58" i="18" s="1"/>
  <c r="X66" i="18"/>
  <c r="Z66" i="18" s="1"/>
  <c r="X74" i="18"/>
  <c r="X82" i="18"/>
  <c r="Z92" i="18"/>
  <c r="L153" i="18"/>
  <c r="N153" i="18" s="1"/>
  <c r="Z239" i="18"/>
  <c r="T126" i="15"/>
  <c r="V126" i="15" s="1"/>
  <c r="V143" i="15"/>
  <c r="V147" i="15"/>
  <c r="V167" i="15"/>
  <c r="V179" i="15"/>
  <c r="V207" i="15"/>
  <c r="N15" i="18"/>
  <c r="Z22" i="18"/>
  <c r="N27" i="18"/>
  <c r="Z28" i="18"/>
  <c r="Z34" i="18"/>
  <c r="N41" i="18"/>
  <c r="N49" i="18"/>
  <c r="Z50" i="18"/>
  <c r="N57" i="18"/>
  <c r="N65" i="18"/>
  <c r="N73" i="18"/>
  <c r="Z74" i="18"/>
  <c r="N81" i="18"/>
  <c r="Z82" i="18"/>
  <c r="N91" i="18"/>
  <c r="X104" i="18"/>
  <c r="N178" i="18"/>
  <c r="V88" i="15"/>
  <c r="V92" i="15"/>
  <c r="V96" i="15"/>
  <c r="V100" i="15"/>
  <c r="V104" i="15"/>
  <c r="V108" i="15"/>
  <c r="V112" i="15"/>
  <c r="V116" i="15"/>
  <c r="V120" i="15"/>
  <c r="V124" i="15"/>
  <c r="V128" i="15"/>
  <c r="V148" i="15"/>
  <c r="V156" i="15"/>
  <c r="V176" i="15"/>
  <c r="V184" i="15"/>
  <c r="V196" i="15"/>
  <c r="V200" i="15"/>
  <c r="V208" i="15"/>
  <c r="T215" i="15"/>
  <c r="L93" i="18"/>
  <c r="V129" i="15"/>
  <c r="V133" i="15"/>
  <c r="V137" i="15"/>
  <c r="V157" i="15"/>
  <c r="V165" i="15"/>
  <c r="V177" i="15"/>
  <c r="V189" i="15"/>
  <c r="V205" i="15"/>
  <c r="V213" i="15"/>
  <c r="T12" i="18"/>
  <c r="X12" i="18" s="1"/>
  <c r="X36" i="18"/>
  <c r="Z36" i="18" s="1"/>
  <c r="X44" i="18"/>
  <c r="X52" i="18"/>
  <c r="X60" i="18"/>
  <c r="X68" i="18"/>
  <c r="X76" i="18"/>
  <c r="Z76" i="18" s="1"/>
  <c r="X84" i="18"/>
  <c r="Z84" i="18" s="1"/>
  <c r="N93" i="18"/>
  <c r="X96" i="18"/>
  <c r="Z104" i="18"/>
  <c r="N17" i="21"/>
  <c r="V142" i="15"/>
  <c r="V146" i="15"/>
  <c r="V166" i="15"/>
  <c r="V174" i="15"/>
  <c r="V182" i="15"/>
  <c r="V194" i="15"/>
  <c r="V206" i="15"/>
  <c r="V216" i="15"/>
  <c r="N35" i="18"/>
  <c r="N43" i="18"/>
  <c r="Z44" i="18"/>
  <c r="N51" i="18"/>
  <c r="Z52" i="18"/>
  <c r="N59" i="18"/>
  <c r="Z60" i="18"/>
  <c r="N67" i="18"/>
  <c r="Z68" i="18"/>
  <c r="N75" i="18"/>
  <c r="N83" i="18"/>
  <c r="N95" i="18"/>
  <c r="R88" i="21"/>
  <c r="R86" i="21"/>
  <c r="R71" i="21"/>
  <c r="R51" i="21"/>
  <c r="R23" i="21"/>
  <c r="R78" i="21"/>
  <c r="R63" i="21"/>
  <c r="R62" i="21"/>
  <c r="R42" i="21"/>
  <c r="R90" i="21"/>
  <c r="R72" i="21"/>
  <c r="R65" i="21"/>
  <c r="R64" i="21"/>
  <c r="R53" i="21"/>
  <c r="R52" i="21"/>
  <c r="R95" i="21"/>
  <c r="R92" i="21"/>
  <c r="R79" i="21"/>
  <c r="R44" i="21"/>
  <c r="R43" i="21"/>
  <c r="R39" i="21"/>
  <c r="R28" i="21"/>
  <c r="R26" i="21"/>
  <c r="R74" i="21"/>
  <c r="R73" i="21"/>
  <c r="R46" i="21"/>
  <c r="R45" i="21"/>
  <c r="R76" i="21"/>
  <c r="R75" i="21"/>
  <c r="R83" i="21"/>
  <c r="R82" i="21"/>
  <c r="R70" i="21"/>
  <c r="R59" i="21"/>
  <c r="R58" i="21"/>
  <c r="R77" i="21"/>
  <c r="R50" i="21"/>
  <c r="R49" i="21"/>
  <c r="R41" i="21"/>
  <c r="R22" i="21"/>
  <c r="R48" i="21"/>
  <c r="P26" i="21"/>
  <c r="R81" i="21"/>
  <c r="R68" i="21"/>
  <c r="R61" i="21"/>
  <c r="R54" i="21"/>
  <c r="R57" i="21"/>
  <c r="R34" i="21"/>
  <c r="R31" i="21"/>
  <c r="R55" i="21"/>
  <c r="R37" i="21"/>
  <c r="R40" i="21"/>
  <c r="R66" i="21"/>
  <c r="R38" i="21"/>
  <c r="R32" i="21"/>
  <c r="R29" i="21"/>
  <c r="R69" i="21"/>
  <c r="X12" i="21"/>
  <c r="R67" i="21"/>
  <c r="R35" i="21"/>
  <c r="R84" i="21"/>
  <c r="R80" i="21"/>
  <c r="R24" i="21"/>
  <c r="R60" i="21"/>
  <c r="R56" i="21"/>
  <c r="R47" i="21"/>
  <c r="R33" i="21"/>
  <c r="R30" i="21"/>
  <c r="R36" i="21"/>
  <c r="L16" i="15"/>
  <c r="N16" i="15" s="1"/>
  <c r="L20" i="15"/>
  <c r="N20" i="15" s="1"/>
  <c r="L24" i="15"/>
  <c r="N24" i="15" s="1"/>
  <c r="L28" i="15"/>
  <c r="L32" i="15"/>
  <c r="N32" i="15" s="1"/>
  <c r="V91" i="15"/>
  <c r="V95" i="15"/>
  <c r="V99" i="15"/>
  <c r="V103" i="15"/>
  <c r="V107" i="15"/>
  <c r="V111" i="15"/>
  <c r="V115" i="15"/>
  <c r="V119" i="15"/>
  <c r="V123" i="15"/>
  <c r="V155" i="15"/>
  <c r="V163" i="15"/>
  <c r="V175" i="15"/>
  <c r="V183" i="15"/>
  <c r="V195" i="15"/>
  <c r="V199" i="15"/>
  <c r="V211" i="15"/>
  <c r="V217" i="15"/>
  <c r="V225" i="15"/>
  <c r="Z18" i="18"/>
  <c r="X21" i="18"/>
  <c r="Z21" i="18" s="1"/>
  <c r="N23" i="18"/>
  <c r="Z24" i="18"/>
  <c r="X27" i="18"/>
  <c r="Z27" i="18" s="1"/>
  <c r="Z30" i="18"/>
  <c r="X33" i="18"/>
  <c r="Z33" i="18" s="1"/>
  <c r="X41" i="18"/>
  <c r="Z41" i="18" s="1"/>
  <c r="X49" i="18"/>
  <c r="Z49" i="18" s="1"/>
  <c r="X57" i="18"/>
  <c r="X65" i="18"/>
  <c r="Z65" i="18" s="1"/>
  <c r="X73" i="18"/>
  <c r="Z73" i="18" s="1"/>
  <c r="X81" i="18"/>
  <c r="Z81" i="18" s="1"/>
  <c r="X91" i="18"/>
  <c r="Z91" i="18" s="1"/>
  <c r="L95" i="18"/>
  <c r="Z98" i="18"/>
  <c r="L152" i="18"/>
  <c r="X13" i="15"/>
  <c r="V132" i="15"/>
  <c r="V136" i="15"/>
  <c r="V164" i="15"/>
  <c r="V172" i="15"/>
  <c r="V188" i="15"/>
  <c r="V204" i="15"/>
  <c r="V212" i="15"/>
  <c r="V218" i="15"/>
  <c r="X38" i="18"/>
  <c r="Z38" i="18" s="1"/>
  <c r="N152" i="18"/>
  <c r="V141" i="15"/>
  <c r="V145" i="15"/>
  <c r="V153" i="15"/>
  <c r="V161" i="15"/>
  <c r="V173" i="15"/>
  <c r="V181" i="15"/>
  <c r="V193" i="15"/>
  <c r="V219" i="15"/>
  <c r="N37" i="18"/>
  <c r="N45" i="18"/>
  <c r="Z46" i="18"/>
  <c r="N53" i="18"/>
  <c r="Z54" i="18"/>
  <c r="N61" i="18"/>
  <c r="Z70" i="18"/>
  <c r="N77" i="18"/>
  <c r="Z78" i="18"/>
  <c r="N85" i="18"/>
  <c r="X100" i="18"/>
  <c r="Z174" i="18"/>
  <c r="L239" i="18"/>
  <c r="V90" i="15"/>
  <c r="V94" i="15"/>
  <c r="V98" i="15"/>
  <c r="V102" i="15"/>
  <c r="V106" i="15"/>
  <c r="V110" i="15"/>
  <c r="V114" i="15"/>
  <c r="V118" i="15"/>
  <c r="V122" i="15"/>
  <c r="V154" i="15"/>
  <c r="V162" i="15"/>
  <c r="V170" i="15"/>
  <c r="V186" i="15"/>
  <c r="V198" i="15"/>
  <c r="V202" i="15"/>
  <c r="V210" i="15"/>
  <c r="V220" i="15"/>
  <c r="H12" i="18"/>
  <c r="V131" i="15"/>
  <c r="V135" i="15"/>
  <c r="V139" i="15"/>
  <c r="V151" i="15"/>
  <c r="V159" i="15"/>
  <c r="V171" i="15"/>
  <c r="V187" i="15"/>
  <c r="V191" i="15"/>
  <c r="V203" i="15"/>
  <c r="V221" i="15"/>
  <c r="Z14" i="18"/>
  <c r="N19" i="18"/>
  <c r="Z20" i="18"/>
  <c r="Z26" i="18"/>
  <c r="N31" i="18"/>
  <c r="Z32" i="18"/>
  <c r="X40" i="18"/>
  <c r="Z40" i="18" s="1"/>
  <c r="X48" i="18"/>
  <c r="Z48" i="18" s="1"/>
  <c r="X56" i="18"/>
  <c r="Z56" i="18" s="1"/>
  <c r="X64" i="18"/>
  <c r="Z64" i="18" s="1"/>
  <c r="X72" i="18"/>
  <c r="Z72" i="18" s="1"/>
  <c r="X80" i="18"/>
  <c r="N87" i="18"/>
  <c r="L99" i="18"/>
  <c r="N99" i="18" s="1"/>
  <c r="Z172" i="18"/>
  <c r="N244" i="18"/>
  <c r="D12" i="21"/>
  <c r="X13" i="21"/>
  <c r="Z13" i="21" s="1"/>
  <c r="Z48" i="21"/>
  <c r="Z31" i="24"/>
  <c r="Z33" i="24"/>
  <c r="N33" i="27"/>
  <c r="N71" i="27"/>
  <c r="H12" i="21"/>
  <c r="N18" i="21"/>
  <c r="Z35" i="24"/>
  <c r="Z29" i="27"/>
  <c r="N38" i="21"/>
  <c r="X18" i="21"/>
  <c r="N20" i="21"/>
  <c r="N28" i="24"/>
  <c r="N69" i="27"/>
  <c r="X236" i="18"/>
  <c r="Z236" i="18" s="1"/>
  <c r="X242" i="18"/>
  <c r="Z242" i="18" s="1"/>
  <c r="T12" i="21"/>
  <c r="X15" i="21"/>
  <c r="Z15" i="21" s="1"/>
  <c r="Z18" i="21"/>
  <c r="D12" i="24"/>
  <c r="L13" i="24"/>
  <c r="N13" i="24" s="1"/>
  <c r="H239" i="18"/>
  <c r="N14" i="21"/>
  <c r="N74" i="21"/>
  <c r="L74" i="21"/>
  <c r="N36" i="24"/>
  <c r="Z80" i="24"/>
  <c r="Z16" i="27"/>
  <c r="Z18" i="27"/>
  <c r="N51" i="27"/>
  <c r="X244" i="18"/>
  <c r="Z244" i="18" s="1"/>
  <c r="L17" i="21"/>
  <c r="Z69" i="21"/>
  <c r="R98" i="24"/>
  <c r="R95" i="24"/>
  <c r="R83" i="24"/>
  <c r="R82" i="24"/>
  <c r="R66" i="24"/>
  <c r="R62" i="24"/>
  <c r="R74" i="24"/>
  <c r="R73" i="24"/>
  <c r="R53" i="24"/>
  <c r="R49" i="24"/>
  <c r="R45" i="24"/>
  <c r="R84" i="24"/>
  <c r="R41" i="24"/>
  <c r="X12" i="24"/>
  <c r="Z12" i="24" s="1"/>
  <c r="R76" i="24"/>
  <c r="R75" i="24"/>
  <c r="R68" i="24"/>
  <c r="R67" i="24"/>
  <c r="R63" i="24"/>
  <c r="R59" i="24"/>
  <c r="R54" i="24"/>
  <c r="R50" i="24"/>
  <c r="R46" i="24"/>
  <c r="R42" i="24"/>
  <c r="R86" i="24"/>
  <c r="R85" i="24"/>
  <c r="R78" i="24"/>
  <c r="R77" i="24"/>
  <c r="R69" i="24"/>
  <c r="R58" i="24"/>
  <c r="R56" i="24"/>
  <c r="R64" i="24"/>
  <c r="R60" i="24"/>
  <c r="P56" i="24"/>
  <c r="R87" i="24"/>
  <c r="R80" i="24"/>
  <c r="R79" i="24"/>
  <c r="R51" i="24"/>
  <c r="R47" i="24"/>
  <c r="R43" i="24"/>
  <c r="R91" i="24"/>
  <c r="R89" i="24"/>
  <c r="R70" i="24"/>
  <c r="R81" i="24"/>
  <c r="R65" i="24"/>
  <c r="R61" i="24"/>
  <c r="R52" i="24"/>
  <c r="R48" i="24"/>
  <c r="R44" i="24"/>
  <c r="Z83" i="24"/>
  <c r="F82" i="27"/>
  <c r="F81" i="27"/>
  <c r="F92" i="27"/>
  <c r="F84" i="27"/>
  <c r="F83" i="27"/>
  <c r="F72" i="27"/>
  <c r="F71" i="27"/>
  <c r="F94" i="27"/>
  <c r="F93" i="27"/>
  <c r="F89" i="27"/>
  <c r="F104" i="27"/>
  <c r="F100" i="27"/>
  <c r="F58" i="27"/>
  <c r="F54" i="27"/>
  <c r="F74" i="27"/>
  <c r="F45" i="27"/>
  <c r="F41" i="27"/>
  <c r="F37" i="27"/>
  <c r="F77" i="27"/>
  <c r="F68" i="27"/>
  <c r="F64" i="27"/>
  <c r="L12" i="27"/>
  <c r="N12" i="27" s="1"/>
  <c r="F87" i="27"/>
  <c r="F59" i="27"/>
  <c r="F55" i="27"/>
  <c r="F70" i="27"/>
  <c r="F69" i="27"/>
  <c r="F46" i="27"/>
  <c r="F42" i="27"/>
  <c r="F38" i="27"/>
  <c r="F95" i="27"/>
  <c r="F78" i="27"/>
  <c r="F75" i="27"/>
  <c r="F65" i="27"/>
  <c r="F60" i="27"/>
  <c r="F56" i="27"/>
  <c r="F90" i="27"/>
  <c r="F88" i="27"/>
  <c r="F47" i="27"/>
  <c r="F43" i="27"/>
  <c r="F39" i="27"/>
  <c r="F99" i="27"/>
  <c r="F85" i="27"/>
  <c r="F66" i="27"/>
  <c r="F79" i="27"/>
  <c r="F76" i="27"/>
  <c r="F61" i="27"/>
  <c r="F57" i="27"/>
  <c r="F53" i="27"/>
  <c r="F52" i="27"/>
  <c r="F96" i="27"/>
  <c r="F86" i="27"/>
  <c r="F51" i="27"/>
  <c r="F44" i="27"/>
  <c r="F40" i="27"/>
  <c r="F36" i="27"/>
  <c r="F35" i="27"/>
  <c r="F91" i="27"/>
  <c r="F80" i="27"/>
  <c r="F73" i="27"/>
  <c r="F67" i="27"/>
  <c r="F63" i="27"/>
  <c r="F62" i="27"/>
  <c r="D49" i="27"/>
  <c r="F49" i="27" s="1"/>
  <c r="Z22" i="27"/>
  <c r="Z30" i="27"/>
  <c r="Z35" i="27"/>
  <c r="X28" i="21"/>
  <c r="Z38" i="21"/>
  <c r="N46" i="21"/>
  <c r="Z74" i="21"/>
  <c r="V73" i="24"/>
  <c r="V53" i="24"/>
  <c r="V49" i="24"/>
  <c r="V45" i="24"/>
  <c r="V41" i="24"/>
  <c r="V84" i="24"/>
  <c r="V76" i="24"/>
  <c r="V68" i="24"/>
  <c r="V75" i="24"/>
  <c r="V67" i="24"/>
  <c r="V63" i="24"/>
  <c r="V59" i="24"/>
  <c r="V86" i="24"/>
  <c r="V78" i="24"/>
  <c r="V58" i="24"/>
  <c r="V54" i="24"/>
  <c r="V50" i="24"/>
  <c r="V46" i="24"/>
  <c r="V42" i="24"/>
  <c r="V85" i="24"/>
  <c r="V77" i="24"/>
  <c r="V69" i="24"/>
  <c r="T56" i="24"/>
  <c r="V56" i="24" s="1"/>
  <c r="V80" i="24"/>
  <c r="V64" i="24"/>
  <c r="V60" i="24"/>
  <c r="V89" i="24"/>
  <c r="V87" i="24"/>
  <c r="V79" i="24"/>
  <c r="V51" i="24"/>
  <c r="V47" i="24"/>
  <c r="V43" i="24"/>
  <c r="V70" i="24"/>
  <c r="V81" i="24"/>
  <c r="V65" i="24"/>
  <c r="V61" i="24"/>
  <c r="V72" i="24"/>
  <c r="V52" i="24"/>
  <c r="V48" i="24"/>
  <c r="V44" i="24"/>
  <c r="V93" i="24"/>
  <c r="V83" i="24"/>
  <c r="V71" i="24"/>
  <c r="Z41" i="24"/>
  <c r="V62" i="24"/>
  <c r="R72" i="24"/>
  <c r="Z24" i="27"/>
  <c r="Z26" i="27"/>
  <c r="Z28" i="21"/>
  <c r="X46" i="21"/>
  <c r="Z46" i="21" s="1"/>
  <c r="N48" i="21"/>
  <c r="Z76" i="21"/>
  <c r="X76" i="21"/>
  <c r="Z15" i="24"/>
  <c r="R95" i="27"/>
  <c r="R94" i="27"/>
  <c r="R87" i="27"/>
  <c r="R86" i="27"/>
  <c r="R75" i="27"/>
  <c r="R74" i="27"/>
  <c r="R99" i="27"/>
  <c r="R96" i="27"/>
  <c r="R88" i="27"/>
  <c r="R77" i="27"/>
  <c r="R76" i="27"/>
  <c r="R98" i="27"/>
  <c r="R104" i="27"/>
  <c r="R90" i="27"/>
  <c r="R89" i="27"/>
  <c r="R93" i="27"/>
  <c r="R92" i="27"/>
  <c r="R81" i="27"/>
  <c r="R70" i="27"/>
  <c r="R46" i="27"/>
  <c r="R42" i="27"/>
  <c r="R38" i="27"/>
  <c r="R84" i="27"/>
  <c r="R65" i="27"/>
  <c r="R78" i="27"/>
  <c r="R71" i="27"/>
  <c r="R60" i="27"/>
  <c r="R56" i="27"/>
  <c r="R79" i="27"/>
  <c r="R52" i="27"/>
  <c r="R47" i="27"/>
  <c r="R43" i="27"/>
  <c r="R39" i="27"/>
  <c r="R85" i="27"/>
  <c r="R66" i="27"/>
  <c r="R51" i="27"/>
  <c r="R35" i="27"/>
  <c r="R72" i="27"/>
  <c r="R62" i="27"/>
  <c r="R61" i="27"/>
  <c r="R57" i="27"/>
  <c r="R53" i="27"/>
  <c r="P49" i="27"/>
  <c r="R82" i="27"/>
  <c r="R44" i="27"/>
  <c r="R40" i="27"/>
  <c r="R36" i="27"/>
  <c r="R91" i="27"/>
  <c r="R73" i="27"/>
  <c r="R67" i="27"/>
  <c r="R63" i="27"/>
  <c r="R80" i="27"/>
  <c r="R58" i="27"/>
  <c r="R54" i="27"/>
  <c r="R100" i="27"/>
  <c r="R83" i="27"/>
  <c r="R45" i="27"/>
  <c r="R41" i="27"/>
  <c r="R37" i="27"/>
  <c r="R69" i="27"/>
  <c r="R68" i="27"/>
  <c r="R64" i="27"/>
  <c r="X12" i="27"/>
  <c r="Z12" i="27" s="1"/>
  <c r="R59" i="27"/>
  <c r="R55" i="27"/>
  <c r="X14" i="21"/>
  <c r="Z14" i="21" s="1"/>
  <c r="N16" i="21"/>
  <c r="Z86" i="21"/>
  <c r="X86" i="21"/>
  <c r="X174" i="18"/>
  <c r="L188" i="18"/>
  <c r="L236" i="18"/>
  <c r="L242" i="18"/>
  <c r="L13" i="21"/>
  <c r="N13" i="21" s="1"/>
  <c r="N22" i="21"/>
  <c r="Z57" i="21"/>
  <c r="N63" i="21"/>
  <c r="Z25" i="24"/>
  <c r="N25" i="27"/>
  <c r="Z81" i="21"/>
  <c r="Z29" i="24"/>
  <c r="V66" i="24"/>
  <c r="R71" i="24"/>
  <c r="V82" i="24"/>
  <c r="N29" i="27"/>
  <c r="V99" i="27"/>
  <c r="V77" i="27"/>
  <c r="V79" i="27"/>
  <c r="V104" i="27"/>
  <c r="V90" i="27"/>
  <c r="V78" i="27"/>
  <c r="V89" i="27"/>
  <c r="V80" i="27"/>
  <c r="V92" i="27"/>
  <c r="V84" i="27"/>
  <c r="V95" i="27"/>
  <c r="V38" i="27"/>
  <c r="V42" i="27"/>
  <c r="V46" i="27"/>
  <c r="V70" i="27"/>
  <c r="N25" i="30"/>
  <c r="L25" i="30"/>
  <c r="N45" i="30"/>
  <c r="L45" i="30"/>
  <c r="Z13" i="33"/>
  <c r="J43" i="24"/>
  <c r="J47" i="24"/>
  <c r="J51" i="24"/>
  <c r="H56" i="24"/>
  <c r="J79" i="24"/>
  <c r="J87" i="24"/>
  <c r="X16" i="27"/>
  <c r="X20" i="27"/>
  <c r="Z20" i="27" s="1"/>
  <c r="X24" i="27"/>
  <c r="X28" i="27"/>
  <c r="Z28" i="27" s="1"/>
  <c r="X32" i="27"/>
  <c r="V55" i="27"/>
  <c r="V59" i="27"/>
  <c r="J63" i="27"/>
  <c r="J67" i="27"/>
  <c r="V74" i="27"/>
  <c r="V81" i="27"/>
  <c r="V87" i="27"/>
  <c r="J91" i="27"/>
  <c r="Z21" i="30"/>
  <c r="F35" i="33"/>
  <c r="J56" i="24"/>
  <c r="J58" i="24"/>
  <c r="J60" i="24"/>
  <c r="J64" i="24"/>
  <c r="J78" i="24"/>
  <c r="J86" i="24"/>
  <c r="J36" i="27"/>
  <c r="J40" i="27"/>
  <c r="J44" i="27"/>
  <c r="H49" i="27"/>
  <c r="J62" i="27"/>
  <c r="V64" i="27"/>
  <c r="V68" i="27"/>
  <c r="V94" i="27"/>
  <c r="L99" i="27"/>
  <c r="J59" i="24"/>
  <c r="J69" i="24"/>
  <c r="J77" i="24"/>
  <c r="J85" i="24"/>
  <c r="J35" i="27"/>
  <c r="V37" i="27"/>
  <c r="V41" i="27"/>
  <c r="V45" i="27"/>
  <c r="J49" i="27"/>
  <c r="J51" i="27"/>
  <c r="J53" i="27"/>
  <c r="J57" i="27"/>
  <c r="J61" i="27"/>
  <c r="V69" i="27"/>
  <c r="J72" i="27"/>
  <c r="J82" i="27"/>
  <c r="N29" i="30"/>
  <c r="L29" i="30"/>
  <c r="N70" i="30"/>
  <c r="L128" i="30"/>
  <c r="J42" i="24"/>
  <c r="J46" i="24"/>
  <c r="J50" i="24"/>
  <c r="J54" i="24"/>
  <c r="J68" i="24"/>
  <c r="J76" i="24"/>
  <c r="V54" i="27"/>
  <c r="V58" i="27"/>
  <c r="V76" i="27"/>
  <c r="V83" i="27"/>
  <c r="V86" i="27"/>
  <c r="V96" i="27"/>
  <c r="N99" i="27"/>
  <c r="V100" i="27"/>
  <c r="L16" i="24"/>
  <c r="N16" i="24" s="1"/>
  <c r="L20" i="24"/>
  <c r="N20" i="24" s="1"/>
  <c r="L24" i="24"/>
  <c r="N24" i="24" s="1"/>
  <c r="J41" i="24"/>
  <c r="J63" i="24"/>
  <c r="J67" i="24"/>
  <c r="J75" i="24"/>
  <c r="J39" i="27"/>
  <c r="J43" i="27"/>
  <c r="J47" i="27"/>
  <c r="V63" i="27"/>
  <c r="V67" i="27"/>
  <c r="V91" i="27"/>
  <c r="J99" i="27"/>
  <c r="Z101" i="30"/>
  <c r="R72" i="33"/>
  <c r="R69" i="33"/>
  <c r="R41" i="33"/>
  <c r="R78" i="33"/>
  <c r="R71" i="33"/>
  <c r="R64" i="33"/>
  <c r="R56" i="33"/>
  <c r="R60" i="33"/>
  <c r="R59" i="33"/>
  <c r="R43" i="33"/>
  <c r="R39" i="33"/>
  <c r="R73" i="33"/>
  <c r="R54" i="33"/>
  <c r="R50" i="33"/>
  <c r="R46" i="33"/>
  <c r="R30" i="33"/>
  <c r="R63" i="33"/>
  <c r="R55" i="33"/>
  <c r="R74" i="33"/>
  <c r="R66" i="33"/>
  <c r="R51" i="33"/>
  <c r="R38" i="33"/>
  <c r="R31" i="33"/>
  <c r="R47" i="33"/>
  <c r="R27" i="33"/>
  <c r="R52" i="33"/>
  <c r="R44" i="33"/>
  <c r="R36" i="33"/>
  <c r="R35" i="33"/>
  <c r="P33" i="33"/>
  <c r="R28" i="33"/>
  <c r="R67" i="33"/>
  <c r="R61" i="33"/>
  <c r="R57" i="33"/>
  <c r="R68" i="33"/>
  <c r="R65" i="33"/>
  <c r="R62" i="33"/>
  <c r="R53" i="33"/>
  <c r="R49" i="33"/>
  <c r="R48" i="33"/>
  <c r="R45" i="33"/>
  <c r="R42" i="33"/>
  <c r="R29" i="33"/>
  <c r="R58" i="33"/>
  <c r="R37" i="33"/>
  <c r="Z18" i="33"/>
  <c r="X13" i="24"/>
  <c r="L41" i="24"/>
  <c r="N41" i="24" s="1"/>
  <c r="J74" i="24"/>
  <c r="J84" i="24"/>
  <c r="X89" i="24"/>
  <c r="L13" i="27"/>
  <c r="V36" i="27"/>
  <c r="V40" i="27"/>
  <c r="V44" i="27"/>
  <c r="V73" i="27"/>
  <c r="V82" i="27"/>
  <c r="V88" i="27"/>
  <c r="L15" i="30"/>
  <c r="D12" i="30"/>
  <c r="N33" i="30"/>
  <c r="L33" i="30"/>
  <c r="Z14" i="33"/>
  <c r="X16" i="33"/>
  <c r="Z16" i="33" s="1"/>
  <c r="X20" i="33"/>
  <c r="Z20" i="33" s="1"/>
  <c r="Z13" i="24"/>
  <c r="J45" i="24"/>
  <c r="J49" i="24"/>
  <c r="J53" i="24"/>
  <c r="J73" i="24"/>
  <c r="J83" i="24"/>
  <c r="V53" i="27"/>
  <c r="V57" i="27"/>
  <c r="V61" i="27"/>
  <c r="J65" i="27"/>
  <c r="V72" i="27"/>
  <c r="N75" i="27"/>
  <c r="J78" i="27"/>
  <c r="H98" i="27"/>
  <c r="T98" i="27"/>
  <c r="V98" i="27" s="1"/>
  <c r="Z99" i="27"/>
  <c r="H12" i="30"/>
  <c r="N13" i="30"/>
  <c r="L13" i="30"/>
  <c r="N37" i="30"/>
  <c r="L37" i="30"/>
  <c r="N49" i="30"/>
  <c r="T12" i="33"/>
  <c r="X24" i="33"/>
  <c r="Z24" i="33" s="1"/>
  <c r="J62" i="24"/>
  <c r="J66" i="24"/>
  <c r="J72" i="24"/>
  <c r="J82" i="24"/>
  <c r="J83" i="27"/>
  <c r="J71" i="27"/>
  <c r="J93" i="27"/>
  <c r="J85" i="27"/>
  <c r="J73" i="27"/>
  <c r="J94" i="27"/>
  <c r="J86" i="27"/>
  <c r="J74" i="27"/>
  <c r="J95" i="27"/>
  <c r="J100" i="27"/>
  <c r="J96" i="27"/>
  <c r="J88" i="27"/>
  <c r="J76" i="27"/>
  <c r="J90" i="27"/>
  <c r="J80" i="27"/>
  <c r="J38" i="27"/>
  <c r="J42" i="27"/>
  <c r="J46" i="27"/>
  <c r="T49" i="27"/>
  <c r="V62" i="27"/>
  <c r="V66" i="27"/>
  <c r="J70" i="27"/>
  <c r="J75" i="27"/>
  <c r="J81" i="27"/>
  <c r="V93" i="27"/>
  <c r="J98" i="27"/>
  <c r="P12" i="30"/>
  <c r="Z33" i="30"/>
  <c r="X112" i="30"/>
  <c r="Z112" i="30" s="1"/>
  <c r="X71" i="33"/>
  <c r="X73" i="33"/>
  <c r="Z73" i="33" s="1"/>
  <c r="J71" i="24"/>
  <c r="J93" i="24"/>
  <c r="V35" i="27"/>
  <c r="V39" i="27"/>
  <c r="V43" i="27"/>
  <c r="V47" i="27"/>
  <c r="V51" i="27"/>
  <c r="J55" i="27"/>
  <c r="J59" i="27"/>
  <c r="J69" i="27"/>
  <c r="V85" i="27"/>
  <c r="J92" i="27"/>
  <c r="T12" i="30"/>
  <c r="Z13" i="30"/>
  <c r="N17" i="30"/>
  <c r="L17" i="30"/>
  <c r="F61" i="33"/>
  <c r="F60" i="33"/>
  <c r="F52" i="33"/>
  <c r="F51" i="33"/>
  <c r="F44" i="33"/>
  <c r="F40" i="33"/>
  <c r="F72" i="33"/>
  <c r="F47" i="33"/>
  <c r="F57" i="33"/>
  <c r="F48" i="33"/>
  <c r="F42" i="33"/>
  <c r="F68" i="33"/>
  <c r="F65" i="33"/>
  <c r="F53" i="33"/>
  <c r="F45" i="33"/>
  <c r="F37" i="33"/>
  <c r="F29" i="33"/>
  <c r="F62" i="33"/>
  <c r="L12" i="33"/>
  <c r="N12" i="33" s="1"/>
  <c r="F58" i="33"/>
  <c r="F49" i="33"/>
  <c r="F78" i="33"/>
  <c r="F73" i="33"/>
  <c r="F69" i="33"/>
  <c r="F63" i="33"/>
  <c r="F54" i="33"/>
  <c r="F50" i="33"/>
  <c r="F46" i="33"/>
  <c r="F43" i="33"/>
  <c r="F30" i="33"/>
  <c r="F38" i="33"/>
  <c r="F74" i="33"/>
  <c r="F66" i="33"/>
  <c r="F59" i="33"/>
  <c r="F55" i="33"/>
  <c r="F56" i="33"/>
  <c r="F41" i="33"/>
  <c r="F31" i="33"/>
  <c r="F64" i="33"/>
  <c r="F39" i="33"/>
  <c r="F71" i="33"/>
  <c r="F67" i="33"/>
  <c r="F28" i="33"/>
  <c r="F27" i="33"/>
  <c r="N17" i="33"/>
  <c r="N21" i="33"/>
  <c r="J44" i="24"/>
  <c r="J48" i="24"/>
  <c r="J52" i="24"/>
  <c r="X13" i="27"/>
  <c r="X17" i="27"/>
  <c r="Z17" i="27" s="1"/>
  <c r="X21" i="27"/>
  <c r="Z21" i="27" s="1"/>
  <c r="X25" i="27"/>
  <c r="Z25" i="27" s="1"/>
  <c r="X29" i="27"/>
  <c r="X33" i="27"/>
  <c r="Z33" i="27" s="1"/>
  <c r="V52" i="27"/>
  <c r="V56" i="27"/>
  <c r="V60" i="27"/>
  <c r="J64" i="27"/>
  <c r="J68" i="27"/>
  <c r="J87" i="27"/>
  <c r="J89" i="27"/>
  <c r="X98" i="27"/>
  <c r="L100" i="27"/>
  <c r="D98" i="27"/>
  <c r="L98" i="27" s="1"/>
  <c r="X13" i="30"/>
  <c r="N41" i="30"/>
  <c r="L41" i="30"/>
  <c r="J62" i="33"/>
  <c r="J52" i="33"/>
  <c r="J44" i="33"/>
  <c r="J40" i="33"/>
  <c r="J67" i="33"/>
  <c r="J63" i="33"/>
  <c r="J53" i="33"/>
  <c r="J45" i="33"/>
  <c r="J73" i="33"/>
  <c r="J69" i="33"/>
  <c r="J42" i="33"/>
  <c r="J38" i="33"/>
  <c r="J72" i="33"/>
  <c r="J65" i="33"/>
  <c r="J37" i="33"/>
  <c r="J29" i="33"/>
  <c r="J58" i="33"/>
  <c r="J49" i="33"/>
  <c r="J78" i="33"/>
  <c r="J54" i="33"/>
  <c r="J50" i="33"/>
  <c r="J46" i="33"/>
  <c r="J43" i="33"/>
  <c r="J30" i="33"/>
  <c r="J74" i="33"/>
  <c r="J55" i="33"/>
  <c r="J66" i="33"/>
  <c r="J59" i="33"/>
  <c r="J56" i="33"/>
  <c r="J51" i="33"/>
  <c r="J41" i="33"/>
  <c r="J31" i="33"/>
  <c r="J64" i="33"/>
  <c r="J47" i="33"/>
  <c r="J60" i="33"/>
  <c r="J39" i="33"/>
  <c r="J33" i="33"/>
  <c r="J27" i="33"/>
  <c r="J71" i="33"/>
  <c r="J36" i="33"/>
  <c r="J35" i="33"/>
  <c r="H33" i="33"/>
  <c r="J28" i="33"/>
  <c r="J48" i="33"/>
  <c r="J61" i="33"/>
  <c r="J61" i="24"/>
  <c r="J65" i="24"/>
  <c r="J81" i="24"/>
  <c r="J89" i="24"/>
  <c r="J37" i="27"/>
  <c r="J41" i="27"/>
  <c r="J45" i="27"/>
  <c r="V65" i="27"/>
  <c r="V71" i="27"/>
  <c r="V75" i="27"/>
  <c r="J77" i="27"/>
  <c r="X87" i="27"/>
  <c r="Z87" i="27" s="1"/>
  <c r="N21" i="30"/>
  <c r="L21" i="30"/>
  <c r="D33" i="33"/>
  <c r="N35" i="33"/>
  <c r="X45" i="33"/>
  <c r="Z45" i="33" s="1"/>
  <c r="X53" i="33"/>
  <c r="Z53" i="33" s="1"/>
  <c r="Z105" i="39"/>
  <c r="T128" i="30"/>
  <c r="X128" i="30" s="1"/>
  <c r="Z58" i="33"/>
  <c r="T71" i="33"/>
  <c r="Z46" i="39"/>
  <c r="X46" i="39"/>
  <c r="L15" i="45"/>
  <c r="N15" i="45"/>
  <c r="Z68" i="33"/>
  <c r="X72" i="33"/>
  <c r="Z72" i="33" s="1"/>
  <c r="L13" i="33"/>
  <c r="N13" i="33" s="1"/>
  <c r="Z36" i="33"/>
  <c r="N74" i="33"/>
  <c r="X14" i="33"/>
  <c r="Z78" i="39"/>
  <c r="X78" i="39"/>
  <c r="X16" i="30"/>
  <c r="X20" i="30"/>
  <c r="Z20" i="30" s="1"/>
  <c r="X24" i="30"/>
  <c r="Z24" i="30" s="1"/>
  <c r="X28" i="30"/>
  <c r="X32" i="30"/>
  <c r="Z32" i="30" s="1"/>
  <c r="X36" i="30"/>
  <c r="Z36" i="30" s="1"/>
  <c r="H128" i="30"/>
  <c r="L55" i="33"/>
  <c r="N55" i="33" s="1"/>
  <c r="N73" i="33"/>
  <c r="N114" i="39"/>
  <c r="N58" i="33"/>
  <c r="N14" i="39"/>
  <c r="H12" i="39"/>
  <c r="D12" i="39"/>
  <c r="L16" i="39"/>
  <c r="N16" i="39" s="1"/>
  <c r="X13" i="33"/>
  <c r="X17" i="33"/>
  <c r="Z17" i="33" s="1"/>
  <c r="N71" i="33"/>
  <c r="Z74" i="33"/>
  <c r="L36" i="33"/>
  <c r="N36" i="33" s="1"/>
  <c r="N68" i="33"/>
  <c r="X74" i="33"/>
  <c r="Z17" i="39"/>
  <c r="Z64" i="39"/>
  <c r="N40" i="42"/>
  <c r="Z50" i="42"/>
  <c r="L58" i="42"/>
  <c r="L26" i="39"/>
  <c r="L70" i="39"/>
  <c r="R66" i="42"/>
  <c r="R65" i="42"/>
  <c r="R99" i="42"/>
  <c r="R91" i="42"/>
  <c r="R87" i="42"/>
  <c r="R76" i="42"/>
  <c r="R75" i="42"/>
  <c r="R68" i="42"/>
  <c r="R82" i="42"/>
  <c r="R81" i="42"/>
  <c r="R77" i="42"/>
  <c r="R70" i="42"/>
  <c r="R69" i="42"/>
  <c r="R106" i="42"/>
  <c r="R84" i="42"/>
  <c r="R83" i="42"/>
  <c r="R71" i="42"/>
  <c r="R111" i="42"/>
  <c r="R89" i="42"/>
  <c r="R85" i="42"/>
  <c r="R62" i="42"/>
  <c r="R61" i="42"/>
  <c r="R79" i="42"/>
  <c r="R64" i="42"/>
  <c r="R63" i="42"/>
  <c r="R107" i="42"/>
  <c r="R73" i="42"/>
  <c r="R55" i="42"/>
  <c r="R46" i="42"/>
  <c r="R42" i="42"/>
  <c r="R23" i="42"/>
  <c r="R97" i="42"/>
  <c r="R95" i="42"/>
  <c r="R86" i="42"/>
  <c r="R37" i="42"/>
  <c r="R33" i="42"/>
  <c r="R90" i="42"/>
  <c r="R88" i="42"/>
  <c r="R80" i="42"/>
  <c r="R56" i="42"/>
  <c r="R24" i="42"/>
  <c r="R92" i="42"/>
  <c r="R78" i="42"/>
  <c r="R48" i="42"/>
  <c r="R47" i="42"/>
  <c r="R43" i="42"/>
  <c r="R105" i="42"/>
  <c r="R102" i="42"/>
  <c r="R93" i="42"/>
  <c r="R74" i="42"/>
  <c r="R38" i="42"/>
  <c r="R34" i="42"/>
  <c r="R67" i="42"/>
  <c r="R58" i="42"/>
  <c r="R57" i="42"/>
  <c r="R50" i="42"/>
  <c r="R49" i="42"/>
  <c r="R30" i="42"/>
  <c r="R98" i="42"/>
  <c r="R44" i="42"/>
  <c r="R29" i="42"/>
  <c r="X12" i="42"/>
  <c r="R72" i="42"/>
  <c r="R60" i="42"/>
  <c r="R59" i="42"/>
  <c r="R52" i="42"/>
  <c r="R51" i="42"/>
  <c r="R40" i="42"/>
  <c r="R39" i="42"/>
  <c r="R35" i="42"/>
  <c r="R31" i="42"/>
  <c r="P27" i="42"/>
  <c r="R27" i="42" s="1"/>
  <c r="R100" i="42"/>
  <c r="R96" i="42"/>
  <c r="R101" i="42"/>
  <c r="R94" i="42"/>
  <c r="R54" i="42"/>
  <c r="R53" i="42"/>
  <c r="R45" i="42"/>
  <c r="R41" i="42"/>
  <c r="N58" i="42"/>
  <c r="N26" i="39"/>
  <c r="N70" i="39"/>
  <c r="X86" i="39"/>
  <c r="Z86" i="39" s="1"/>
  <c r="T12" i="42"/>
  <c r="Z13" i="42"/>
  <c r="X13" i="42"/>
  <c r="Z17" i="42"/>
  <c r="X17" i="42"/>
  <c r="Z21" i="42"/>
  <c r="X21" i="42"/>
  <c r="Z29" i="42"/>
  <c r="R32" i="42"/>
  <c r="N29" i="39"/>
  <c r="L35" i="39"/>
  <c r="N18" i="39"/>
  <c r="Z36" i="39"/>
  <c r="Z115" i="39"/>
  <c r="T114" i="39"/>
  <c r="L14" i="42"/>
  <c r="N14" i="42" s="1"/>
  <c r="L18" i="42"/>
  <c r="N18" i="42" s="1"/>
  <c r="N23" i="42"/>
  <c r="L30" i="42"/>
  <c r="N30" i="42" s="1"/>
  <c r="Z21" i="39"/>
  <c r="N35" i="39"/>
  <c r="N103" i="39"/>
  <c r="H12" i="42"/>
  <c r="N70" i="42"/>
  <c r="L70" i="42"/>
  <c r="P12" i="39"/>
  <c r="X21" i="39"/>
  <c r="X29" i="39"/>
  <c r="Z29" i="39" s="1"/>
  <c r="N58" i="39"/>
  <c r="Z72" i="39"/>
  <c r="Z83" i="39"/>
  <c r="N94" i="39"/>
  <c r="D114" i="39"/>
  <c r="L114" i="39" s="1"/>
  <c r="L116" i="39"/>
  <c r="Z13" i="39"/>
  <c r="L46" i="39"/>
  <c r="L78" i="39"/>
  <c r="N78" i="39" s="1"/>
  <c r="N116" i="39"/>
  <c r="R36" i="42"/>
  <c r="N46" i="39"/>
  <c r="Z56" i="39"/>
  <c r="N22" i="39"/>
  <c r="L66" i="39"/>
  <c r="X76" i="39"/>
  <c r="Z76" i="39" s="1"/>
  <c r="L50" i="42"/>
  <c r="N50" i="42" s="1"/>
  <c r="N24" i="45"/>
  <c r="T12" i="39"/>
  <c r="L14" i="39"/>
  <c r="Z25" i="39"/>
  <c r="N66" i="39"/>
  <c r="X105" i="39"/>
  <c r="N60" i="42"/>
  <c r="F25" i="42"/>
  <c r="F48" i="42"/>
  <c r="F49" i="42"/>
  <c r="F57" i="42"/>
  <c r="N64" i="42"/>
  <c r="F67" i="42"/>
  <c r="F72" i="42"/>
  <c r="V58" i="45"/>
  <c r="V46" i="45"/>
  <c r="V38" i="45"/>
  <c r="V34" i="45"/>
  <c r="T21" i="45"/>
  <c r="V79" i="45"/>
  <c r="V77" i="45"/>
  <c r="V69" i="45"/>
  <c r="V65" i="45"/>
  <c r="V57" i="45"/>
  <c r="V45" i="45"/>
  <c r="V33" i="45"/>
  <c r="V29" i="45"/>
  <c r="V25" i="45"/>
  <c r="V60" i="45"/>
  <c r="V48" i="45"/>
  <c r="V59" i="45"/>
  <c r="V47" i="45"/>
  <c r="V39" i="45"/>
  <c r="V35" i="45"/>
  <c r="V70" i="45"/>
  <c r="V66" i="45"/>
  <c r="V50" i="45"/>
  <c r="V30" i="45"/>
  <c r="V26" i="45"/>
  <c r="V83" i="45"/>
  <c r="V61" i="45"/>
  <c r="V49" i="45"/>
  <c r="V72" i="45"/>
  <c r="V52" i="45"/>
  <c r="V40" i="45"/>
  <c r="V36" i="45"/>
  <c r="Z12" i="45"/>
  <c r="V71" i="45"/>
  <c r="V67" i="45"/>
  <c r="V74" i="45"/>
  <c r="V62" i="45"/>
  <c r="V54" i="45"/>
  <c r="V42" i="45"/>
  <c r="V18" i="45"/>
  <c r="V76" i="45"/>
  <c r="V68" i="45"/>
  <c r="V64" i="45"/>
  <c r="V56" i="45"/>
  <c r="V44" i="45"/>
  <c r="V32" i="45"/>
  <c r="V28" i="45"/>
  <c r="V24" i="45"/>
  <c r="V37" i="45"/>
  <c r="N46" i="45"/>
  <c r="N50" i="45"/>
  <c r="Z60" i="45"/>
  <c r="Z72" i="45"/>
  <c r="F34" i="48"/>
  <c r="F45" i="48"/>
  <c r="F19" i="48"/>
  <c r="F15" i="48"/>
  <c r="F52" i="48"/>
  <c r="F37" i="48"/>
  <c r="F36" i="48"/>
  <c r="F41" i="48"/>
  <c r="F40" i="48"/>
  <c r="F33" i="48"/>
  <c r="F31" i="48"/>
  <c r="F28" i="48"/>
  <c r="D17" i="48"/>
  <c r="F43" i="48"/>
  <c r="F23" i="48"/>
  <c r="F26" i="48"/>
  <c r="F44" i="48"/>
  <c r="F32" i="48"/>
  <c r="F29" i="48"/>
  <c r="F20" i="48"/>
  <c r="F48" i="48"/>
  <c r="F21" i="48"/>
  <c r="F27" i="48"/>
  <c r="F24" i="48"/>
  <c r="F22" i="48"/>
  <c r="L12" i="48"/>
  <c r="P114" i="39"/>
  <c r="F34" i="42"/>
  <c r="F38" i="42"/>
  <c r="Z68" i="42"/>
  <c r="Z106" i="42"/>
  <c r="Z13" i="45"/>
  <c r="X15" i="45"/>
  <c r="Z15" i="45" s="1"/>
  <c r="R18" i="45"/>
  <c r="Z24" i="45"/>
  <c r="L50" i="45"/>
  <c r="N52" i="45"/>
  <c r="N54" i="45"/>
  <c r="N56" i="45"/>
  <c r="Z58" i="45"/>
  <c r="V63" i="45"/>
  <c r="J33" i="48"/>
  <c r="R21" i="55"/>
  <c r="R20" i="55"/>
  <c r="P16" i="55"/>
  <c r="R30" i="55"/>
  <c r="R23" i="55"/>
  <c r="R14" i="55"/>
  <c r="R19" i="55"/>
  <c r="R18" i="55"/>
  <c r="R16" i="55"/>
  <c r="R32" i="55"/>
  <c r="R24" i="55"/>
  <c r="R26" i="55"/>
  <c r="R35" i="55"/>
  <c r="R28" i="55"/>
  <c r="X12" i="55"/>
  <c r="R22" i="55"/>
  <c r="L103" i="39"/>
  <c r="F43" i="42"/>
  <c r="F47" i="42"/>
  <c r="F63" i="42"/>
  <c r="L64" i="42"/>
  <c r="Z70" i="42"/>
  <c r="F23" i="45"/>
  <c r="V31" i="45"/>
  <c r="Z46" i="45"/>
  <c r="F38" i="48"/>
  <c r="L86" i="51"/>
  <c r="D85" i="51"/>
  <c r="L85" i="51" s="1"/>
  <c r="F23" i="42"/>
  <c r="F24" i="42"/>
  <c r="F56" i="42"/>
  <c r="F102" i="42"/>
  <c r="F71" i="45"/>
  <c r="F67" i="45"/>
  <c r="F51" i="45"/>
  <c r="F50" i="45"/>
  <c r="F31" i="45"/>
  <c r="F27" i="45"/>
  <c r="F62" i="45"/>
  <c r="F18" i="45"/>
  <c r="F17" i="45"/>
  <c r="F73" i="45"/>
  <c r="F72" i="45"/>
  <c r="F53" i="45"/>
  <c r="F52" i="45"/>
  <c r="F41" i="45"/>
  <c r="F37" i="45"/>
  <c r="F68" i="45"/>
  <c r="F32" i="45"/>
  <c r="F28" i="45"/>
  <c r="F75" i="45"/>
  <c r="F74" i="45"/>
  <c r="F63" i="45"/>
  <c r="F55" i="45"/>
  <c r="F54" i="45"/>
  <c r="F43" i="45"/>
  <c r="F42" i="45"/>
  <c r="F19" i="45"/>
  <c r="F77" i="45"/>
  <c r="F76" i="45"/>
  <c r="F69" i="45"/>
  <c r="F65" i="45"/>
  <c r="F64" i="45"/>
  <c r="F57" i="45"/>
  <c r="F56" i="45"/>
  <c r="F45" i="45"/>
  <c r="F44" i="45"/>
  <c r="F33" i="45"/>
  <c r="F29" i="45"/>
  <c r="F25" i="45"/>
  <c r="F24" i="45"/>
  <c r="F59" i="45"/>
  <c r="F58" i="45"/>
  <c r="F47" i="45"/>
  <c r="F46" i="45"/>
  <c r="F39" i="45"/>
  <c r="F35" i="45"/>
  <c r="F34" i="45"/>
  <c r="D21" i="45"/>
  <c r="F83" i="45"/>
  <c r="F61" i="45"/>
  <c r="F60" i="45"/>
  <c r="F49" i="45"/>
  <c r="F48" i="45"/>
  <c r="X52" i="45"/>
  <c r="Z54" i="45"/>
  <c r="Z56" i="45"/>
  <c r="V75" i="45"/>
  <c r="V37" i="48"/>
  <c r="V39" i="48"/>
  <c r="V27" i="48"/>
  <c r="V23" i="48"/>
  <c r="V44" i="48"/>
  <c r="V28" i="48"/>
  <c r="V24" i="48"/>
  <c r="V20" i="48"/>
  <c r="V36" i="48"/>
  <c r="V34" i="48"/>
  <c r="V48" i="48"/>
  <c r="V32" i="48"/>
  <c r="V52" i="48"/>
  <c r="V38" i="48"/>
  <c r="V29" i="48"/>
  <c r="V21" i="48"/>
  <c r="V41" i="48"/>
  <c r="V30" i="48"/>
  <c r="V15" i="48"/>
  <c r="V45" i="48"/>
  <c r="V42" i="48"/>
  <c r="V35" i="48"/>
  <c r="V33" i="48"/>
  <c r="V22" i="48"/>
  <c r="V25" i="48"/>
  <c r="T17" i="48"/>
  <c r="V17" i="48" s="1"/>
  <c r="Z12" i="48"/>
  <c r="V31" i="48"/>
  <c r="Z19" i="48"/>
  <c r="V26" i="48"/>
  <c r="F42" i="48"/>
  <c r="Z30" i="51"/>
  <c r="F33" i="42"/>
  <c r="F37" i="42"/>
  <c r="F66" i="42"/>
  <c r="N76" i="42"/>
  <c r="F78" i="42"/>
  <c r="F80" i="42"/>
  <c r="F92" i="42"/>
  <c r="F107" i="42"/>
  <c r="R76" i="45"/>
  <c r="R75" i="45"/>
  <c r="R64" i="45"/>
  <c r="R63" i="45"/>
  <c r="R56" i="45"/>
  <c r="R55" i="45"/>
  <c r="R44" i="45"/>
  <c r="R43" i="45"/>
  <c r="R24" i="45"/>
  <c r="R19" i="45"/>
  <c r="R38" i="45"/>
  <c r="R23" i="45"/>
  <c r="R77" i="45"/>
  <c r="R69" i="45"/>
  <c r="R65" i="45"/>
  <c r="R58" i="45"/>
  <c r="R57" i="45"/>
  <c r="R46" i="45"/>
  <c r="R45" i="45"/>
  <c r="R34" i="45"/>
  <c r="R33" i="45"/>
  <c r="R29" i="45"/>
  <c r="R25" i="45"/>
  <c r="P21" i="45"/>
  <c r="R79" i="45"/>
  <c r="R60" i="45"/>
  <c r="R59" i="45"/>
  <c r="R48" i="45"/>
  <c r="R47" i="45"/>
  <c r="R39" i="45"/>
  <c r="R35" i="45"/>
  <c r="R70" i="45"/>
  <c r="R66" i="45"/>
  <c r="R83" i="45"/>
  <c r="R61" i="45"/>
  <c r="R50" i="45"/>
  <c r="R49" i="45"/>
  <c r="R72" i="45"/>
  <c r="R71" i="45"/>
  <c r="R67" i="45"/>
  <c r="R52" i="45"/>
  <c r="R51" i="45"/>
  <c r="R31" i="45"/>
  <c r="R27" i="45"/>
  <c r="R74" i="45"/>
  <c r="R73" i="45"/>
  <c r="R54" i="45"/>
  <c r="R53" i="45"/>
  <c r="R42" i="45"/>
  <c r="R41" i="45"/>
  <c r="R37" i="45"/>
  <c r="H12" i="45"/>
  <c r="R40" i="45"/>
  <c r="Z42" i="45"/>
  <c r="Z44" i="45"/>
  <c r="Z52" i="45"/>
  <c r="F66" i="45"/>
  <c r="V73" i="45"/>
  <c r="T22" i="54"/>
  <c r="Z16" i="54"/>
  <c r="Z32" i="60"/>
  <c r="X32" i="60"/>
  <c r="F42" i="42"/>
  <c r="F46" i="42"/>
  <c r="F62" i="42"/>
  <c r="N82" i="42"/>
  <c r="F88" i="42"/>
  <c r="X12" i="45"/>
  <c r="L14" i="45"/>
  <c r="V27" i="45"/>
  <c r="N34" i="45"/>
  <c r="F36" i="45"/>
  <c r="X44" i="45"/>
  <c r="F79" i="45"/>
  <c r="L15" i="48"/>
  <c r="Z14" i="56"/>
  <c r="X14" i="56"/>
  <c r="F54" i="42"/>
  <c r="F55" i="42"/>
  <c r="N62" i="42"/>
  <c r="F101" i="42"/>
  <c r="Z105" i="42"/>
  <c r="V19" i="45"/>
  <c r="F30" i="45"/>
  <c r="J63" i="56"/>
  <c r="J61" i="56"/>
  <c r="J53" i="56"/>
  <c r="J45" i="56"/>
  <c r="J33" i="56"/>
  <c r="J65" i="56"/>
  <c r="J35" i="56"/>
  <c r="J27" i="56"/>
  <c r="J23" i="56"/>
  <c r="J54" i="56"/>
  <c r="J46" i="56"/>
  <c r="J36" i="56"/>
  <c r="J28" i="56"/>
  <c r="J70" i="56"/>
  <c r="J67" i="56"/>
  <c r="J47" i="56"/>
  <c r="J37" i="56"/>
  <c r="J29" i="56"/>
  <c r="J19" i="56"/>
  <c r="J55" i="56"/>
  <c r="J39" i="56"/>
  <c r="J57" i="56"/>
  <c r="J49" i="56"/>
  <c r="J41" i="56"/>
  <c r="J25" i="56"/>
  <c r="J21" i="56"/>
  <c r="J59" i="56"/>
  <c r="J51" i="56"/>
  <c r="J43" i="56"/>
  <c r="J31" i="56"/>
  <c r="J56" i="56"/>
  <c r="J38" i="56"/>
  <c r="J30" i="56"/>
  <c r="J52" i="56"/>
  <c r="J26" i="56"/>
  <c r="J24" i="56"/>
  <c r="J22" i="56"/>
  <c r="J20" i="56"/>
  <c r="J14" i="56"/>
  <c r="J50" i="56"/>
  <c r="J44" i="56"/>
  <c r="J16" i="56"/>
  <c r="J48" i="56"/>
  <c r="J42" i="56"/>
  <c r="H16" i="56"/>
  <c r="J18" i="56"/>
  <c r="J34" i="56"/>
  <c r="J58" i="56"/>
  <c r="J40" i="56"/>
  <c r="N12" i="56"/>
  <c r="F32" i="42"/>
  <c r="F36" i="42"/>
  <c r="N84" i="42"/>
  <c r="V23" i="45"/>
  <c r="R32" i="45"/>
  <c r="R36" i="45"/>
  <c r="F25" i="48"/>
  <c r="D27" i="42"/>
  <c r="F40" i="42"/>
  <c r="F41" i="42"/>
  <c r="F45" i="42"/>
  <c r="F52" i="42"/>
  <c r="F53" i="42"/>
  <c r="F60" i="42"/>
  <c r="X76" i="42"/>
  <c r="Z76" i="42" s="1"/>
  <c r="Z82" i="42"/>
  <c r="L84" i="42"/>
  <c r="P104" i="42"/>
  <c r="X104" i="42" s="1"/>
  <c r="Z104" i="42" s="1"/>
  <c r="R17" i="45"/>
  <c r="R30" i="45"/>
  <c r="Z34" i="45"/>
  <c r="V51" i="45"/>
  <c r="V53" i="45"/>
  <c r="V55" i="45"/>
  <c r="R62" i="45"/>
  <c r="Z64" i="45"/>
  <c r="N76" i="45"/>
  <c r="F30" i="48"/>
  <c r="V40" i="48"/>
  <c r="F111" i="42"/>
  <c r="F106" i="42"/>
  <c r="F89" i="42"/>
  <c r="F85" i="42"/>
  <c r="F84" i="42"/>
  <c r="F105" i="42"/>
  <c r="F96" i="42"/>
  <c r="F95" i="42"/>
  <c r="F104" i="42"/>
  <c r="F79" i="42"/>
  <c r="F98" i="42"/>
  <c r="F97" i="42"/>
  <c r="F90" i="42"/>
  <c r="F86" i="42"/>
  <c r="F74" i="42"/>
  <c r="F73" i="42"/>
  <c r="F65" i="42"/>
  <c r="F99" i="42"/>
  <c r="F91" i="42"/>
  <c r="F87" i="42"/>
  <c r="F75" i="42"/>
  <c r="F81" i="42"/>
  <c r="F77" i="42"/>
  <c r="F76" i="42"/>
  <c r="F69" i="42"/>
  <c r="F68" i="42"/>
  <c r="F83" i="42"/>
  <c r="F82" i="42"/>
  <c r="F71" i="42"/>
  <c r="F70" i="42"/>
  <c r="F29" i="42"/>
  <c r="Z66" i="42"/>
  <c r="J45" i="48"/>
  <c r="J29" i="48"/>
  <c r="J25" i="48"/>
  <c r="J21" i="48"/>
  <c r="J19" i="48"/>
  <c r="J15" i="48"/>
  <c r="J48" i="48"/>
  <c r="J47" i="48"/>
  <c r="J35" i="48"/>
  <c r="J31" i="48"/>
  <c r="J38" i="48"/>
  <c r="J32" i="48"/>
  <c r="N12" i="48"/>
  <c r="J42" i="48"/>
  <c r="J28" i="48"/>
  <c r="J36" i="48"/>
  <c r="H17" i="48"/>
  <c r="J17" i="48" s="1"/>
  <c r="J43" i="48"/>
  <c r="J23" i="48"/>
  <c r="J44" i="48"/>
  <c r="J40" i="48"/>
  <c r="J26" i="48"/>
  <c r="J34" i="48"/>
  <c r="J20" i="48"/>
  <c r="J37" i="48"/>
  <c r="J52" i="48"/>
  <c r="J41" i="48"/>
  <c r="J27" i="48"/>
  <c r="J24" i="48"/>
  <c r="J30" i="48"/>
  <c r="J39" i="48"/>
  <c r="L17" i="51"/>
  <c r="N17" i="51" s="1"/>
  <c r="L21" i="51"/>
  <c r="N21" i="51" s="1"/>
  <c r="F30" i="42"/>
  <c r="F31" i="42"/>
  <c r="F35" i="42"/>
  <c r="F39" i="42"/>
  <c r="F50" i="42"/>
  <c r="F51" i="42"/>
  <c r="F58" i="42"/>
  <c r="F59" i="42"/>
  <c r="X66" i="42"/>
  <c r="N68" i="42"/>
  <c r="Z84" i="42"/>
  <c r="F94" i="42"/>
  <c r="H104" i="42"/>
  <c r="L104" i="42" s="1"/>
  <c r="N106" i="42"/>
  <c r="V17" i="45"/>
  <c r="L24" i="45"/>
  <c r="R28" i="45"/>
  <c r="N60" i="45"/>
  <c r="F70" i="45"/>
  <c r="X74" i="45"/>
  <c r="Z74" i="45" s="1"/>
  <c r="Z76" i="45"/>
  <c r="R52" i="48"/>
  <c r="R26" i="48"/>
  <c r="R22" i="48"/>
  <c r="R32" i="48"/>
  <c r="X12" i="48"/>
  <c r="R42" i="48"/>
  <c r="R41" i="48"/>
  <c r="R33" i="48"/>
  <c r="R48" i="48"/>
  <c r="R45" i="48"/>
  <c r="R30" i="48"/>
  <c r="R29" i="48"/>
  <c r="R47" i="48"/>
  <c r="R34" i="48"/>
  <c r="R37" i="48"/>
  <c r="R27" i="48"/>
  <c r="R24" i="48"/>
  <c r="R21" i="48"/>
  <c r="R38" i="48"/>
  <c r="R15" i="48"/>
  <c r="R39" i="48"/>
  <c r="R35" i="48"/>
  <c r="R25" i="48"/>
  <c r="R17" i="48"/>
  <c r="R43" i="48"/>
  <c r="R23" i="48"/>
  <c r="P17" i="48"/>
  <c r="L105" i="42"/>
  <c r="N105" i="42" s="1"/>
  <c r="T12" i="51"/>
  <c r="X30" i="51"/>
  <c r="Z48" i="51"/>
  <c r="N65" i="51"/>
  <c r="N67" i="51"/>
  <c r="L67" i="51"/>
  <c r="N29" i="54"/>
  <c r="H62" i="57"/>
  <c r="Z16" i="58"/>
  <c r="T65" i="58"/>
  <c r="L14" i="51"/>
  <c r="N14" i="51" s="1"/>
  <c r="Z17" i="51"/>
  <c r="Z67" i="51"/>
  <c r="L78" i="51"/>
  <c r="L28" i="54"/>
  <c r="V23" i="55"/>
  <c r="V19" i="55"/>
  <c r="V18" i="55"/>
  <c r="V16" i="55"/>
  <c r="V32" i="55"/>
  <c r="T16" i="55"/>
  <c r="V26" i="55"/>
  <c r="V24" i="55"/>
  <c r="V35" i="55"/>
  <c r="V28" i="55"/>
  <c r="V20" i="55"/>
  <c r="V21" i="55"/>
  <c r="Z12" i="55"/>
  <c r="N23" i="55"/>
  <c r="Z36" i="63"/>
  <c r="N25" i="51"/>
  <c r="N78" i="51"/>
  <c r="N86" i="51"/>
  <c r="N16" i="54"/>
  <c r="H22" i="54"/>
  <c r="T58" i="57"/>
  <c r="Z16" i="57"/>
  <c r="P12" i="51"/>
  <c r="X14" i="51"/>
  <c r="Z14" i="51" s="1"/>
  <c r="L18" i="51"/>
  <c r="N18" i="51" s="1"/>
  <c r="Z21" i="51"/>
  <c r="L25" i="51"/>
  <c r="Z59" i="51"/>
  <c r="Z65" i="51"/>
  <c r="X76" i="51"/>
  <c r="N28" i="54"/>
  <c r="Z29" i="54"/>
  <c r="Z23" i="55"/>
  <c r="N29" i="51"/>
  <c r="T85" i="51"/>
  <c r="N14" i="45"/>
  <c r="Z30" i="48"/>
  <c r="Z25" i="51"/>
  <c r="L29" i="51"/>
  <c r="N34" i="51"/>
  <c r="V35" i="60"/>
  <c r="V33" i="60"/>
  <c r="V24" i="60"/>
  <c r="V21" i="60"/>
  <c r="V14" i="60"/>
  <c r="V46" i="60"/>
  <c r="V16" i="60"/>
  <c r="V48" i="60"/>
  <c r="V30" i="60"/>
  <c r="V29" i="60"/>
  <c r="V18" i="60"/>
  <c r="T16" i="60"/>
  <c r="V34" i="60"/>
  <c r="V22" i="60"/>
  <c r="V19" i="60"/>
  <c r="V51" i="60"/>
  <c r="V40" i="60"/>
  <c r="V25" i="60"/>
  <c r="V37" i="60"/>
  <c r="V42" i="60"/>
  <c r="V36" i="60"/>
  <c r="V31" i="60"/>
  <c r="V26" i="60"/>
  <c r="V23" i="60"/>
  <c r="V44" i="60"/>
  <c r="V32" i="60"/>
  <c r="V20" i="60"/>
  <c r="V38" i="60"/>
  <c r="V28" i="60"/>
  <c r="V39" i="60"/>
  <c r="Z12" i="60"/>
  <c r="L13" i="48"/>
  <c r="N13" i="48" s="1"/>
  <c r="N40" i="48"/>
  <c r="Z18" i="51"/>
  <c r="N22" i="51"/>
  <c r="L18" i="54"/>
  <c r="L47" i="56"/>
  <c r="N47" i="56" s="1"/>
  <c r="L36" i="48"/>
  <c r="N36" i="48" s="1"/>
  <c r="Z48" i="48"/>
  <c r="T47" i="48"/>
  <c r="D12" i="51"/>
  <c r="X22" i="51"/>
  <c r="L26" i="51"/>
  <c r="H12" i="51"/>
  <c r="N13" i="51"/>
  <c r="Z22" i="51"/>
  <c r="N26" i="51"/>
  <c r="Z49" i="51"/>
  <c r="X49" i="51"/>
  <c r="N85" i="51"/>
  <c r="N87" i="51"/>
  <c r="V22" i="55"/>
  <c r="H32" i="55"/>
  <c r="X19" i="48"/>
  <c r="X44" i="48"/>
  <c r="Z44" i="48" s="1"/>
  <c r="X48" i="48"/>
  <c r="L13" i="51"/>
  <c r="X26" i="51"/>
  <c r="Z26" i="51" s="1"/>
  <c r="L30" i="51"/>
  <c r="N30" i="51" s="1"/>
  <c r="Z14" i="55"/>
  <c r="X14" i="55"/>
  <c r="N35" i="59"/>
  <c r="X86" i="51"/>
  <c r="Z86" i="51" s="1"/>
  <c r="D16" i="54"/>
  <c r="J35" i="55"/>
  <c r="R70" i="56"/>
  <c r="R67" i="56"/>
  <c r="R54" i="56"/>
  <c r="R47" i="56"/>
  <c r="R46" i="56"/>
  <c r="R19" i="56"/>
  <c r="R48" i="56"/>
  <c r="R24" i="56"/>
  <c r="R20" i="56"/>
  <c r="P16" i="56"/>
  <c r="R56" i="56"/>
  <c r="R55" i="56"/>
  <c r="R40" i="56"/>
  <c r="R39" i="56"/>
  <c r="R30" i="56"/>
  <c r="R63" i="56"/>
  <c r="R61" i="56"/>
  <c r="R26" i="56"/>
  <c r="R22" i="56"/>
  <c r="V14" i="56"/>
  <c r="R35" i="56"/>
  <c r="R43" i="56"/>
  <c r="R49" i="56"/>
  <c r="F65" i="57"/>
  <c r="F62" i="57"/>
  <c r="F31" i="57"/>
  <c r="F50" i="57"/>
  <c r="F42" i="57"/>
  <c r="F41" i="57"/>
  <c r="F26" i="57"/>
  <c r="F22" i="57"/>
  <c r="F52" i="57"/>
  <c r="F51" i="57"/>
  <c r="F44" i="57"/>
  <c r="F43" i="57"/>
  <c r="F32" i="57"/>
  <c r="L12" i="57"/>
  <c r="F27" i="57"/>
  <c r="F23" i="57"/>
  <c r="F45" i="57"/>
  <c r="F29" i="57"/>
  <c r="F28" i="57"/>
  <c r="F58" i="57"/>
  <c r="F56" i="57"/>
  <c r="F47" i="57"/>
  <c r="F46" i="57"/>
  <c r="F18" i="57"/>
  <c r="F16" i="57"/>
  <c r="F14" i="57"/>
  <c r="F49" i="57"/>
  <c r="F48" i="57"/>
  <c r="F25" i="57"/>
  <c r="F21" i="57"/>
  <c r="D16" i="57"/>
  <c r="R54" i="58"/>
  <c r="Z60" i="58"/>
  <c r="N35" i="60"/>
  <c r="L35" i="60"/>
  <c r="J24" i="54"/>
  <c r="R31" i="54"/>
  <c r="J20" i="55"/>
  <c r="J26" i="55"/>
  <c r="V37" i="56"/>
  <c r="V29" i="56"/>
  <c r="V56" i="56"/>
  <c r="V48" i="56"/>
  <c r="V55" i="56"/>
  <c r="V39" i="56"/>
  <c r="V58" i="56"/>
  <c r="V50" i="56"/>
  <c r="V42" i="56"/>
  <c r="V30" i="56"/>
  <c r="V57" i="56"/>
  <c r="V49" i="56"/>
  <c r="V41" i="56"/>
  <c r="V25" i="56"/>
  <c r="V21" i="56"/>
  <c r="V63" i="56"/>
  <c r="V61" i="56"/>
  <c r="V59" i="56"/>
  <c r="V51" i="56"/>
  <c r="V43" i="56"/>
  <c r="V31" i="56"/>
  <c r="V53" i="56"/>
  <c r="V45" i="56"/>
  <c r="V33" i="56"/>
  <c r="V70" i="56"/>
  <c r="V67" i="56"/>
  <c r="V65" i="56"/>
  <c r="V47" i="56"/>
  <c r="V35" i="56"/>
  <c r="V27" i="56"/>
  <c r="V23" i="56"/>
  <c r="V19" i="56"/>
  <c r="N19" i="56"/>
  <c r="V28" i="56"/>
  <c r="V38" i="56"/>
  <c r="Z47" i="56"/>
  <c r="H65" i="58"/>
  <c r="N16" i="58"/>
  <c r="N18" i="58"/>
  <c r="J38" i="61"/>
  <c r="J30" i="61"/>
  <c r="J39" i="61"/>
  <c r="J25" i="61"/>
  <c r="J31" i="61"/>
  <c r="J35" i="61"/>
  <c r="J23" i="61"/>
  <c r="J26" i="61"/>
  <c r="J29" i="61"/>
  <c r="J51" i="61"/>
  <c r="J40" i="61"/>
  <c r="J21" i="61"/>
  <c r="J32" i="61"/>
  <c r="J24" i="61"/>
  <c r="J14" i="61"/>
  <c r="J27" i="61"/>
  <c r="J46" i="61"/>
  <c r="J16" i="61"/>
  <c r="J42" i="61"/>
  <c r="J36" i="61"/>
  <c r="J22" i="61"/>
  <c r="H16" i="61"/>
  <c r="J33" i="61"/>
  <c r="J19" i="61"/>
  <c r="J18" i="61"/>
  <c r="J28" i="61"/>
  <c r="J44" i="61"/>
  <c r="J34" i="61"/>
  <c r="J20" i="61"/>
  <c r="Z37" i="59"/>
  <c r="D47" i="48"/>
  <c r="L47" i="48" s="1"/>
  <c r="N47" i="48" s="1"/>
  <c r="R24" i="54"/>
  <c r="V29" i="54"/>
  <c r="J16" i="55"/>
  <c r="L18" i="55"/>
  <c r="N18" i="55" s="1"/>
  <c r="J19" i="55"/>
  <c r="Z19" i="56"/>
  <c r="R21" i="56"/>
  <c r="R23" i="56"/>
  <c r="R25" i="56"/>
  <c r="V40" i="56"/>
  <c r="R53" i="56"/>
  <c r="R58" i="56"/>
  <c r="L28" i="57"/>
  <c r="F30" i="57"/>
  <c r="F22" i="58"/>
  <c r="L38" i="58"/>
  <c r="N38" i="58" s="1"/>
  <c r="N43" i="59"/>
  <c r="X29" i="54"/>
  <c r="L19" i="55"/>
  <c r="N19" i="55" s="1"/>
  <c r="N28" i="57"/>
  <c r="Z18" i="58"/>
  <c r="Z39" i="59"/>
  <c r="L12" i="54"/>
  <c r="P16" i="54"/>
  <c r="J30" i="55"/>
  <c r="V46" i="56"/>
  <c r="N18" i="57"/>
  <c r="F36" i="57"/>
  <c r="L46" i="57"/>
  <c r="N46" i="57" s="1"/>
  <c r="N48" i="57"/>
  <c r="L56" i="57"/>
  <c r="F61" i="58"/>
  <c r="F60" i="58"/>
  <c r="F53" i="58"/>
  <c r="F45" i="58"/>
  <c r="F44" i="58"/>
  <c r="F33" i="58"/>
  <c r="F28" i="58"/>
  <c r="F24" i="58"/>
  <c r="F20" i="58"/>
  <c r="F19" i="58"/>
  <c r="F47" i="58"/>
  <c r="F46" i="58"/>
  <c r="F35" i="58"/>
  <c r="F34" i="58"/>
  <c r="F18" i="58"/>
  <c r="F16" i="58"/>
  <c r="F14" i="58"/>
  <c r="F65" i="58"/>
  <c r="F63" i="58"/>
  <c r="F54" i="58"/>
  <c r="F30" i="58"/>
  <c r="F29" i="58"/>
  <c r="D16" i="58"/>
  <c r="F67" i="58"/>
  <c r="F49" i="58"/>
  <c r="F48" i="58"/>
  <c r="F37" i="58"/>
  <c r="F36" i="58"/>
  <c r="F25" i="58"/>
  <c r="F21" i="58"/>
  <c r="F55" i="58"/>
  <c r="F39" i="58"/>
  <c r="F38" i="58"/>
  <c r="F31" i="58"/>
  <c r="F72" i="58"/>
  <c r="F69" i="58"/>
  <c r="F50" i="58"/>
  <c r="F26" i="58"/>
  <c r="F57" i="58"/>
  <c r="F56" i="58"/>
  <c r="F41" i="58"/>
  <c r="F40" i="58"/>
  <c r="F59" i="58"/>
  <c r="F58" i="58"/>
  <c r="F43" i="58"/>
  <c r="F42" i="58"/>
  <c r="F27" i="58"/>
  <c r="F23" i="58"/>
  <c r="X14" i="58"/>
  <c r="X18" i="58"/>
  <c r="R24" i="58"/>
  <c r="R32" i="58"/>
  <c r="N42" i="58"/>
  <c r="L44" i="58"/>
  <c r="N44" i="58" s="1"/>
  <c r="R14" i="54"/>
  <c r="R16" i="54"/>
  <c r="R18" i="54"/>
  <c r="R20" i="54"/>
  <c r="F30" i="55"/>
  <c r="L12" i="55"/>
  <c r="F22" i="55"/>
  <c r="F21" i="55"/>
  <c r="D16" i="55"/>
  <c r="J22" i="55"/>
  <c r="R16" i="56"/>
  <c r="R42" i="56"/>
  <c r="R57" i="56"/>
  <c r="F24" i="57"/>
  <c r="Z28" i="57"/>
  <c r="R20" i="58"/>
  <c r="R30" i="58"/>
  <c r="X36" i="58"/>
  <c r="Z38" i="58"/>
  <c r="X44" i="58"/>
  <c r="Z44" i="58" s="1"/>
  <c r="Z16" i="63"/>
  <c r="Z13" i="51"/>
  <c r="L29" i="54"/>
  <c r="Z19" i="55"/>
  <c r="T16" i="56"/>
  <c r="V18" i="56"/>
  <c r="V34" i="56"/>
  <c r="Z36" i="58"/>
  <c r="V14" i="54"/>
  <c r="V16" i="54"/>
  <c r="V18" i="54"/>
  <c r="V20" i="54"/>
  <c r="N12" i="55"/>
  <c r="V16" i="56"/>
  <c r="R33" i="56"/>
  <c r="R50" i="56"/>
  <c r="R59" i="56"/>
  <c r="F33" i="57"/>
  <c r="F38" i="57"/>
  <c r="Z48" i="57"/>
  <c r="R67" i="58"/>
  <c r="R49" i="58"/>
  <c r="R38" i="58"/>
  <c r="R37" i="58"/>
  <c r="R25" i="58"/>
  <c r="R21" i="58"/>
  <c r="R72" i="58"/>
  <c r="R69" i="58"/>
  <c r="R56" i="58"/>
  <c r="R55" i="58"/>
  <c r="R40" i="58"/>
  <c r="R39" i="58"/>
  <c r="R31" i="58"/>
  <c r="R51" i="58"/>
  <c r="R50" i="58"/>
  <c r="R26" i="58"/>
  <c r="R22" i="58"/>
  <c r="R58" i="58"/>
  <c r="R57" i="58"/>
  <c r="R42" i="58"/>
  <c r="R41" i="58"/>
  <c r="R60" i="58"/>
  <c r="R59" i="58"/>
  <c r="R44" i="58"/>
  <c r="R43" i="58"/>
  <c r="R27" i="58"/>
  <c r="R23" i="58"/>
  <c r="R61" i="58"/>
  <c r="R53" i="58"/>
  <c r="R46" i="58"/>
  <c r="R45" i="58"/>
  <c r="R34" i="58"/>
  <c r="R33" i="58"/>
  <c r="R18" i="58"/>
  <c r="R16" i="58"/>
  <c r="R14" i="58"/>
  <c r="R48" i="58"/>
  <c r="R47" i="58"/>
  <c r="R36" i="58"/>
  <c r="R35" i="58"/>
  <c r="P16" i="58"/>
  <c r="Z46" i="58"/>
  <c r="Z48" i="58"/>
  <c r="L58" i="58"/>
  <c r="N58" i="58" s="1"/>
  <c r="N60" i="58"/>
  <c r="X16" i="59"/>
  <c r="P53" i="59"/>
  <c r="N29" i="59"/>
  <c r="Z45" i="59"/>
  <c r="D44" i="60"/>
  <c r="L16" i="60"/>
  <c r="J48" i="61"/>
  <c r="J92" i="63"/>
  <c r="J90" i="63"/>
  <c r="J86" i="63"/>
  <c r="J72" i="63"/>
  <c r="J56" i="63"/>
  <c r="J46" i="63"/>
  <c r="J36" i="63"/>
  <c r="J26" i="63"/>
  <c r="J22" i="63"/>
  <c r="J89" i="63"/>
  <c r="J77" i="63"/>
  <c r="J73" i="63"/>
  <c r="J65" i="63"/>
  <c r="J57" i="63"/>
  <c r="J37" i="63"/>
  <c r="J94" i="63"/>
  <c r="J88" i="63"/>
  <c r="J78" i="63"/>
  <c r="J66" i="63"/>
  <c r="J58" i="63"/>
  <c r="J38" i="63"/>
  <c r="J32" i="63"/>
  <c r="N12" i="63"/>
  <c r="J79" i="63"/>
  <c r="J67" i="63"/>
  <c r="J59" i="63"/>
  <c r="J47" i="63"/>
  <c r="J39" i="63"/>
  <c r="J27" i="63"/>
  <c r="J23" i="63"/>
  <c r="L12" i="63"/>
  <c r="J99" i="63"/>
  <c r="J96" i="63"/>
  <c r="J80" i="63"/>
  <c r="J74" i="63"/>
  <c r="J60" i="63"/>
  <c r="J48" i="63"/>
  <c r="J40" i="63"/>
  <c r="J81" i="63"/>
  <c r="J61" i="63"/>
  <c r="J49" i="63"/>
  <c r="J41" i="63"/>
  <c r="J33" i="63"/>
  <c r="J19" i="63"/>
  <c r="J83" i="63"/>
  <c r="J75" i="63"/>
  <c r="J63" i="63"/>
  <c r="J69" i="63"/>
  <c r="J53" i="63"/>
  <c r="J25" i="63"/>
  <c r="J21" i="63"/>
  <c r="J70" i="63"/>
  <c r="J52" i="63"/>
  <c r="J28" i="63"/>
  <c r="J68" i="63"/>
  <c r="J44" i="63"/>
  <c r="J31" i="63"/>
  <c r="J14" i="63"/>
  <c r="J84" i="63"/>
  <c r="J82" i="63"/>
  <c r="J45" i="63"/>
  <c r="J42" i="63"/>
  <c r="J24" i="63"/>
  <c r="J50" i="63"/>
  <c r="J20" i="63"/>
  <c r="J85" i="63"/>
  <c r="J34" i="63"/>
  <c r="J29" i="63"/>
  <c r="J71" i="63"/>
  <c r="J16" i="63"/>
  <c r="J64" i="63"/>
  <c r="J62" i="63"/>
  <c r="J54" i="63"/>
  <c r="H16" i="63"/>
  <c r="J43" i="63"/>
  <c r="J51" i="63"/>
  <c r="J30" i="63"/>
  <c r="J76" i="63"/>
  <c r="J55" i="63"/>
  <c r="X36" i="63"/>
  <c r="Z15" i="72"/>
  <c r="Z12" i="57"/>
  <c r="Z14" i="57"/>
  <c r="V28" i="57"/>
  <c r="V32" i="57"/>
  <c r="J40" i="57"/>
  <c r="V44" i="57"/>
  <c r="V52" i="57"/>
  <c r="J62" i="57"/>
  <c r="J65" i="57"/>
  <c r="N14" i="58"/>
  <c r="V30" i="58"/>
  <c r="V38" i="58"/>
  <c r="J44" i="58"/>
  <c r="V54" i="58"/>
  <c r="J60" i="58"/>
  <c r="D16" i="59"/>
  <c r="J21" i="59"/>
  <c r="J25" i="59"/>
  <c r="F29" i="59"/>
  <c r="F30" i="59"/>
  <c r="F34" i="59"/>
  <c r="J35" i="59"/>
  <c r="F42" i="59"/>
  <c r="J43" i="59"/>
  <c r="F51" i="59"/>
  <c r="F53" i="59"/>
  <c r="X12" i="60"/>
  <c r="L19" i="60"/>
  <c r="N19" i="60" s="1"/>
  <c r="F31" i="60"/>
  <c r="F35" i="60"/>
  <c r="L12" i="61"/>
  <c r="V21" i="61"/>
  <c r="V29" i="61"/>
  <c r="V31" i="61"/>
  <c r="V51" i="61"/>
  <c r="Z45" i="63"/>
  <c r="Z56" i="63"/>
  <c r="Z46" i="68"/>
  <c r="N56" i="68"/>
  <c r="J67" i="68"/>
  <c r="N77" i="68"/>
  <c r="L77" i="68"/>
  <c r="X61" i="70"/>
  <c r="Z61" i="70" s="1"/>
  <c r="L89" i="70"/>
  <c r="N89" i="70" s="1"/>
  <c r="D16" i="56"/>
  <c r="F30" i="56"/>
  <c r="V22" i="57"/>
  <c r="V26" i="57"/>
  <c r="J30" i="57"/>
  <c r="R31" i="57"/>
  <c r="J38" i="57"/>
  <c r="V42" i="57"/>
  <c r="J48" i="57"/>
  <c r="V50" i="57"/>
  <c r="J60" i="57"/>
  <c r="N12" i="58"/>
  <c r="V20" i="58"/>
  <c r="V24" i="58"/>
  <c r="V28" i="58"/>
  <c r="J32" i="58"/>
  <c r="V36" i="58"/>
  <c r="J42" i="58"/>
  <c r="V48" i="58"/>
  <c r="J52" i="58"/>
  <c r="J58" i="58"/>
  <c r="H16" i="59"/>
  <c r="F19" i="59"/>
  <c r="F20" i="59"/>
  <c r="F24" i="59"/>
  <c r="F28" i="59"/>
  <c r="J29" i="59"/>
  <c r="V31" i="59"/>
  <c r="R36" i="59"/>
  <c r="R37" i="59"/>
  <c r="V39" i="59"/>
  <c r="R44" i="59"/>
  <c r="R45" i="59"/>
  <c r="J51" i="59"/>
  <c r="J53" i="59"/>
  <c r="R55" i="59"/>
  <c r="V57" i="59"/>
  <c r="F16" i="60"/>
  <c r="N18" i="60"/>
  <c r="F22" i="60"/>
  <c r="R23" i="60"/>
  <c r="F25" i="60"/>
  <c r="R26" i="60"/>
  <c r="R44" i="61"/>
  <c r="R42" i="61"/>
  <c r="R32" i="61"/>
  <c r="R31" i="61"/>
  <c r="R27" i="61"/>
  <c r="R26" i="61"/>
  <c r="R46" i="61"/>
  <c r="R28" i="61"/>
  <c r="X12" i="61"/>
  <c r="R24" i="61"/>
  <c r="R20" i="61"/>
  <c r="N19" i="61"/>
  <c r="R23" i="61"/>
  <c r="F25" i="61"/>
  <c r="F33" i="61"/>
  <c r="L36" i="61"/>
  <c r="N36" i="61" s="1"/>
  <c r="F42" i="61"/>
  <c r="R99" i="63"/>
  <c r="R96" i="63"/>
  <c r="R80" i="63"/>
  <c r="R79" i="63"/>
  <c r="R67" i="63"/>
  <c r="R60" i="63"/>
  <c r="R59" i="63"/>
  <c r="R48" i="63"/>
  <c r="R47" i="63"/>
  <c r="R40" i="63"/>
  <c r="R39" i="63"/>
  <c r="R27" i="63"/>
  <c r="R23" i="63"/>
  <c r="R74" i="63"/>
  <c r="R82" i="63"/>
  <c r="R81" i="63"/>
  <c r="R62" i="63"/>
  <c r="R61" i="63"/>
  <c r="R50" i="63"/>
  <c r="R49" i="63"/>
  <c r="R42" i="63"/>
  <c r="R41" i="63"/>
  <c r="R33" i="63"/>
  <c r="R18" i="63"/>
  <c r="R16" i="63"/>
  <c r="R14" i="63"/>
  <c r="R68" i="63"/>
  <c r="R29" i="63"/>
  <c r="R28" i="63"/>
  <c r="R24" i="63"/>
  <c r="R20" i="63"/>
  <c r="P16" i="63"/>
  <c r="R83" i="63"/>
  <c r="R75" i="63"/>
  <c r="R63" i="63"/>
  <c r="R52" i="63"/>
  <c r="R51" i="63"/>
  <c r="R43" i="63"/>
  <c r="R34" i="63"/>
  <c r="R30" i="63"/>
  <c r="R85" i="63"/>
  <c r="R84" i="63"/>
  <c r="R76" i="63"/>
  <c r="R64" i="63"/>
  <c r="R92" i="63"/>
  <c r="R90" i="63"/>
  <c r="R89" i="63"/>
  <c r="R86" i="63"/>
  <c r="R46" i="63"/>
  <c r="R26" i="63"/>
  <c r="R22" i="63"/>
  <c r="Z14" i="63"/>
  <c r="Z19" i="63"/>
  <c r="R55" i="63"/>
  <c r="N60" i="63"/>
  <c r="Z70" i="63"/>
  <c r="P12" i="72"/>
  <c r="X13" i="72"/>
  <c r="J14" i="59"/>
  <c r="J16" i="59"/>
  <c r="J18" i="59"/>
  <c r="J20" i="59"/>
  <c r="J24" i="59"/>
  <c r="J28" i="59"/>
  <c r="V44" i="61"/>
  <c r="V42" i="61"/>
  <c r="V40" i="61"/>
  <c r="V32" i="61"/>
  <c r="V34" i="61"/>
  <c r="V26" i="61"/>
  <c r="V22" i="61"/>
  <c r="V33" i="61"/>
  <c r="V35" i="61"/>
  <c r="V23" i="61"/>
  <c r="V19" i="61"/>
  <c r="V39" i="61"/>
  <c r="D16" i="61"/>
  <c r="V20" i="61"/>
  <c r="N62" i="63"/>
  <c r="J75" i="68"/>
  <c r="J77" i="68"/>
  <c r="J69" i="68"/>
  <c r="J53" i="68"/>
  <c r="J70" i="68"/>
  <c r="J60" i="68"/>
  <c r="J54" i="68"/>
  <c r="J50" i="68"/>
  <c r="J72" i="68"/>
  <c r="J68" i="68"/>
  <c r="J62" i="68"/>
  <c r="J63" i="68"/>
  <c r="J58" i="68"/>
  <c r="J49" i="68"/>
  <c r="J41" i="68"/>
  <c r="J37" i="68"/>
  <c r="J73" i="68"/>
  <c r="J52" i="68"/>
  <c r="J74" i="68"/>
  <c r="J55" i="68"/>
  <c r="J33" i="68"/>
  <c r="J81" i="68"/>
  <c r="J64" i="68"/>
  <c r="J42" i="68"/>
  <c r="J38" i="68"/>
  <c r="J34" i="68"/>
  <c r="J59" i="68"/>
  <c r="J56" i="68"/>
  <c r="J65" i="68"/>
  <c r="J39" i="68"/>
  <c r="J35" i="68"/>
  <c r="J71" i="68"/>
  <c r="J66" i="68"/>
  <c r="J47" i="68"/>
  <c r="J46" i="68"/>
  <c r="H44" i="68"/>
  <c r="J44" i="68" s="1"/>
  <c r="N59" i="76"/>
  <c r="L59" i="76"/>
  <c r="F19" i="56"/>
  <c r="F20" i="56"/>
  <c r="F24" i="56"/>
  <c r="F47" i="56"/>
  <c r="F48" i="56"/>
  <c r="F67" i="56"/>
  <c r="F70" i="56"/>
  <c r="J20" i="57"/>
  <c r="R21" i="57"/>
  <c r="J24" i="57"/>
  <c r="R25" i="57"/>
  <c r="J36" i="57"/>
  <c r="V40" i="57"/>
  <c r="J46" i="57"/>
  <c r="R49" i="57"/>
  <c r="J56" i="57"/>
  <c r="J58" i="57"/>
  <c r="R62" i="57"/>
  <c r="R65" i="57"/>
  <c r="V14" i="58"/>
  <c r="V16" i="58"/>
  <c r="V18" i="58"/>
  <c r="V34" i="58"/>
  <c r="J40" i="58"/>
  <c r="V46" i="58"/>
  <c r="J50" i="58"/>
  <c r="J56" i="58"/>
  <c r="J19" i="59"/>
  <c r="J33" i="59"/>
  <c r="J41" i="59"/>
  <c r="L39" i="60"/>
  <c r="N39" i="60" s="1"/>
  <c r="Z12" i="61"/>
  <c r="L50" i="63"/>
  <c r="N50" i="63" s="1"/>
  <c r="V37" i="68"/>
  <c r="J40" i="68"/>
  <c r="L47" i="68"/>
  <c r="N47" i="68" s="1"/>
  <c r="V49" i="68"/>
  <c r="J61" i="68"/>
  <c r="Z74" i="68"/>
  <c r="D12" i="69"/>
  <c r="L13" i="69"/>
  <c r="N13" i="69" s="1"/>
  <c r="N41" i="69"/>
  <c r="N52" i="69"/>
  <c r="T12" i="70"/>
  <c r="X32" i="70"/>
  <c r="J60" i="59"/>
  <c r="J57" i="59"/>
  <c r="J48" i="59"/>
  <c r="N27" i="61"/>
  <c r="V48" i="61"/>
  <c r="N29" i="63"/>
  <c r="F41" i="67"/>
  <c r="F40" i="67"/>
  <c r="F33" i="67"/>
  <c r="F28" i="67"/>
  <c r="F24" i="67"/>
  <c r="F20" i="67"/>
  <c r="F19" i="67"/>
  <c r="F18" i="67"/>
  <c r="F16" i="67"/>
  <c r="F14" i="67"/>
  <c r="F45" i="67"/>
  <c r="F43" i="67"/>
  <c r="F34" i="67"/>
  <c r="F30" i="67"/>
  <c r="F29" i="67"/>
  <c r="D16" i="67"/>
  <c r="F47" i="67"/>
  <c r="F25" i="67"/>
  <c r="F21" i="67"/>
  <c r="F35" i="67"/>
  <c r="F31" i="67"/>
  <c r="F52" i="67"/>
  <c r="F49" i="67"/>
  <c r="F26" i="67"/>
  <c r="F22" i="67"/>
  <c r="F37" i="67"/>
  <c r="F36" i="67"/>
  <c r="F32" i="67"/>
  <c r="L12" i="67"/>
  <c r="V81" i="68"/>
  <c r="V61" i="68"/>
  <c r="V74" i="68"/>
  <c r="V66" i="68"/>
  <c r="V46" i="68"/>
  <c r="V42" i="68"/>
  <c r="V64" i="68"/>
  <c r="V55" i="68"/>
  <c r="V38" i="68"/>
  <c r="V34" i="68"/>
  <c r="V56" i="68"/>
  <c r="V75" i="68"/>
  <c r="V60" i="68"/>
  <c r="V59" i="68"/>
  <c r="V50" i="68"/>
  <c r="V47" i="68"/>
  <c r="T44" i="68"/>
  <c r="V70" i="68"/>
  <c r="V65" i="68"/>
  <c r="V53" i="68"/>
  <c r="V39" i="68"/>
  <c r="V35" i="68"/>
  <c r="V77" i="68"/>
  <c r="V71" i="68"/>
  <c r="V68" i="68"/>
  <c r="V57" i="68"/>
  <c r="V48" i="68"/>
  <c r="V67" i="68"/>
  <c r="V62" i="68"/>
  <c r="V51" i="68"/>
  <c r="V40" i="68"/>
  <c r="V36" i="68"/>
  <c r="V72" i="68"/>
  <c r="V54" i="68"/>
  <c r="Z17" i="68"/>
  <c r="Z21" i="68"/>
  <c r="Z29" i="68"/>
  <c r="J57" i="68"/>
  <c r="Z32" i="70"/>
  <c r="P97" i="70"/>
  <c r="X97" i="70" s="1"/>
  <c r="X98" i="70"/>
  <c r="Z98" i="70" s="1"/>
  <c r="F46" i="56"/>
  <c r="F54" i="56"/>
  <c r="J28" i="57"/>
  <c r="V30" i="57"/>
  <c r="J34" i="57"/>
  <c r="V38" i="57"/>
  <c r="R47" i="57"/>
  <c r="R48" i="57"/>
  <c r="J54" i="57"/>
  <c r="V60" i="57"/>
  <c r="V62" i="57"/>
  <c r="V65" i="57"/>
  <c r="Z12" i="58"/>
  <c r="X19" i="58"/>
  <c r="Z19" i="58" s="1"/>
  <c r="V32" i="58"/>
  <c r="J38" i="58"/>
  <c r="V44" i="58"/>
  <c r="V52" i="58"/>
  <c r="V60" i="58"/>
  <c r="L12" i="59"/>
  <c r="J23" i="59"/>
  <c r="J27" i="59"/>
  <c r="F32" i="59"/>
  <c r="V35" i="59"/>
  <c r="F39" i="59"/>
  <c r="F40" i="59"/>
  <c r="V43" i="59"/>
  <c r="J47" i="59"/>
  <c r="L48" i="59"/>
  <c r="N48" i="59" s="1"/>
  <c r="R51" i="59"/>
  <c r="R53" i="59"/>
  <c r="F60" i="59"/>
  <c r="F27" i="60"/>
  <c r="F23" i="60"/>
  <c r="F40" i="60"/>
  <c r="F39" i="60"/>
  <c r="F24" i="60"/>
  <c r="F20" i="60"/>
  <c r="F19" i="60"/>
  <c r="L14" i="60"/>
  <c r="P16" i="60"/>
  <c r="R18" i="60"/>
  <c r="F21" i="60"/>
  <c r="R22" i="60"/>
  <c r="L28" i="60"/>
  <c r="N28" i="60" s="1"/>
  <c r="R30" i="60"/>
  <c r="F33" i="60"/>
  <c r="R34" i="60"/>
  <c r="R35" i="60"/>
  <c r="X37" i="60"/>
  <c r="Z37" i="60" s="1"/>
  <c r="F24" i="61"/>
  <c r="V25" i="61"/>
  <c r="X88" i="63"/>
  <c r="J28" i="67"/>
  <c r="J24" i="67"/>
  <c r="J20" i="67"/>
  <c r="J18" i="67"/>
  <c r="J16" i="67"/>
  <c r="J14" i="67"/>
  <c r="J45" i="67"/>
  <c r="J43" i="67"/>
  <c r="J29" i="67"/>
  <c r="H16" i="67"/>
  <c r="J34" i="67"/>
  <c r="J30" i="67"/>
  <c r="J47" i="67"/>
  <c r="J25" i="67"/>
  <c r="J21" i="67"/>
  <c r="J52" i="67"/>
  <c r="J49" i="67"/>
  <c r="J35" i="67"/>
  <c r="J31" i="67"/>
  <c r="J36" i="67"/>
  <c r="J26" i="67"/>
  <c r="J22" i="67"/>
  <c r="J37" i="67"/>
  <c r="J38" i="67"/>
  <c r="J32" i="67"/>
  <c r="N12" i="67"/>
  <c r="J39" i="67"/>
  <c r="J27" i="67"/>
  <c r="J23" i="67"/>
  <c r="J19" i="67"/>
  <c r="Z15" i="68"/>
  <c r="Z19" i="68"/>
  <c r="Z23" i="68"/>
  <c r="Z27" i="68"/>
  <c r="Z31" i="68"/>
  <c r="D79" i="68"/>
  <c r="L44" i="68"/>
  <c r="R17" i="69"/>
  <c r="R60" i="69"/>
  <c r="R58" i="69"/>
  <c r="R32" i="69"/>
  <c r="R31" i="69"/>
  <c r="R27" i="69"/>
  <c r="R50" i="69"/>
  <c r="R39" i="69"/>
  <c r="R38" i="69"/>
  <c r="R23" i="69"/>
  <c r="R62" i="69"/>
  <c r="R41" i="69"/>
  <c r="R40" i="69"/>
  <c r="R28" i="69"/>
  <c r="R24" i="69"/>
  <c r="P20" i="69"/>
  <c r="R45" i="69"/>
  <c r="R44" i="69"/>
  <c r="R42" i="69"/>
  <c r="R36" i="69"/>
  <c r="R22" i="69"/>
  <c r="R16" i="69"/>
  <c r="R53" i="69"/>
  <c r="R48" i="69"/>
  <c r="R43" i="69"/>
  <c r="R34" i="69"/>
  <c r="R64" i="69"/>
  <c r="R51" i="69"/>
  <c r="R37" i="69"/>
  <c r="R29" i="69"/>
  <c r="R25" i="69"/>
  <c r="R46" i="69"/>
  <c r="R56" i="69"/>
  <c r="R49" i="69"/>
  <c r="R52" i="69"/>
  <c r="R35" i="69"/>
  <c r="R18" i="69"/>
  <c r="R47" i="69"/>
  <c r="R54" i="69"/>
  <c r="R67" i="69"/>
  <c r="Z16" i="69"/>
  <c r="R20" i="69"/>
  <c r="F27" i="56"/>
  <c r="F34" i="56"/>
  <c r="F35" i="56"/>
  <c r="F65" i="56"/>
  <c r="P16" i="57"/>
  <c r="R20" i="57"/>
  <c r="J23" i="57"/>
  <c r="R24" i="57"/>
  <c r="J27" i="57"/>
  <c r="J33" i="57"/>
  <c r="R36" i="57"/>
  <c r="R37" i="57"/>
  <c r="V39" i="57"/>
  <c r="V47" i="57"/>
  <c r="J53" i="57"/>
  <c r="J21" i="58"/>
  <c r="J25" i="58"/>
  <c r="J37" i="58"/>
  <c r="V41" i="58"/>
  <c r="J49" i="58"/>
  <c r="V57" i="58"/>
  <c r="J67" i="58"/>
  <c r="N12" i="59"/>
  <c r="V24" i="59"/>
  <c r="V28" i="59"/>
  <c r="J32" i="59"/>
  <c r="J40" i="59"/>
  <c r="R49" i="59"/>
  <c r="F57" i="59"/>
  <c r="R16" i="60"/>
  <c r="R29" i="60"/>
  <c r="L32" i="60"/>
  <c r="N32" i="60" s="1"/>
  <c r="R48" i="60"/>
  <c r="F21" i="61"/>
  <c r="V38" i="61"/>
  <c r="N42" i="63"/>
  <c r="N45" i="63"/>
  <c r="L70" i="63"/>
  <c r="N70" i="63" s="1"/>
  <c r="R71" i="63"/>
  <c r="N82" i="63"/>
  <c r="R88" i="63"/>
  <c r="F38" i="67"/>
  <c r="N40" i="67"/>
  <c r="R55" i="69"/>
  <c r="L12" i="56"/>
  <c r="F61" i="56"/>
  <c r="F63" i="56"/>
  <c r="N12" i="57"/>
  <c r="R14" i="57"/>
  <c r="R16" i="57"/>
  <c r="R18" i="57"/>
  <c r="V20" i="57"/>
  <c r="V24" i="57"/>
  <c r="R29" i="57"/>
  <c r="J32" i="57"/>
  <c r="V36" i="57"/>
  <c r="J44" i="57"/>
  <c r="R45" i="57"/>
  <c r="R46" i="57"/>
  <c r="V48" i="57"/>
  <c r="J52" i="57"/>
  <c r="R56" i="57"/>
  <c r="R58" i="57"/>
  <c r="V22" i="58"/>
  <c r="V26" i="58"/>
  <c r="J30" i="58"/>
  <c r="J36" i="58"/>
  <c r="V42" i="58"/>
  <c r="J48" i="58"/>
  <c r="V50" i="58"/>
  <c r="J54" i="58"/>
  <c r="V58" i="58"/>
  <c r="T16" i="59"/>
  <c r="R19" i="59"/>
  <c r="F22" i="59"/>
  <c r="F26" i="59"/>
  <c r="V29" i="59"/>
  <c r="V33" i="59"/>
  <c r="F37" i="59"/>
  <c r="F38" i="59"/>
  <c r="J39" i="59"/>
  <c r="V41" i="59"/>
  <c r="F45" i="59"/>
  <c r="F46" i="59"/>
  <c r="V49" i="59"/>
  <c r="V51" i="59"/>
  <c r="V53" i="59"/>
  <c r="L12" i="60"/>
  <c r="R14" i="60"/>
  <c r="F32" i="60"/>
  <c r="F38" i="60"/>
  <c r="F44" i="60"/>
  <c r="P16" i="61"/>
  <c r="F29" i="61"/>
  <c r="F35" i="61"/>
  <c r="Z36" i="61"/>
  <c r="V46" i="61"/>
  <c r="Z54" i="63"/>
  <c r="X85" i="63"/>
  <c r="J40" i="67"/>
  <c r="N14" i="68"/>
  <c r="N18" i="68"/>
  <c r="N22" i="68"/>
  <c r="N26" i="68"/>
  <c r="N30" i="68"/>
  <c r="N33" i="68"/>
  <c r="N64" i="68"/>
  <c r="N66" i="68"/>
  <c r="L66" i="68"/>
  <c r="V73" i="68"/>
  <c r="R30" i="69"/>
  <c r="X55" i="69"/>
  <c r="Z55" i="69" s="1"/>
  <c r="P12" i="70"/>
  <c r="L27" i="70"/>
  <c r="N27" i="70" s="1"/>
  <c r="F44" i="56"/>
  <c r="F45" i="56"/>
  <c r="F52" i="56"/>
  <c r="F53" i="56"/>
  <c r="R19" i="57"/>
  <c r="V29" i="57"/>
  <c r="R34" i="57"/>
  <c r="R35" i="57"/>
  <c r="V37" i="57"/>
  <c r="J43" i="57"/>
  <c r="V45" i="57"/>
  <c r="J51" i="57"/>
  <c r="R54" i="57"/>
  <c r="J29" i="58"/>
  <c r="V31" i="58"/>
  <c r="J35" i="58"/>
  <c r="V39" i="58"/>
  <c r="J47" i="58"/>
  <c r="V51" i="58"/>
  <c r="V55" i="58"/>
  <c r="J63" i="58"/>
  <c r="J65" i="58"/>
  <c r="V14" i="59"/>
  <c r="V16" i="59"/>
  <c r="V18" i="59"/>
  <c r="J22" i="59"/>
  <c r="J26" i="59"/>
  <c r="F31" i="59"/>
  <c r="J38" i="59"/>
  <c r="J46" i="59"/>
  <c r="R47" i="59"/>
  <c r="R21" i="60"/>
  <c r="R24" i="60"/>
  <c r="R28" i="60"/>
  <c r="R33" i="60"/>
  <c r="F37" i="60"/>
  <c r="L42" i="60"/>
  <c r="H44" i="60"/>
  <c r="V18" i="61"/>
  <c r="F26" i="61"/>
  <c r="V36" i="61"/>
  <c r="Z85" i="63"/>
  <c r="F27" i="67"/>
  <c r="X33" i="68"/>
  <c r="J36" i="68"/>
  <c r="J48" i="68"/>
  <c r="V52" i="68"/>
  <c r="Z55" i="72"/>
  <c r="R30" i="73"/>
  <c r="R53" i="73"/>
  <c r="R52" i="73"/>
  <c r="R48" i="73"/>
  <c r="R65" i="73"/>
  <c r="R39" i="73"/>
  <c r="R35" i="73"/>
  <c r="R31" i="73"/>
  <c r="R70" i="73"/>
  <c r="R67" i="73"/>
  <c r="R49" i="73"/>
  <c r="R45" i="73"/>
  <c r="R40" i="73"/>
  <c r="R36" i="73"/>
  <c r="R32" i="73"/>
  <c r="R58" i="73"/>
  <c r="R57" i="73"/>
  <c r="R55" i="73"/>
  <c r="R46" i="73"/>
  <c r="R42" i="73"/>
  <c r="P42" i="73"/>
  <c r="R37" i="73"/>
  <c r="R61" i="73"/>
  <c r="R56" i="73"/>
  <c r="R51" i="73"/>
  <c r="R33" i="73"/>
  <c r="R47" i="73"/>
  <c r="R44" i="73"/>
  <c r="R54" i="73"/>
  <c r="R38" i="73"/>
  <c r="R59" i="73"/>
  <c r="R34" i="73"/>
  <c r="R50" i="73"/>
  <c r="N24" i="74"/>
  <c r="L24" i="74"/>
  <c r="F22" i="56"/>
  <c r="V14" i="57"/>
  <c r="V16" i="57"/>
  <c r="V18" i="57"/>
  <c r="J22" i="57"/>
  <c r="R23" i="57"/>
  <c r="J26" i="57"/>
  <c r="R27" i="57"/>
  <c r="V34" i="57"/>
  <c r="J42" i="57"/>
  <c r="V46" i="57"/>
  <c r="V54" i="57"/>
  <c r="V56" i="57"/>
  <c r="J28" i="58"/>
  <c r="J34" i="58"/>
  <c r="V40" i="58"/>
  <c r="J31" i="59"/>
  <c r="F35" i="59"/>
  <c r="F36" i="59"/>
  <c r="J37" i="59"/>
  <c r="F43" i="59"/>
  <c r="F44" i="59"/>
  <c r="J45" i="59"/>
  <c r="R44" i="60"/>
  <c r="R42" i="60"/>
  <c r="R32" i="60"/>
  <c r="R31" i="60"/>
  <c r="R46" i="60"/>
  <c r="R27" i="60"/>
  <c r="F42" i="60"/>
  <c r="F51" i="61"/>
  <c r="F48" i="61"/>
  <c r="F37" i="61"/>
  <c r="F36" i="61"/>
  <c r="F18" i="61"/>
  <c r="F16" i="61"/>
  <c r="F14" i="61"/>
  <c r="F38" i="61"/>
  <c r="F30" i="61"/>
  <c r="F40" i="61"/>
  <c r="F39" i="61"/>
  <c r="F46" i="61"/>
  <c r="F28" i="61"/>
  <c r="F27" i="61"/>
  <c r="T16" i="61"/>
  <c r="V24" i="61"/>
  <c r="V27" i="61"/>
  <c r="F34" i="61"/>
  <c r="F44" i="61"/>
  <c r="N19" i="63"/>
  <c r="P12" i="68"/>
  <c r="Z33" i="68"/>
  <c r="N46" i="68"/>
  <c r="L46" i="68"/>
  <c r="Z66" i="68"/>
  <c r="Z20" i="73"/>
  <c r="Z20" i="74"/>
  <c r="D16" i="63"/>
  <c r="V37" i="63"/>
  <c r="V57" i="63"/>
  <c r="V65" i="63"/>
  <c r="V73" i="63"/>
  <c r="V77" i="63"/>
  <c r="T88" i="63"/>
  <c r="P16" i="67"/>
  <c r="R20" i="67"/>
  <c r="R24" i="67"/>
  <c r="R28" i="67"/>
  <c r="R29" i="67"/>
  <c r="R43" i="67"/>
  <c r="R45" i="67"/>
  <c r="F35" i="68"/>
  <c r="F39" i="68"/>
  <c r="F56" i="68"/>
  <c r="F65" i="68"/>
  <c r="J18" i="69"/>
  <c r="J35" i="69"/>
  <c r="J38" i="69"/>
  <c r="Z45" i="69"/>
  <c r="L49" i="69"/>
  <c r="J52" i="69"/>
  <c r="X20" i="70"/>
  <c r="L24" i="70"/>
  <c r="N24" i="70" s="1"/>
  <c r="F78" i="70"/>
  <c r="T12" i="72"/>
  <c r="Z13" i="72"/>
  <c r="Z17" i="72"/>
  <c r="N43" i="72"/>
  <c r="Z47" i="72"/>
  <c r="J56" i="72"/>
  <c r="N45" i="73"/>
  <c r="T12" i="74"/>
  <c r="Z13" i="74"/>
  <c r="V20" i="67"/>
  <c r="V24" i="67"/>
  <c r="V28" i="67"/>
  <c r="F53" i="68"/>
  <c r="Z20" i="70"/>
  <c r="F38" i="70"/>
  <c r="F68" i="70"/>
  <c r="Z74" i="70"/>
  <c r="N78" i="70"/>
  <c r="F80" i="70"/>
  <c r="Z89" i="70"/>
  <c r="F60" i="72"/>
  <c r="N94" i="74"/>
  <c r="L94" i="74"/>
  <c r="V89" i="63"/>
  <c r="T16" i="67"/>
  <c r="R19" i="67"/>
  <c r="V29" i="67"/>
  <c r="V33" i="67"/>
  <c r="V41" i="67"/>
  <c r="V43" i="67"/>
  <c r="V45" i="67"/>
  <c r="L13" i="68"/>
  <c r="N13" i="68" s="1"/>
  <c r="F64" i="68"/>
  <c r="Z68" i="68"/>
  <c r="F70" i="68"/>
  <c r="N23" i="69"/>
  <c r="J40" i="69"/>
  <c r="N49" i="69"/>
  <c r="L15" i="70"/>
  <c r="N15" i="70" s="1"/>
  <c r="L31" i="70"/>
  <c r="X78" i="70"/>
  <c r="Z78" i="70" s="1"/>
  <c r="N16" i="72"/>
  <c r="N46" i="75"/>
  <c r="Z13" i="78"/>
  <c r="V14" i="67"/>
  <c r="V16" i="67"/>
  <c r="V18" i="67"/>
  <c r="F58" i="68"/>
  <c r="F81" i="68"/>
  <c r="F59" i="68"/>
  <c r="F33" i="68"/>
  <c r="F34" i="68"/>
  <c r="F38" i="68"/>
  <c r="F42" i="68"/>
  <c r="F50" i="68"/>
  <c r="F74" i="68"/>
  <c r="N37" i="69"/>
  <c r="F93" i="70"/>
  <c r="F92" i="70"/>
  <c r="F85" i="70"/>
  <c r="F84" i="70"/>
  <c r="F73" i="70"/>
  <c r="F72" i="70"/>
  <c r="F65" i="70"/>
  <c r="F60" i="70"/>
  <c r="F56" i="70"/>
  <c r="F52" i="70"/>
  <c r="F51" i="70"/>
  <c r="F95" i="70"/>
  <c r="F94" i="70"/>
  <c r="F87" i="70"/>
  <c r="F86" i="70"/>
  <c r="F75" i="70"/>
  <c r="F74" i="70"/>
  <c r="F50" i="70"/>
  <c r="F48" i="70"/>
  <c r="F43" i="70"/>
  <c r="F39" i="70"/>
  <c r="F35" i="70"/>
  <c r="F34" i="70"/>
  <c r="F99" i="70"/>
  <c r="F66" i="70"/>
  <c r="F62" i="70"/>
  <c r="F61" i="70"/>
  <c r="D48" i="70"/>
  <c r="F103" i="70"/>
  <c r="F98" i="70"/>
  <c r="F77" i="70"/>
  <c r="F76" i="70"/>
  <c r="F57" i="70"/>
  <c r="F53" i="70"/>
  <c r="F97" i="70"/>
  <c r="F88" i="70"/>
  <c r="F44" i="70"/>
  <c r="F40" i="70"/>
  <c r="F36" i="70"/>
  <c r="F90" i="70"/>
  <c r="F89" i="70"/>
  <c r="F58" i="70"/>
  <c r="F54" i="70"/>
  <c r="F64" i="70"/>
  <c r="N26" i="70"/>
  <c r="F46" i="70"/>
  <c r="F70" i="70"/>
  <c r="F82" i="70"/>
  <c r="J31" i="60"/>
  <c r="V21" i="63"/>
  <c r="V25" i="63"/>
  <c r="V45" i="63"/>
  <c r="V53" i="63"/>
  <c r="V69" i="63"/>
  <c r="F74" i="63"/>
  <c r="V85" i="63"/>
  <c r="D88" i="63"/>
  <c r="L88" i="63" s="1"/>
  <c r="N88" i="63" s="1"/>
  <c r="X12" i="67"/>
  <c r="V19" i="67"/>
  <c r="V23" i="67"/>
  <c r="V27" i="67"/>
  <c r="R32" i="67"/>
  <c r="V39" i="67"/>
  <c r="F55" i="68"/>
  <c r="T12" i="69"/>
  <c r="X12" i="69" s="1"/>
  <c r="J17" i="69"/>
  <c r="J25" i="69"/>
  <c r="J29" i="69"/>
  <c r="J34" i="69"/>
  <c r="X47" i="69"/>
  <c r="Z47" i="69" s="1"/>
  <c r="Z52" i="69"/>
  <c r="H12" i="70"/>
  <c r="L12" i="70" s="1"/>
  <c r="N19" i="70"/>
  <c r="Z24" i="70"/>
  <c r="X34" i="70"/>
  <c r="X51" i="70"/>
  <c r="L72" i="70"/>
  <c r="L84" i="70"/>
  <c r="N84" i="70" s="1"/>
  <c r="N92" i="70"/>
  <c r="N97" i="70"/>
  <c r="Z19" i="72"/>
  <c r="F35" i="72"/>
  <c r="V70" i="63"/>
  <c r="Z12" i="67"/>
  <c r="V32" i="67"/>
  <c r="R37" i="67"/>
  <c r="R38" i="67"/>
  <c r="V40" i="67"/>
  <c r="L12" i="68"/>
  <c r="N12" i="68" s="1"/>
  <c r="F52" i="68"/>
  <c r="F73" i="68"/>
  <c r="X13" i="69"/>
  <c r="Z13" i="69" s="1"/>
  <c r="X17" i="70"/>
  <c r="Z17" i="70" s="1"/>
  <c r="Z51" i="70"/>
  <c r="J66" i="72"/>
  <c r="J45" i="72"/>
  <c r="J46" i="72"/>
  <c r="J48" i="72"/>
  <c r="J49" i="72"/>
  <c r="J53" i="72"/>
  <c r="J41" i="72"/>
  <c r="J32" i="72"/>
  <c r="J29" i="72"/>
  <c r="J25" i="72"/>
  <c r="H23" i="72"/>
  <c r="J23" i="72" s="1"/>
  <c r="J26" i="72"/>
  <c r="J57" i="72"/>
  <c r="J37" i="72"/>
  <c r="J62" i="72"/>
  <c r="J50" i="72"/>
  <c r="J47" i="72"/>
  <c r="J42" i="72"/>
  <c r="J54" i="72"/>
  <c r="J33" i="72"/>
  <c r="J30" i="72"/>
  <c r="J27" i="72"/>
  <c r="J19" i="72"/>
  <c r="J58" i="72"/>
  <c r="J51" i="72"/>
  <c r="J43" i="72"/>
  <c r="J38" i="72"/>
  <c r="J20" i="72"/>
  <c r="J55" i="72"/>
  <c r="J59" i="72"/>
  <c r="J39" i="72"/>
  <c r="J52" i="72"/>
  <c r="J44" i="72"/>
  <c r="J34" i="72"/>
  <c r="J31" i="72"/>
  <c r="J28" i="72"/>
  <c r="J21" i="72"/>
  <c r="J40" i="72"/>
  <c r="J35" i="72"/>
  <c r="N12" i="72"/>
  <c r="N35" i="72"/>
  <c r="L35" i="72"/>
  <c r="T12" i="73"/>
  <c r="V43" i="63"/>
  <c r="V51" i="63"/>
  <c r="V63" i="63"/>
  <c r="V75" i="63"/>
  <c r="V83" i="63"/>
  <c r="F89" i="63"/>
  <c r="F94" i="63"/>
  <c r="R22" i="67"/>
  <c r="R26" i="67"/>
  <c r="V37" i="67"/>
  <c r="X13" i="68"/>
  <c r="X17" i="68"/>
  <c r="X21" i="68"/>
  <c r="X25" i="68"/>
  <c r="Z25" i="68" s="1"/>
  <c r="X29" i="68"/>
  <c r="F37" i="68"/>
  <c r="F41" i="68"/>
  <c r="F49" i="68"/>
  <c r="F63" i="68"/>
  <c r="F69" i="68"/>
  <c r="J44" i="69"/>
  <c r="J54" i="69"/>
  <c r="J46" i="69"/>
  <c r="J30" i="69"/>
  <c r="J26" i="69"/>
  <c r="J16" i="69"/>
  <c r="J55" i="69"/>
  <c r="J47" i="69"/>
  <c r="J56" i="69"/>
  <c r="J48" i="69"/>
  <c r="J49" i="69"/>
  <c r="J37" i="69"/>
  <c r="J31" i="69"/>
  <c r="J27" i="69"/>
  <c r="J51" i="69"/>
  <c r="J41" i="69"/>
  <c r="N39" i="69"/>
  <c r="J42" i="69"/>
  <c r="J53" i="69"/>
  <c r="Z34" i="70"/>
  <c r="Z97" i="70"/>
  <c r="L12" i="72"/>
  <c r="X15" i="73"/>
  <c r="Z15" i="73" s="1"/>
  <c r="X48" i="74"/>
  <c r="Z48" i="74" s="1"/>
  <c r="J28" i="60"/>
  <c r="V20" i="63"/>
  <c r="V24" i="63"/>
  <c r="V28" i="63"/>
  <c r="F36" i="63"/>
  <c r="F37" i="63"/>
  <c r="V52" i="63"/>
  <c r="F56" i="63"/>
  <c r="F57" i="63"/>
  <c r="F65" i="63"/>
  <c r="V68" i="63"/>
  <c r="F72" i="63"/>
  <c r="F73" i="63"/>
  <c r="F77" i="63"/>
  <c r="F90" i="63"/>
  <c r="V22" i="67"/>
  <c r="V26" i="67"/>
  <c r="R31" i="67"/>
  <c r="R35" i="67"/>
  <c r="R36" i="67"/>
  <c r="V38" i="67"/>
  <c r="Z13" i="68"/>
  <c r="X60" i="68"/>
  <c r="Z60" i="68" s="1"/>
  <c r="F62" i="68"/>
  <c r="X64" i="68"/>
  <c r="Z64" i="68" s="1"/>
  <c r="F68" i="68"/>
  <c r="F79" i="68"/>
  <c r="F86" i="68"/>
  <c r="L16" i="69"/>
  <c r="N16" i="69" s="1"/>
  <c r="H20" i="69"/>
  <c r="J36" i="69"/>
  <c r="J39" i="69"/>
  <c r="L58" i="69"/>
  <c r="N23" i="70"/>
  <c r="Z28" i="70"/>
  <c r="L32" i="70"/>
  <c r="N32" i="70" s="1"/>
  <c r="F37" i="70"/>
  <c r="F67" i="70"/>
  <c r="F79" i="70"/>
  <c r="Z35" i="72"/>
  <c r="L33" i="74"/>
  <c r="N33" i="74" s="1"/>
  <c r="N40" i="74"/>
  <c r="L40" i="74"/>
  <c r="N38" i="75"/>
  <c r="V49" i="63"/>
  <c r="V61" i="63"/>
  <c r="V81" i="63"/>
  <c r="V31" i="67"/>
  <c r="V35" i="67"/>
  <c r="R49" i="67"/>
  <c r="R52" i="67"/>
  <c r="N62" i="68"/>
  <c r="F72" i="68"/>
  <c r="F41" i="70"/>
  <c r="F59" i="70"/>
  <c r="F66" i="72"/>
  <c r="F56" i="72"/>
  <c r="F55" i="72"/>
  <c r="F44" i="72"/>
  <c r="F43" i="72"/>
  <c r="F31" i="72"/>
  <c r="F27" i="72"/>
  <c r="F26" i="72"/>
  <c r="F71" i="72"/>
  <c r="F68" i="72"/>
  <c r="F57" i="72"/>
  <c r="F48" i="72"/>
  <c r="F47" i="72"/>
  <c r="F32" i="72"/>
  <c r="F28" i="72"/>
  <c r="F36" i="72"/>
  <c r="F49" i="72"/>
  <c r="F46" i="72"/>
  <c r="F29" i="72"/>
  <c r="F23" i="72"/>
  <c r="F53" i="72"/>
  <c r="F41" i="72"/>
  <c r="F25" i="72"/>
  <c r="D23" i="72"/>
  <c r="F37" i="72"/>
  <c r="F50" i="72"/>
  <c r="F42" i="72"/>
  <c r="F62" i="72"/>
  <c r="F54" i="72"/>
  <c r="F33" i="72"/>
  <c r="F30" i="72"/>
  <c r="F58" i="72"/>
  <c r="F38" i="72"/>
  <c r="F20" i="72"/>
  <c r="F19" i="72"/>
  <c r="F51" i="72"/>
  <c r="F64" i="72"/>
  <c r="F59" i="72"/>
  <c r="F52" i="72"/>
  <c r="F39" i="72"/>
  <c r="F34" i="72"/>
  <c r="F21" i="72"/>
  <c r="V14" i="63"/>
  <c r="V16" i="63"/>
  <c r="V18" i="63"/>
  <c r="V42" i="63"/>
  <c r="V50" i="63"/>
  <c r="V62" i="63"/>
  <c r="V74" i="63"/>
  <c r="R21" i="67"/>
  <c r="R25" i="67"/>
  <c r="F36" i="68"/>
  <c r="F40" i="68"/>
  <c r="F54" i="68"/>
  <c r="F67" i="68"/>
  <c r="L71" i="68"/>
  <c r="N71" i="68" s="1"/>
  <c r="J33" i="69"/>
  <c r="Z43" i="69"/>
  <c r="J45" i="69"/>
  <c r="J62" i="69"/>
  <c r="X16" i="70"/>
  <c r="Z16" i="70" s="1"/>
  <c r="L20" i="70"/>
  <c r="N20" i="70" s="1"/>
  <c r="F45" i="70"/>
  <c r="F63" i="70"/>
  <c r="F69" i="70"/>
  <c r="F81" i="70"/>
  <c r="J36" i="72"/>
  <c r="L14" i="73"/>
  <c r="N14" i="73" s="1"/>
  <c r="N17" i="76"/>
  <c r="X41" i="72"/>
  <c r="Z41" i="72" s="1"/>
  <c r="Z23" i="73"/>
  <c r="X17" i="74"/>
  <c r="X33" i="74"/>
  <c r="Z33" i="74" s="1"/>
  <c r="N81" i="74"/>
  <c r="Z94" i="74"/>
  <c r="N44" i="75"/>
  <c r="N65" i="75"/>
  <c r="L65" i="75"/>
  <c r="X47" i="79"/>
  <c r="Z47" i="79" s="1"/>
  <c r="N39" i="72"/>
  <c r="N59" i="72"/>
  <c r="L53" i="73"/>
  <c r="N53" i="73" s="1"/>
  <c r="D103" i="74"/>
  <c r="L103" i="74" s="1"/>
  <c r="N103" i="74" s="1"/>
  <c r="L105" i="74"/>
  <c r="J69" i="75"/>
  <c r="J58" i="75"/>
  <c r="J50" i="75"/>
  <c r="J51" i="75"/>
  <c r="J41" i="75"/>
  <c r="J52" i="75"/>
  <c r="J42" i="75"/>
  <c r="J36" i="75"/>
  <c r="J32" i="75"/>
  <c r="J59" i="75"/>
  <c r="J53" i="75"/>
  <c r="J43" i="75"/>
  <c r="J54" i="75"/>
  <c r="J44" i="75"/>
  <c r="J55" i="75"/>
  <c r="J45" i="75"/>
  <c r="J37" i="75"/>
  <c r="J33" i="75"/>
  <c r="J60" i="75"/>
  <c r="J56" i="75"/>
  <c r="J46" i="75"/>
  <c r="J38" i="75"/>
  <c r="J61" i="75"/>
  <c r="J47" i="75"/>
  <c r="J39" i="75"/>
  <c r="J29" i="75"/>
  <c r="J62" i="75"/>
  <c r="J48" i="75"/>
  <c r="J34" i="75"/>
  <c r="J30" i="75"/>
  <c r="J28" i="75"/>
  <c r="J24" i="75"/>
  <c r="J65" i="75"/>
  <c r="J57" i="75"/>
  <c r="J49" i="75"/>
  <c r="H26" i="75"/>
  <c r="D51" i="78"/>
  <c r="Z25" i="72"/>
  <c r="H12" i="73"/>
  <c r="Z14" i="73"/>
  <c r="Z45" i="73"/>
  <c r="N56" i="73"/>
  <c r="L56" i="73"/>
  <c r="N21" i="74"/>
  <c r="Z24" i="74"/>
  <c r="Z40" i="74"/>
  <c r="N44" i="74"/>
  <c r="N17" i="75"/>
  <c r="Z44" i="75"/>
  <c r="X44" i="75"/>
  <c r="N55" i="75"/>
  <c r="Z65" i="75"/>
  <c r="X48" i="76"/>
  <c r="Z48" i="76" s="1"/>
  <c r="N51" i="72"/>
  <c r="L85" i="74"/>
  <c r="N85" i="74" s="1"/>
  <c r="T12" i="75"/>
  <c r="Z13" i="75"/>
  <c r="Z45" i="72"/>
  <c r="Z22" i="73"/>
  <c r="L27" i="73"/>
  <c r="N27" i="73" s="1"/>
  <c r="H12" i="74"/>
  <c r="Z21" i="74"/>
  <c r="L25" i="74"/>
  <c r="L41" i="74"/>
  <c r="N89" i="74"/>
  <c r="X13" i="75"/>
  <c r="Z17" i="75"/>
  <c r="N53" i="75"/>
  <c r="D12" i="76"/>
  <c r="L13" i="76"/>
  <c r="T12" i="76"/>
  <c r="L43" i="72"/>
  <c r="X16" i="73"/>
  <c r="Z16" i="73" s="1"/>
  <c r="Z44" i="73"/>
  <c r="N32" i="74"/>
  <c r="N41" i="74"/>
  <c r="N91" i="74"/>
  <c r="H12" i="76"/>
  <c r="L14" i="70"/>
  <c r="N14" i="70" s="1"/>
  <c r="L18" i="70"/>
  <c r="N18" i="70" s="1"/>
  <c r="L22" i="70"/>
  <c r="N22" i="70" s="1"/>
  <c r="L26" i="70"/>
  <c r="L30" i="70"/>
  <c r="X15" i="72"/>
  <c r="X55" i="72"/>
  <c r="L18" i="73"/>
  <c r="N18" i="73" s="1"/>
  <c r="X19" i="73"/>
  <c r="Z19" i="73" s="1"/>
  <c r="L16" i="74"/>
  <c r="L32" i="74"/>
  <c r="N66" i="74"/>
  <c r="D12" i="75"/>
  <c r="X21" i="75"/>
  <c r="Z21" i="75" s="1"/>
  <c r="L49" i="72"/>
  <c r="N49" i="72" s="1"/>
  <c r="D12" i="73"/>
  <c r="Z27" i="73"/>
  <c r="Z58" i="73"/>
  <c r="D12" i="74"/>
  <c r="L13" i="74"/>
  <c r="L29" i="74"/>
  <c r="Z41" i="74"/>
  <c r="L45" i="74"/>
  <c r="Z85" i="74"/>
  <c r="X91" i="74"/>
  <c r="Z91" i="74" s="1"/>
  <c r="J35" i="75"/>
  <c r="Z51" i="75"/>
  <c r="Z53" i="75"/>
  <c r="X53" i="75"/>
  <c r="H64" i="75"/>
  <c r="P12" i="76"/>
  <c r="Z16" i="76"/>
  <c r="X18" i="76"/>
  <c r="Z18" i="76" s="1"/>
  <c r="L47" i="78"/>
  <c r="N47" i="78" s="1"/>
  <c r="P16" i="81"/>
  <c r="R24" i="81"/>
  <c r="R29" i="81"/>
  <c r="R26" i="81"/>
  <c r="X12" i="81"/>
  <c r="R22" i="81"/>
  <c r="R18" i="81"/>
  <c r="R14" i="81"/>
  <c r="R20" i="81"/>
  <c r="R16" i="81"/>
  <c r="N20" i="74"/>
  <c r="J64" i="75"/>
  <c r="Z18" i="73"/>
  <c r="P12" i="74"/>
  <c r="X13" i="74"/>
  <c r="L20" i="74"/>
  <c r="X29" i="74"/>
  <c r="L36" i="74"/>
  <c r="X45" i="74"/>
  <c r="N98" i="74"/>
  <c r="L104" i="74"/>
  <c r="N104" i="74" s="1"/>
  <c r="N22" i="75"/>
  <c r="P12" i="75"/>
  <c r="X24" i="76"/>
  <c r="Z24" i="76" s="1"/>
  <c r="Z30" i="76"/>
  <c r="N65" i="76"/>
  <c r="N69" i="76"/>
  <c r="N85" i="76"/>
  <c r="F26" i="78"/>
  <c r="J32" i="78"/>
  <c r="F34" i="78"/>
  <c r="Z37" i="78"/>
  <c r="Z39" i="78"/>
  <c r="F45" i="78"/>
  <c r="F53" i="78"/>
  <c r="F58" i="79"/>
  <c r="F56" i="79"/>
  <c r="F54" i="79"/>
  <c r="F45" i="79"/>
  <c r="F44" i="79"/>
  <c r="F33" i="79"/>
  <c r="F50" i="79"/>
  <c r="F28" i="79"/>
  <c r="F24" i="79"/>
  <c r="F23" i="79"/>
  <c r="F35" i="79"/>
  <c r="F34" i="79"/>
  <c r="F22" i="79"/>
  <c r="F20" i="79"/>
  <c r="F62" i="79"/>
  <c r="F30" i="79"/>
  <c r="F29" i="79"/>
  <c r="D20" i="79"/>
  <c r="F51" i="79"/>
  <c r="F46" i="79"/>
  <c r="F37" i="79"/>
  <c r="F36" i="79"/>
  <c r="F25" i="79"/>
  <c r="F65" i="79"/>
  <c r="F52" i="79"/>
  <c r="F47" i="79"/>
  <c r="F39" i="79"/>
  <c r="F38" i="79"/>
  <c r="F31" i="79"/>
  <c r="F48" i="79"/>
  <c r="F26" i="79"/>
  <c r="F41" i="79"/>
  <c r="F40" i="79"/>
  <c r="F17" i="79"/>
  <c r="F16" i="79"/>
  <c r="F60" i="79"/>
  <c r="F53" i="79"/>
  <c r="F49" i="79"/>
  <c r="F43" i="79"/>
  <c r="F42" i="79"/>
  <c r="F27" i="79"/>
  <c r="F32" i="79"/>
  <c r="N34" i="79"/>
  <c r="N36" i="79"/>
  <c r="Z38" i="79"/>
  <c r="T12" i="80"/>
  <c r="Z22" i="80"/>
  <c r="N23" i="76"/>
  <c r="X59" i="76"/>
  <c r="Z59" i="76" s="1"/>
  <c r="Z87" i="76"/>
  <c r="Z47" i="78"/>
  <c r="R24" i="79"/>
  <c r="X36" i="79"/>
  <c r="Z36" i="79" s="1"/>
  <c r="Z32" i="80"/>
  <c r="X32" i="80"/>
  <c r="P103" i="74"/>
  <c r="X103" i="74" s="1"/>
  <c r="P64" i="75"/>
  <c r="X64" i="75" s="1"/>
  <c r="X32" i="76"/>
  <c r="Z69" i="76"/>
  <c r="J19" i="78"/>
  <c r="J41" i="78"/>
  <c r="J33" i="78"/>
  <c r="J29" i="78"/>
  <c r="J42" i="78"/>
  <c r="J34" i="78"/>
  <c r="J20" i="78"/>
  <c r="J43" i="78"/>
  <c r="J35" i="78"/>
  <c r="J44" i="78"/>
  <c r="J49" i="78"/>
  <c r="J45" i="78"/>
  <c r="J21" i="78"/>
  <c r="J53" i="78"/>
  <c r="J47" i="78"/>
  <c r="J37" i="78"/>
  <c r="J31" i="78"/>
  <c r="J27" i="78"/>
  <c r="J25" i="78"/>
  <c r="J17" i="78"/>
  <c r="J39" i="78"/>
  <c r="N17" i="78"/>
  <c r="H23" i="78"/>
  <c r="L23" i="78" s="1"/>
  <c r="J26" i="78"/>
  <c r="J28" i="78"/>
  <c r="J38" i="78"/>
  <c r="J40" i="78"/>
  <c r="R65" i="79"/>
  <c r="R62" i="79"/>
  <c r="R53" i="79"/>
  <c r="R52" i="79"/>
  <c r="R47" i="79"/>
  <c r="R46" i="79"/>
  <c r="R38" i="79"/>
  <c r="R37" i="79"/>
  <c r="R25" i="79"/>
  <c r="R58" i="79"/>
  <c r="R40" i="79"/>
  <c r="R39" i="79"/>
  <c r="R31" i="79"/>
  <c r="R16" i="79"/>
  <c r="R48" i="79"/>
  <c r="R26" i="79"/>
  <c r="R42" i="79"/>
  <c r="R41" i="79"/>
  <c r="R17" i="79"/>
  <c r="R32" i="79"/>
  <c r="R49" i="79"/>
  <c r="R44" i="79"/>
  <c r="R43" i="79"/>
  <c r="R27" i="79"/>
  <c r="R23" i="79"/>
  <c r="R60" i="79"/>
  <c r="R54" i="79"/>
  <c r="R34" i="79"/>
  <c r="R33" i="79"/>
  <c r="R22" i="79"/>
  <c r="R20" i="79"/>
  <c r="R36" i="79"/>
  <c r="R35" i="79"/>
  <c r="Z22" i="79"/>
  <c r="R50" i="79"/>
  <c r="N49" i="76"/>
  <c r="Z65" i="76"/>
  <c r="Z67" i="76"/>
  <c r="J36" i="78"/>
  <c r="Z40" i="80"/>
  <c r="X40" i="80"/>
  <c r="H12" i="83"/>
  <c r="N13" i="83"/>
  <c r="T103" i="74"/>
  <c r="L14" i="75"/>
  <c r="N14" i="75" s="1"/>
  <c r="T64" i="75"/>
  <c r="N19" i="76"/>
  <c r="Z29" i="76"/>
  <c r="N31" i="76"/>
  <c r="T12" i="78"/>
  <c r="P23" i="78"/>
  <c r="R34" i="78"/>
  <c r="L49" i="78"/>
  <c r="N49" i="78" s="1"/>
  <c r="L16" i="79"/>
  <c r="N16" i="79" s="1"/>
  <c r="N44" i="79"/>
  <c r="X13" i="76"/>
  <c r="X16" i="76"/>
  <c r="Z26" i="76"/>
  <c r="R42" i="78"/>
  <c r="J56" i="79"/>
  <c r="J60" i="79"/>
  <c r="J50" i="79"/>
  <c r="J34" i="79"/>
  <c r="J28" i="79"/>
  <c r="J24" i="79"/>
  <c r="J22" i="79"/>
  <c r="J20" i="79"/>
  <c r="J35" i="79"/>
  <c r="J29" i="79"/>
  <c r="H20" i="79"/>
  <c r="J51" i="79"/>
  <c r="J36" i="79"/>
  <c r="J30" i="79"/>
  <c r="J46" i="79"/>
  <c r="J37" i="79"/>
  <c r="J25" i="79"/>
  <c r="J47" i="79"/>
  <c r="J38" i="79"/>
  <c r="J52" i="79"/>
  <c r="J39" i="79"/>
  <c r="J31" i="79"/>
  <c r="J48" i="79"/>
  <c r="J40" i="79"/>
  <c r="J26" i="79"/>
  <c r="J16" i="79"/>
  <c r="J41" i="79"/>
  <c r="J53" i="79"/>
  <c r="J42" i="79"/>
  <c r="J32" i="79"/>
  <c r="N12" i="79"/>
  <c r="J44" i="79"/>
  <c r="J18" i="79"/>
  <c r="R18" i="79"/>
  <c r="R30" i="79"/>
  <c r="J33" i="79"/>
  <c r="L42" i="79"/>
  <c r="V44" i="83"/>
  <c r="V16" i="83"/>
  <c r="V45" i="83"/>
  <c r="V37" i="83"/>
  <c r="V56" i="83"/>
  <c r="V48" i="83"/>
  <c r="V58" i="83"/>
  <c r="V50" i="83"/>
  <c r="V38" i="83"/>
  <c r="V22" i="83"/>
  <c r="V20" i="83"/>
  <c r="V18" i="83"/>
  <c r="V60" i="83"/>
  <c r="V51" i="83"/>
  <c r="V40" i="83"/>
  <c r="V35" i="83"/>
  <c r="V17" i="83"/>
  <c r="V52" i="83"/>
  <c r="V43" i="83"/>
  <c r="V27" i="83"/>
  <c r="V54" i="83"/>
  <c r="V41" i="83"/>
  <c r="V33" i="83"/>
  <c r="V30" i="83"/>
  <c r="V57" i="83"/>
  <c r="V36" i="83"/>
  <c r="V25" i="83"/>
  <c r="V63" i="83"/>
  <c r="V28" i="83"/>
  <c r="V69" i="83"/>
  <c r="V46" i="83"/>
  <c r="T20" i="83"/>
  <c r="V65" i="83"/>
  <c r="V61" i="83"/>
  <c r="V55" i="83"/>
  <c r="V49" i="83"/>
  <c r="V39" i="83"/>
  <c r="V34" i="83"/>
  <c r="V53" i="83"/>
  <c r="V42" i="83"/>
  <c r="V26" i="83"/>
  <c r="V32" i="83"/>
  <c r="V59" i="83"/>
  <c r="V29" i="83"/>
  <c r="V24" i="83"/>
  <c r="V62" i="83"/>
  <c r="Z12" i="83"/>
  <c r="V47" i="83"/>
  <c r="V23" i="83"/>
  <c r="N15" i="76"/>
  <c r="F58" i="78"/>
  <c r="F55" i="78"/>
  <c r="F40" i="78"/>
  <c r="F39" i="78"/>
  <c r="F32" i="78"/>
  <c r="F28" i="78"/>
  <c r="F19" i="78"/>
  <c r="F41" i="78"/>
  <c r="F33" i="78"/>
  <c r="F29" i="78"/>
  <c r="F20" i="78"/>
  <c r="F43" i="78"/>
  <c r="F42" i="78"/>
  <c r="F30" i="78"/>
  <c r="F51" i="78"/>
  <c r="F49" i="78"/>
  <c r="F36" i="78"/>
  <c r="L12" i="78"/>
  <c r="N12" i="78" s="1"/>
  <c r="F47" i="78"/>
  <c r="F38" i="78"/>
  <c r="F37" i="78"/>
  <c r="F25" i="78"/>
  <c r="F23" i="78"/>
  <c r="F18" i="78"/>
  <c r="F17" i="78"/>
  <c r="N25" i="78"/>
  <c r="F31" i="78"/>
  <c r="X47" i="78"/>
  <c r="R28" i="79"/>
  <c r="N42" i="79"/>
  <c r="N53" i="79"/>
  <c r="L53" i="79"/>
  <c r="N48" i="80"/>
  <c r="T27" i="82"/>
  <c r="V31" i="83"/>
  <c r="X28" i="76"/>
  <c r="Z28" i="76" s="1"/>
  <c r="N34" i="76"/>
  <c r="Z49" i="76"/>
  <c r="J18" i="78"/>
  <c r="Z49" i="78"/>
  <c r="Z16" i="79"/>
  <c r="Z44" i="79"/>
  <c r="J49" i="79"/>
  <c r="R56" i="79"/>
  <c r="X67" i="74"/>
  <c r="Z67" i="74" s="1"/>
  <c r="X83" i="74"/>
  <c r="Z83" i="74" s="1"/>
  <c r="L89" i="74"/>
  <c r="X105" i="74"/>
  <c r="N13" i="75"/>
  <c r="X24" i="75"/>
  <c r="X28" i="75"/>
  <c r="Z28" i="75" s="1"/>
  <c r="L42" i="75"/>
  <c r="X48" i="75"/>
  <c r="T85" i="76"/>
  <c r="F27" i="78"/>
  <c r="R31" i="78"/>
  <c r="T12" i="79"/>
  <c r="X13" i="79"/>
  <c r="P20" i="79"/>
  <c r="T22" i="81"/>
  <c r="Z16" i="81"/>
  <c r="N23" i="82"/>
  <c r="L23" i="82"/>
  <c r="Z22" i="76"/>
  <c r="Z25" i="76"/>
  <c r="N27" i="76"/>
  <c r="R20" i="78"/>
  <c r="R44" i="78"/>
  <c r="R43" i="78"/>
  <c r="R35" i="78"/>
  <c r="R51" i="78"/>
  <c r="R49" i="78"/>
  <c r="R30" i="78"/>
  <c r="R48" i="78"/>
  <c r="R45" i="78"/>
  <c r="R26" i="78"/>
  <c r="R21" i="78"/>
  <c r="R47" i="78"/>
  <c r="R37" i="78"/>
  <c r="R36" i="78"/>
  <c r="R25" i="78"/>
  <c r="R23" i="78"/>
  <c r="R17" i="78"/>
  <c r="X12" i="78"/>
  <c r="R53" i="78"/>
  <c r="R58" i="78"/>
  <c r="R55" i="78"/>
  <c r="R39" i="78"/>
  <c r="R38" i="78"/>
  <c r="R18" i="78"/>
  <c r="R40" i="78"/>
  <c r="R32" i="78"/>
  <c r="R28" i="78"/>
  <c r="Z25" i="78"/>
  <c r="N37" i="78"/>
  <c r="N39" i="78"/>
  <c r="F48" i="78"/>
  <c r="Z13" i="79"/>
  <c r="J45" i="79"/>
  <c r="R51" i="79"/>
  <c r="N52" i="80"/>
  <c r="R16" i="83"/>
  <c r="R71" i="83"/>
  <c r="H12" i="80"/>
  <c r="N44" i="80"/>
  <c r="L17" i="82"/>
  <c r="N17" i="82" s="1"/>
  <c r="R59" i="83"/>
  <c r="P12" i="80"/>
  <c r="N46" i="80"/>
  <c r="Z52" i="80"/>
  <c r="Z20" i="81"/>
  <c r="X23" i="82"/>
  <c r="N14" i="83"/>
  <c r="J25" i="82"/>
  <c r="J23" i="82"/>
  <c r="J29" i="82"/>
  <c r="J17" i="82"/>
  <c r="V17" i="82"/>
  <c r="V18" i="82"/>
  <c r="V25" i="82"/>
  <c r="V23" i="82"/>
  <c r="V21" i="82"/>
  <c r="V19" i="82"/>
  <c r="L38" i="80"/>
  <c r="N38" i="80" s="1"/>
  <c r="Z56" i="80"/>
  <c r="R62" i="83"/>
  <c r="R61" i="83"/>
  <c r="R53" i="83"/>
  <c r="R29" i="83"/>
  <c r="R25" i="83"/>
  <c r="R63" i="83"/>
  <c r="R67" i="83"/>
  <c r="R65" i="83"/>
  <c r="R54" i="83"/>
  <c r="R69" i="83"/>
  <c r="R56" i="83"/>
  <c r="R55" i="83"/>
  <c r="R48" i="83"/>
  <c r="R47" i="83"/>
  <c r="R32" i="83"/>
  <c r="R31" i="83"/>
  <c r="R27" i="83"/>
  <c r="R24" i="83"/>
  <c r="R51" i="83"/>
  <c r="R40" i="83"/>
  <c r="R35" i="83"/>
  <c r="R60" i="83"/>
  <c r="R43" i="83"/>
  <c r="R52" i="83"/>
  <c r="R44" i="83"/>
  <c r="R33" i="83"/>
  <c r="R30" i="83"/>
  <c r="R74" i="83"/>
  <c r="R57" i="83"/>
  <c r="R41" i="83"/>
  <c r="R18" i="83"/>
  <c r="R37" i="83"/>
  <c r="R36" i="83"/>
  <c r="R58" i="83"/>
  <c r="R45" i="83"/>
  <c r="R28" i="83"/>
  <c r="R49" i="83"/>
  <c r="R46" i="83"/>
  <c r="R38" i="83"/>
  <c r="R34" i="83"/>
  <c r="P20" i="83"/>
  <c r="R50" i="83"/>
  <c r="R42" i="83"/>
  <c r="R39" i="83"/>
  <c r="R26" i="83"/>
  <c r="R23" i="83"/>
  <c r="R22" i="83"/>
  <c r="R17" i="83"/>
  <c r="L47" i="79"/>
  <c r="N47" i="79" s="1"/>
  <c r="N51" i="79"/>
  <c r="L48" i="80"/>
  <c r="N61" i="80"/>
  <c r="X12" i="83"/>
  <c r="N33" i="84"/>
  <c r="L33" i="84"/>
  <c r="D12" i="80"/>
  <c r="L13" i="80"/>
  <c r="N13" i="80" s="1"/>
  <c r="D12" i="82"/>
  <c r="L13" i="82"/>
  <c r="N13" i="82" s="1"/>
  <c r="H21" i="82"/>
  <c r="J21" i="82" s="1"/>
  <c r="N58" i="83"/>
  <c r="X15" i="78"/>
  <c r="Z15" i="78" s="1"/>
  <c r="N32" i="80"/>
  <c r="Z38" i="80"/>
  <c r="N40" i="80"/>
  <c r="L12" i="81"/>
  <c r="J22" i="81"/>
  <c r="J20" i="81"/>
  <c r="J18" i="81"/>
  <c r="J16" i="81"/>
  <c r="J14" i="81"/>
  <c r="J24" i="81"/>
  <c r="Z14" i="81"/>
  <c r="Z18" i="81"/>
  <c r="J18" i="82"/>
  <c r="N48" i="83"/>
  <c r="X56" i="79"/>
  <c r="X13" i="80"/>
  <c r="Z13" i="80" s="1"/>
  <c r="L42" i="80"/>
  <c r="N42" i="80" s="1"/>
  <c r="N12" i="81"/>
  <c r="H16" i="81"/>
  <c r="L20" i="81"/>
  <c r="P12" i="82"/>
  <c r="X13" i="82"/>
  <c r="Z13" i="82" s="1"/>
  <c r="X25" i="82"/>
  <c r="L30" i="84"/>
  <c r="N30" i="84" s="1"/>
  <c r="Z73" i="84"/>
  <c r="V14" i="81"/>
  <c r="V16" i="81"/>
  <c r="V18" i="81"/>
  <c r="V20" i="81"/>
  <c r="L58" i="83"/>
  <c r="P12" i="84"/>
  <c r="N23" i="84"/>
  <c r="N48" i="84"/>
  <c r="L13" i="83"/>
  <c r="Z50" i="83"/>
  <c r="T12" i="84"/>
  <c r="N14" i="84"/>
  <c r="L14" i="84"/>
  <c r="L27" i="84"/>
  <c r="X33" i="84"/>
  <c r="Z14" i="87"/>
  <c r="Z46" i="83"/>
  <c r="N52" i="83"/>
  <c r="Z33" i="84"/>
  <c r="P54" i="88"/>
  <c r="D16" i="81"/>
  <c r="N21" i="85"/>
  <c r="J21" i="85"/>
  <c r="F16" i="81"/>
  <c r="F18" i="81"/>
  <c r="F20" i="81"/>
  <c r="D12" i="83"/>
  <c r="X41" i="83"/>
  <c r="Z41" i="83" s="1"/>
  <c r="Z58" i="83"/>
  <c r="N60" i="83"/>
  <c r="D12" i="84"/>
  <c r="N18" i="84"/>
  <c r="L18" i="84"/>
  <c r="N20" i="84"/>
  <c r="L31" i="84"/>
  <c r="Z63" i="84"/>
  <c r="X63" i="84"/>
  <c r="L15" i="82"/>
  <c r="N15" i="82" s="1"/>
  <c r="X13" i="83"/>
  <c r="Z13" i="83" s="1"/>
  <c r="X37" i="83"/>
  <c r="Z37" i="83" s="1"/>
  <c r="N22" i="84"/>
  <c r="L22" i="84"/>
  <c r="N24" i="84"/>
  <c r="P26" i="85"/>
  <c r="Z52" i="83"/>
  <c r="N62" i="83"/>
  <c r="L65" i="83"/>
  <c r="N15" i="84"/>
  <c r="N49" i="84"/>
  <c r="Z60" i="83"/>
  <c r="N26" i="84"/>
  <c r="L26" i="84"/>
  <c r="N46" i="83"/>
  <c r="H12" i="84"/>
  <c r="L19" i="84"/>
  <c r="N19" i="84" s="1"/>
  <c r="N28" i="84"/>
  <c r="X73" i="84"/>
  <c r="J16" i="85"/>
  <c r="H18" i="85"/>
  <c r="L12" i="85"/>
  <c r="N12" i="85" s="1"/>
  <c r="N15" i="85"/>
  <c r="L21" i="85"/>
  <c r="F66" i="87"/>
  <c r="F65" i="87"/>
  <c r="F54" i="87"/>
  <c r="F53" i="87"/>
  <c r="F34" i="87"/>
  <c r="D20" i="87"/>
  <c r="F74" i="87"/>
  <c r="F61" i="87"/>
  <c r="F45" i="87"/>
  <c r="F44" i="87"/>
  <c r="F29" i="87"/>
  <c r="F25" i="87"/>
  <c r="F68" i="87"/>
  <c r="F67" i="87"/>
  <c r="F56" i="87"/>
  <c r="F55" i="87"/>
  <c r="F36" i="87"/>
  <c r="F35" i="87"/>
  <c r="F47" i="87"/>
  <c r="F46" i="87"/>
  <c r="F76" i="87"/>
  <c r="F62" i="87"/>
  <c r="F38" i="87"/>
  <c r="F37" i="87"/>
  <c r="F30" i="87"/>
  <c r="F26" i="87"/>
  <c r="F69" i="87"/>
  <c r="F57" i="87"/>
  <c r="F49" i="87"/>
  <c r="F48" i="87"/>
  <c r="F17" i="87"/>
  <c r="F16" i="87"/>
  <c r="F70" i="87"/>
  <c r="F40" i="87"/>
  <c r="F39" i="87"/>
  <c r="F63" i="87"/>
  <c r="F51" i="87"/>
  <c r="F50" i="87"/>
  <c r="F58" i="87"/>
  <c r="F42" i="87"/>
  <c r="F41" i="87"/>
  <c r="F18" i="87"/>
  <c r="F64" i="87"/>
  <c r="F60" i="87"/>
  <c r="F59" i="87"/>
  <c r="F52" i="87"/>
  <c r="F28" i="87"/>
  <c r="F24" i="87"/>
  <c r="F23" i="87"/>
  <c r="F27" i="87"/>
  <c r="Z39" i="87"/>
  <c r="J54" i="87"/>
  <c r="L59" i="87"/>
  <c r="N59" i="87" s="1"/>
  <c r="J64" i="87"/>
  <c r="F72" i="87"/>
  <c r="Z37" i="87"/>
  <c r="N50" i="87"/>
  <c r="X75" i="91"/>
  <c r="V21" i="85"/>
  <c r="V20" i="85"/>
  <c r="V16" i="85"/>
  <c r="T18" i="85"/>
  <c r="V24" i="85"/>
  <c r="V22" i="85"/>
  <c r="V15" i="85"/>
  <c r="N16" i="87"/>
  <c r="Z22" i="87"/>
  <c r="Z35" i="87"/>
  <c r="X37" i="87"/>
  <c r="N48" i="87"/>
  <c r="X30" i="88"/>
  <c r="Z30" i="88" s="1"/>
  <c r="Z67" i="84"/>
  <c r="N75" i="84"/>
  <c r="X12" i="85"/>
  <c r="Z12" i="85" s="1"/>
  <c r="P12" i="87"/>
  <c r="X13" i="87"/>
  <c r="Z13" i="87" s="1"/>
  <c r="F32" i="87"/>
  <c r="J35" i="88"/>
  <c r="J46" i="88"/>
  <c r="J36" i="88"/>
  <c r="J48" i="88"/>
  <c r="J38" i="88"/>
  <c r="J30" i="88"/>
  <c r="J16" i="88"/>
  <c r="J54" i="88"/>
  <c r="J52" i="88"/>
  <c r="J42" i="88"/>
  <c r="J32" i="88"/>
  <c r="J43" i="88"/>
  <c r="J56" i="88"/>
  <c r="J44" i="88"/>
  <c r="J61" i="88"/>
  <c r="J37" i="88"/>
  <c r="J23" i="88"/>
  <c r="J29" i="88"/>
  <c r="J18" i="88"/>
  <c r="H18" i="88"/>
  <c r="J49" i="88"/>
  <c r="J20" i="88"/>
  <c r="J14" i="88"/>
  <c r="J41" i="88"/>
  <c r="J27" i="88"/>
  <c r="J24" i="88"/>
  <c r="J21" i="88"/>
  <c r="J47" i="88"/>
  <c r="J58" i="88"/>
  <c r="J33" i="88"/>
  <c r="J15" i="88"/>
  <c r="J39" i="88"/>
  <c r="J31" i="88"/>
  <c r="J22" i="88"/>
  <c r="J50" i="88"/>
  <c r="J28" i="88"/>
  <c r="J25" i="88"/>
  <c r="L12" i="88"/>
  <c r="L75" i="84"/>
  <c r="Z79" i="84"/>
  <c r="X15" i="85"/>
  <c r="Z15" i="85" s="1"/>
  <c r="T12" i="87"/>
  <c r="F20" i="87"/>
  <c r="J34" i="87"/>
  <c r="N12" i="88"/>
  <c r="J40" i="88"/>
  <c r="Z16" i="91"/>
  <c r="T79" i="91"/>
  <c r="F43" i="87"/>
  <c r="J60" i="87"/>
  <c r="L83" i="84"/>
  <c r="N83" i="84" s="1"/>
  <c r="J20" i="85"/>
  <c r="L23" i="87"/>
  <c r="N23" i="87" s="1"/>
  <c r="Z69" i="87"/>
  <c r="D79" i="91"/>
  <c r="L16" i="91"/>
  <c r="R15" i="85"/>
  <c r="R21" i="85"/>
  <c r="R16" i="85"/>
  <c r="R20" i="85"/>
  <c r="R18" i="85"/>
  <c r="R22" i="85"/>
  <c r="R26" i="85"/>
  <c r="R24" i="85"/>
  <c r="R28" i="85"/>
  <c r="J22" i="85"/>
  <c r="R33" i="85"/>
  <c r="L41" i="87"/>
  <c r="N53" i="87"/>
  <c r="L65" i="87"/>
  <c r="N65" i="87" s="1"/>
  <c r="X69" i="87"/>
  <c r="Z36" i="88"/>
  <c r="J45" i="88"/>
  <c r="Z13" i="85"/>
  <c r="F31" i="87"/>
  <c r="N41" i="87"/>
  <c r="J34" i="88"/>
  <c r="N63" i="84"/>
  <c r="X69" i="84"/>
  <c r="Z69" i="84" s="1"/>
  <c r="J28" i="85"/>
  <c r="J68" i="87"/>
  <c r="J70" i="87"/>
  <c r="J67" i="87"/>
  <c r="J61" i="87"/>
  <c r="J55" i="87"/>
  <c r="J45" i="87"/>
  <c r="J35" i="87"/>
  <c r="J29" i="87"/>
  <c r="J25" i="87"/>
  <c r="J56" i="87"/>
  <c r="J46" i="87"/>
  <c r="J36" i="87"/>
  <c r="J47" i="87"/>
  <c r="J37" i="87"/>
  <c r="J76" i="87"/>
  <c r="J69" i="87"/>
  <c r="J62" i="87"/>
  <c r="J48" i="87"/>
  <c r="J38" i="87"/>
  <c r="J30" i="87"/>
  <c r="J26" i="87"/>
  <c r="J16" i="87"/>
  <c r="J57" i="87"/>
  <c r="J49" i="87"/>
  <c r="J39" i="87"/>
  <c r="J17" i="87"/>
  <c r="J50" i="87"/>
  <c r="J40" i="87"/>
  <c r="J63" i="87"/>
  <c r="J51" i="87"/>
  <c r="J41" i="87"/>
  <c r="J31" i="87"/>
  <c r="J27" i="87"/>
  <c r="J58" i="87"/>
  <c r="J59" i="87"/>
  <c r="J33" i="87"/>
  <c r="J23" i="87"/>
  <c r="J65" i="87"/>
  <c r="J53" i="87"/>
  <c r="J43" i="87"/>
  <c r="H20" i="87"/>
  <c r="F22" i="87"/>
  <c r="F78" i="87"/>
  <c r="L73" i="84"/>
  <c r="N73" i="84" s="1"/>
  <c r="L79" i="84"/>
  <c r="N79" i="84" s="1"/>
  <c r="X88" i="84"/>
  <c r="Z88" i="84" s="1"/>
  <c r="X92" i="84"/>
  <c r="Z92" i="84" s="1"/>
  <c r="L15" i="85"/>
  <c r="D18" i="85"/>
  <c r="L12" i="87"/>
  <c r="N12" i="87" s="1"/>
  <c r="X14" i="87"/>
  <c r="J24" i="87"/>
  <c r="N39" i="87"/>
  <c r="Z53" i="87"/>
  <c r="F81" i="87"/>
  <c r="L18" i="88"/>
  <c r="Z14" i="88"/>
  <c r="T18" i="88"/>
  <c r="X18" i="88" s="1"/>
  <c r="Z38" i="88"/>
  <c r="X38" i="88"/>
  <c r="V43" i="88"/>
  <c r="F45" i="88"/>
  <c r="V56" i="88"/>
  <c r="J76" i="91"/>
  <c r="J66" i="91"/>
  <c r="J60" i="91"/>
  <c r="J46" i="91"/>
  <c r="J57" i="91"/>
  <c r="J63" i="91"/>
  <c r="J52" i="91"/>
  <c r="J47" i="91"/>
  <c r="J41" i="91"/>
  <c r="J33" i="91"/>
  <c r="J19" i="91"/>
  <c r="J81" i="91"/>
  <c r="J53" i="91"/>
  <c r="J28" i="91"/>
  <c r="J24" i="91"/>
  <c r="J20" i="91"/>
  <c r="J18" i="91"/>
  <c r="J16" i="91"/>
  <c r="J14" i="91"/>
  <c r="J72" i="91"/>
  <c r="J69" i="91"/>
  <c r="J48" i="91"/>
  <c r="J29" i="91"/>
  <c r="J83" i="91"/>
  <c r="J64" i="91"/>
  <c r="J61" i="91"/>
  <c r="J54" i="91"/>
  <c r="J42" i="91"/>
  <c r="J34" i="91"/>
  <c r="J30" i="91"/>
  <c r="J73" i="91"/>
  <c r="J25" i="91"/>
  <c r="J21" i="91"/>
  <c r="J86" i="91"/>
  <c r="J65" i="91"/>
  <c r="J49" i="91"/>
  <c r="J43" i="91"/>
  <c r="J35" i="91"/>
  <c r="J31" i="91"/>
  <c r="J75" i="91"/>
  <c r="J70" i="91"/>
  <c r="J58" i="91"/>
  <c r="J55" i="91"/>
  <c r="J50" i="91"/>
  <c r="J44" i="91"/>
  <c r="J36" i="91"/>
  <c r="J26" i="91"/>
  <c r="J22" i="91"/>
  <c r="J77" i="91"/>
  <c r="J62" i="91"/>
  <c r="J45" i="91"/>
  <c r="J37" i="91"/>
  <c r="J67" i="91"/>
  <c r="J59" i="91"/>
  <c r="J51" i="91"/>
  <c r="J38" i="91"/>
  <c r="J32" i="91"/>
  <c r="N12" i="91"/>
  <c r="H12" i="92"/>
  <c r="N13" i="92"/>
  <c r="Z22" i="92"/>
  <c r="X22" i="92"/>
  <c r="Z30" i="99"/>
  <c r="X30" i="99"/>
  <c r="F21" i="85"/>
  <c r="F22" i="85"/>
  <c r="R49" i="88"/>
  <c r="R48" i="88"/>
  <c r="R21" i="88"/>
  <c r="R40" i="88"/>
  <c r="R39" i="88"/>
  <c r="R31" i="88"/>
  <c r="R20" i="88"/>
  <c r="R18" i="88"/>
  <c r="R54" i="88"/>
  <c r="R52" i="88"/>
  <c r="R42" i="88"/>
  <c r="R41" i="88"/>
  <c r="R61" i="88"/>
  <c r="R58" i="88"/>
  <c r="R45" i="88"/>
  <c r="R34" i="88"/>
  <c r="R33" i="88"/>
  <c r="R36" i="88"/>
  <c r="R35" i="88"/>
  <c r="R16" i="88"/>
  <c r="F22" i="88"/>
  <c r="V23" i="88"/>
  <c r="F31" i="88"/>
  <c r="L36" i="88"/>
  <c r="N36" i="88" s="1"/>
  <c r="F39" i="88"/>
  <c r="D54" i="88"/>
  <c r="H16" i="91"/>
  <c r="J39" i="91"/>
  <c r="J68" i="91"/>
  <c r="V39" i="88"/>
  <c r="V31" i="88"/>
  <c r="V54" i="88"/>
  <c r="V52" i="88"/>
  <c r="V50" i="88"/>
  <c r="V42" i="88"/>
  <c r="V26" i="88"/>
  <c r="V22" i="88"/>
  <c r="V44" i="88"/>
  <c r="V32" i="88"/>
  <c r="Z12" i="88"/>
  <c r="V36" i="88"/>
  <c r="V47" i="88"/>
  <c r="V46" i="88"/>
  <c r="V38" i="88"/>
  <c r="V30" i="88"/>
  <c r="V16" i="88"/>
  <c r="V40" i="88"/>
  <c r="J71" i="91"/>
  <c r="X12" i="88"/>
  <c r="Z34" i="88"/>
  <c r="V45" i="88"/>
  <c r="X16" i="91"/>
  <c r="P79" i="91"/>
  <c r="N40" i="92"/>
  <c r="L42" i="92"/>
  <c r="N42" i="92" s="1"/>
  <c r="F20" i="88"/>
  <c r="F27" i="88"/>
  <c r="V28" i="88"/>
  <c r="V34" i="88"/>
  <c r="X42" i="88"/>
  <c r="Z42" i="88" s="1"/>
  <c r="F44" i="88"/>
  <c r="F49" i="88"/>
  <c r="L38" i="92"/>
  <c r="Z44" i="92"/>
  <c r="X44" i="87"/>
  <c r="Z44" i="87" s="1"/>
  <c r="L50" i="87"/>
  <c r="N20" i="88"/>
  <c r="V25" i="88"/>
  <c r="F30" i="88"/>
  <c r="N44" i="88"/>
  <c r="L44" i="88"/>
  <c r="D75" i="91"/>
  <c r="Z21" i="92"/>
  <c r="N38" i="92"/>
  <c r="F30" i="85"/>
  <c r="F33" i="85"/>
  <c r="R15" i="88"/>
  <c r="F18" i="88"/>
  <c r="N30" i="88"/>
  <c r="V33" i="88"/>
  <c r="F38" i="88"/>
  <c r="R47" i="88"/>
  <c r="V58" i="88"/>
  <c r="J23" i="91"/>
  <c r="J56" i="91"/>
  <c r="P12" i="93"/>
  <c r="X13" i="93"/>
  <c r="N48" i="93"/>
  <c r="V15" i="88"/>
  <c r="R44" i="88"/>
  <c r="F46" i="88"/>
  <c r="F56" i="88"/>
  <c r="N38" i="91"/>
  <c r="L38" i="91"/>
  <c r="Z64" i="91"/>
  <c r="X64" i="91"/>
  <c r="V53" i="93"/>
  <c r="V45" i="93"/>
  <c r="V48" i="93"/>
  <c r="V57" i="93"/>
  <c r="V55" i="93"/>
  <c r="V49" i="93"/>
  <c r="V50" i="93"/>
  <c r="V43" i="93"/>
  <c r="V35" i="93"/>
  <c r="V38" i="93"/>
  <c r="V30" i="93"/>
  <c r="V26" i="93"/>
  <c r="V61" i="93"/>
  <c r="V37" i="93"/>
  <c r="V17" i="93"/>
  <c r="V32" i="93"/>
  <c r="V51" i="93"/>
  <c r="V47" i="93"/>
  <c r="V44" i="93"/>
  <c r="V40" i="93"/>
  <c r="V39" i="93"/>
  <c r="V31" i="93"/>
  <c r="V27" i="93"/>
  <c r="V23" i="93"/>
  <c r="V22" i="93"/>
  <c r="V18" i="93"/>
  <c r="V33" i="93"/>
  <c r="T20" i="93"/>
  <c r="V28" i="93"/>
  <c r="V24" i="93"/>
  <c r="V52" i="93"/>
  <c r="V41" i="93"/>
  <c r="V29" i="93"/>
  <c r="V25" i="93"/>
  <c r="V54" i="93"/>
  <c r="V34" i="93"/>
  <c r="V36" i="93"/>
  <c r="V46" i="93"/>
  <c r="V42" i="93"/>
  <c r="F23" i="88"/>
  <c r="R24" i="88"/>
  <c r="R27" i="88"/>
  <c r="V41" i="88"/>
  <c r="Z44" i="88"/>
  <c r="J27" i="91"/>
  <c r="J79" i="91"/>
  <c r="F28" i="88"/>
  <c r="F24" i="88"/>
  <c r="F61" i="88"/>
  <c r="F58" i="88"/>
  <c r="F35" i="88"/>
  <c r="F34" i="88"/>
  <c r="F15" i="88"/>
  <c r="F14" i="88"/>
  <c r="F37" i="88"/>
  <c r="F36" i="88"/>
  <c r="F29" i="88"/>
  <c r="F25" i="88"/>
  <c r="F41" i="88"/>
  <c r="F40" i="88"/>
  <c r="F54" i="88"/>
  <c r="F52" i="88"/>
  <c r="F43" i="88"/>
  <c r="F42" i="88"/>
  <c r="V21" i="88"/>
  <c r="V24" i="88"/>
  <c r="F26" i="88"/>
  <c r="V27" i="88"/>
  <c r="V35" i="88"/>
  <c r="N40" i="88"/>
  <c r="Z49" i="88"/>
  <c r="X49" i="88"/>
  <c r="N46" i="91"/>
  <c r="V28" i="91"/>
  <c r="R33" i="91"/>
  <c r="R41" i="91"/>
  <c r="R47" i="91"/>
  <c r="V48" i="91"/>
  <c r="F50" i="91"/>
  <c r="R52" i="91"/>
  <c r="R60" i="91"/>
  <c r="V63" i="91"/>
  <c r="V64" i="91"/>
  <c r="F66" i="91"/>
  <c r="F75" i="91"/>
  <c r="V81" i="91"/>
  <c r="V27" i="92"/>
  <c r="R33" i="92"/>
  <c r="V36" i="92"/>
  <c r="V43" i="92"/>
  <c r="V55" i="92"/>
  <c r="V58" i="92"/>
  <c r="J24" i="93"/>
  <c r="J44" i="93"/>
  <c r="R69" i="91"/>
  <c r="R61" i="91"/>
  <c r="R50" i="91"/>
  <c r="R49" i="91"/>
  <c r="R79" i="91"/>
  <c r="R77" i="91"/>
  <c r="R59" i="91"/>
  <c r="R58" i="91"/>
  <c r="R54" i="91"/>
  <c r="R19" i="91"/>
  <c r="F22" i="91"/>
  <c r="F26" i="91"/>
  <c r="V29" i="91"/>
  <c r="V33" i="91"/>
  <c r="V41" i="91"/>
  <c r="V47" i="91"/>
  <c r="V52" i="91"/>
  <c r="V53" i="91"/>
  <c r="F55" i="91"/>
  <c r="R56" i="91"/>
  <c r="F58" i="91"/>
  <c r="V60" i="91"/>
  <c r="R68" i="91"/>
  <c r="V71" i="91"/>
  <c r="H75" i="91"/>
  <c r="D12" i="92"/>
  <c r="R61" i="92"/>
  <c r="R65" i="92"/>
  <c r="R63" i="92"/>
  <c r="R56" i="92"/>
  <c r="R67" i="92"/>
  <c r="R57" i="92"/>
  <c r="R50" i="92"/>
  <c r="R49" i="92"/>
  <c r="R72" i="92"/>
  <c r="R69" i="92"/>
  <c r="R28" i="92"/>
  <c r="R24" i="92"/>
  <c r="R58" i="92"/>
  <c r="R60" i="92"/>
  <c r="R59" i="92"/>
  <c r="R44" i="92"/>
  <c r="R43" i="92"/>
  <c r="R35" i="92"/>
  <c r="R16" i="92"/>
  <c r="R19" i="92"/>
  <c r="V21" i="92"/>
  <c r="R52" i="92"/>
  <c r="F27" i="93"/>
  <c r="F38" i="93"/>
  <c r="J54" i="94"/>
  <c r="J42" i="94"/>
  <c r="J18" i="94"/>
  <c r="J61" i="94"/>
  <c r="J43" i="94"/>
  <c r="J33" i="94"/>
  <c r="J23" i="94"/>
  <c r="J44" i="94"/>
  <c r="J28" i="94"/>
  <c r="J24" i="94"/>
  <c r="J22" i="94"/>
  <c r="J65" i="94"/>
  <c r="J55" i="94"/>
  <c r="J45" i="94"/>
  <c r="H20" i="94"/>
  <c r="J46" i="94"/>
  <c r="J34" i="94"/>
  <c r="J47" i="94"/>
  <c r="J56" i="94"/>
  <c r="J48" i="94"/>
  <c r="J36" i="94"/>
  <c r="J49" i="94"/>
  <c r="J37" i="94"/>
  <c r="J50" i="94"/>
  <c r="J38" i="94"/>
  <c r="J30" i="94"/>
  <c r="J26" i="94"/>
  <c r="J16" i="94"/>
  <c r="J58" i="94"/>
  <c r="J52" i="94"/>
  <c r="J40" i="94"/>
  <c r="J32" i="94"/>
  <c r="J59" i="94"/>
  <c r="J31" i="94"/>
  <c r="L12" i="94"/>
  <c r="N12" i="94" s="1"/>
  <c r="J35" i="94"/>
  <c r="J17" i="94"/>
  <c r="J51" i="94"/>
  <c r="J29" i="94"/>
  <c r="J27" i="94"/>
  <c r="J25" i="94"/>
  <c r="J53" i="94"/>
  <c r="J41" i="94"/>
  <c r="J39" i="94"/>
  <c r="P68" i="97"/>
  <c r="V56" i="91"/>
  <c r="V75" i="91"/>
  <c r="V73" i="91"/>
  <c r="V65" i="91"/>
  <c r="V45" i="91"/>
  <c r="V14" i="91"/>
  <c r="V16" i="91"/>
  <c r="V18" i="91"/>
  <c r="R23" i="91"/>
  <c r="R27" i="91"/>
  <c r="F35" i="91"/>
  <c r="R39" i="91"/>
  <c r="R40" i="91"/>
  <c r="F43" i="91"/>
  <c r="R46" i="91"/>
  <c r="F86" i="91"/>
  <c r="Z13" i="92"/>
  <c r="T19" i="92"/>
  <c r="V24" i="92"/>
  <c r="R54" i="92"/>
  <c r="V63" i="92"/>
  <c r="N51" i="93"/>
  <c r="R51" i="91"/>
  <c r="R67" i="91"/>
  <c r="V68" i="91"/>
  <c r="R37" i="91"/>
  <c r="R38" i="91"/>
  <c r="V40" i="91"/>
  <c r="R45" i="91"/>
  <c r="V46" i="91"/>
  <c r="V51" i="91"/>
  <c r="R62" i="91"/>
  <c r="V67" i="91"/>
  <c r="R76" i="91"/>
  <c r="V79" i="91"/>
  <c r="F83" i="91"/>
  <c r="V17" i="92"/>
  <c r="R29" i="92"/>
  <c r="R38" i="92"/>
  <c r="R45" i="92"/>
  <c r="Z60" i="92"/>
  <c r="P65" i="92"/>
  <c r="X14" i="93"/>
  <c r="Z14" i="93" s="1"/>
  <c r="Z22" i="93"/>
  <c r="R66" i="91"/>
  <c r="R70" i="91"/>
  <c r="R75" i="91"/>
  <c r="V56" i="92"/>
  <c r="V47" i="92"/>
  <c r="V67" i="92"/>
  <c r="V57" i="92"/>
  <c r="V49" i="92"/>
  <c r="V37" i="92"/>
  <c r="V33" i="92"/>
  <c r="V52" i="92"/>
  <c r="V51" i="92"/>
  <c r="V39" i="92"/>
  <c r="V53" i="92"/>
  <c r="V41" i="92"/>
  <c r="V60" i="92"/>
  <c r="V54" i="92"/>
  <c r="V46" i="92"/>
  <c r="V30" i="92"/>
  <c r="V26" i="92"/>
  <c r="V22" i="92"/>
  <c r="V29" i="92"/>
  <c r="V42" i="92"/>
  <c r="V45" i="92"/>
  <c r="J51" i="93"/>
  <c r="J41" i="93"/>
  <c r="J52" i="93"/>
  <c r="J42" i="93"/>
  <c r="J53" i="93"/>
  <c r="J61" i="93"/>
  <c r="J57" i="93"/>
  <c r="J54" i="93"/>
  <c r="H20" i="93"/>
  <c r="J49" i="93"/>
  <c r="J34" i="93"/>
  <c r="J29" i="93"/>
  <c r="J25" i="93"/>
  <c r="J46" i="93"/>
  <c r="J35" i="93"/>
  <c r="J36" i="93"/>
  <c r="J30" i="93"/>
  <c r="J26" i="93"/>
  <c r="J16" i="93"/>
  <c r="J55" i="93"/>
  <c r="J50" i="93"/>
  <c r="J43" i="93"/>
  <c r="J37" i="93"/>
  <c r="J17" i="93"/>
  <c r="J47" i="93"/>
  <c r="J38" i="93"/>
  <c r="N12" i="93"/>
  <c r="J39" i="93"/>
  <c r="J31" i="93"/>
  <c r="J27" i="93"/>
  <c r="J48" i="93"/>
  <c r="J40" i="93"/>
  <c r="J33" i="93"/>
  <c r="J23" i="93"/>
  <c r="J32" i="93"/>
  <c r="Z22" i="94"/>
  <c r="F14" i="91"/>
  <c r="F16" i="91"/>
  <c r="F18" i="91"/>
  <c r="V22" i="91"/>
  <c r="V26" i="91"/>
  <c r="R31" i="91"/>
  <c r="R35" i="91"/>
  <c r="R36" i="91"/>
  <c r="V38" i="91"/>
  <c r="R43" i="91"/>
  <c r="R44" i="91"/>
  <c r="N48" i="91"/>
  <c r="F53" i="91"/>
  <c r="V55" i="91"/>
  <c r="F69" i="91"/>
  <c r="V70" i="91"/>
  <c r="T75" i="91"/>
  <c r="V76" i="91"/>
  <c r="V77" i="91"/>
  <c r="X12" i="92"/>
  <c r="N14" i="92"/>
  <c r="V23" i="92"/>
  <c r="V32" i="92"/>
  <c r="R37" i="92"/>
  <c r="V38" i="92"/>
  <c r="R41" i="92"/>
  <c r="J18" i="93"/>
  <c r="L64" i="91"/>
  <c r="N64" i="91" s="1"/>
  <c r="R65" i="91"/>
  <c r="V66" i="91"/>
  <c r="X77" i="91"/>
  <c r="Z77" i="91" s="1"/>
  <c r="R86" i="91"/>
  <c r="Z12" i="92"/>
  <c r="N21" i="92"/>
  <c r="N55" i="92"/>
  <c r="V59" i="92"/>
  <c r="V61" i="92"/>
  <c r="F50" i="93"/>
  <c r="F41" i="93"/>
  <c r="F40" i="93"/>
  <c r="F66" i="93"/>
  <c r="F63" i="93"/>
  <c r="F55" i="93"/>
  <c r="F54" i="93"/>
  <c r="F59" i="93"/>
  <c r="F57" i="93"/>
  <c r="F48" i="93"/>
  <c r="F45" i="93"/>
  <c r="F28" i="93"/>
  <c r="F24" i="93"/>
  <c r="F23" i="93"/>
  <c r="F52" i="93"/>
  <c r="F22" i="93"/>
  <c r="F20" i="93"/>
  <c r="F49" i="93"/>
  <c r="F34" i="93"/>
  <c r="D20" i="93"/>
  <c r="F29" i="93"/>
  <c r="F25" i="93"/>
  <c r="F61" i="93"/>
  <c r="F46" i="93"/>
  <c r="F42" i="93"/>
  <c r="F35" i="93"/>
  <c r="F30" i="93"/>
  <c r="F26" i="93"/>
  <c r="F53" i="93"/>
  <c r="F43" i="93"/>
  <c r="F37" i="93"/>
  <c r="F36" i="93"/>
  <c r="F17" i="93"/>
  <c r="F16" i="93"/>
  <c r="F47" i="93"/>
  <c r="L12" i="93"/>
  <c r="F51" i="93"/>
  <c r="F18" i="93"/>
  <c r="N23" i="93"/>
  <c r="J28" i="93"/>
  <c r="F39" i="93"/>
  <c r="J45" i="93"/>
  <c r="R21" i="91"/>
  <c r="R25" i="91"/>
  <c r="F33" i="91"/>
  <c r="V36" i="91"/>
  <c r="F40" i="91"/>
  <c r="F41" i="91"/>
  <c r="V44" i="91"/>
  <c r="F47" i="91"/>
  <c r="F52" i="91"/>
  <c r="R57" i="91"/>
  <c r="F63" i="91"/>
  <c r="R73" i="91"/>
  <c r="V16" i="92"/>
  <c r="V28" i="92"/>
  <c r="R31" i="92"/>
  <c r="V34" i="92"/>
  <c r="R48" i="92"/>
  <c r="R53" i="92"/>
  <c r="N13" i="93"/>
  <c r="N16" i="93"/>
  <c r="L23" i="93"/>
  <c r="F31" i="93"/>
  <c r="F73" i="91"/>
  <c r="F72" i="91"/>
  <c r="F65" i="91"/>
  <c r="F64" i="91"/>
  <c r="F70" i="91"/>
  <c r="F62" i="91"/>
  <c r="V21" i="91"/>
  <c r="V25" i="91"/>
  <c r="R30" i="91"/>
  <c r="R34" i="91"/>
  <c r="R42" i="91"/>
  <c r="F46" i="91"/>
  <c r="X48" i="91"/>
  <c r="Z48" i="91" s="1"/>
  <c r="L53" i="91"/>
  <c r="N53" i="91" s="1"/>
  <c r="V54" i="91"/>
  <c r="F56" i="91"/>
  <c r="V57" i="91"/>
  <c r="F60" i="91"/>
  <c r="V61" i="91"/>
  <c r="N68" i="91"/>
  <c r="F71" i="91"/>
  <c r="R83" i="91"/>
  <c r="V86" i="91"/>
  <c r="R40" i="92"/>
  <c r="X44" i="92"/>
  <c r="Z48" i="92"/>
  <c r="J20" i="93"/>
  <c r="J57" i="94"/>
  <c r="N44" i="93"/>
  <c r="F59" i="94"/>
  <c r="F58" i="94"/>
  <c r="F27" i="94"/>
  <c r="F54" i="94"/>
  <c r="F53" i="94"/>
  <c r="F42" i="94"/>
  <c r="F41" i="94"/>
  <c r="F18" i="94"/>
  <c r="F33" i="94"/>
  <c r="F61" i="94"/>
  <c r="F44" i="94"/>
  <c r="F43" i="94"/>
  <c r="F28" i="94"/>
  <c r="F24" i="94"/>
  <c r="F23" i="94"/>
  <c r="F65" i="94"/>
  <c r="F55" i="94"/>
  <c r="F22" i="94"/>
  <c r="F20" i="94"/>
  <c r="F46" i="94"/>
  <c r="F45" i="94"/>
  <c r="F56" i="94"/>
  <c r="F48" i="94"/>
  <c r="F47" i="94"/>
  <c r="F36" i="94"/>
  <c r="F35" i="94"/>
  <c r="F57" i="94"/>
  <c r="F17" i="94"/>
  <c r="F16" i="94"/>
  <c r="L16" i="94"/>
  <c r="N16" i="94" s="1"/>
  <c r="Z31" i="94"/>
  <c r="F34" i="94"/>
  <c r="F49" i="94"/>
  <c r="D12" i="95"/>
  <c r="L13" i="95"/>
  <c r="N13" i="95" s="1"/>
  <c r="V32" i="95"/>
  <c r="N37" i="95"/>
  <c r="N54" i="95"/>
  <c r="J75" i="95"/>
  <c r="T12" i="97"/>
  <c r="Z13" i="97"/>
  <c r="R43" i="94"/>
  <c r="R69" i="95"/>
  <c r="R57" i="95"/>
  <c r="R80" i="95"/>
  <c r="R78" i="95"/>
  <c r="R63" i="95"/>
  <c r="R82" i="95"/>
  <c r="R65" i="95"/>
  <c r="R64" i="95"/>
  <c r="R67" i="95"/>
  <c r="R66" i="95"/>
  <c r="R84" i="95"/>
  <c r="R76" i="95"/>
  <c r="R62" i="95"/>
  <c r="R56" i="95"/>
  <c r="R37" i="95"/>
  <c r="R36" i="95"/>
  <c r="X12" i="95"/>
  <c r="R60" i="95"/>
  <c r="R48" i="95"/>
  <c r="R47" i="95"/>
  <c r="R32" i="95"/>
  <c r="R31" i="95"/>
  <c r="R27" i="95"/>
  <c r="R71" i="95"/>
  <c r="R39" i="95"/>
  <c r="R38" i="95"/>
  <c r="R23" i="95"/>
  <c r="R18" i="95"/>
  <c r="R74" i="95"/>
  <c r="R50" i="95"/>
  <c r="R49" i="95"/>
  <c r="R33" i="95"/>
  <c r="R22" i="95"/>
  <c r="R20" i="95"/>
  <c r="R41" i="95"/>
  <c r="R40" i="95"/>
  <c r="R28" i="95"/>
  <c r="R24" i="95"/>
  <c r="P20" i="95"/>
  <c r="R52" i="95"/>
  <c r="R51" i="95"/>
  <c r="R75" i="95"/>
  <c r="R61" i="95"/>
  <c r="R43" i="95"/>
  <c r="R42" i="95"/>
  <c r="R34" i="95"/>
  <c r="R87" i="95"/>
  <c r="R70" i="95"/>
  <c r="R58" i="95"/>
  <c r="R53" i="95"/>
  <c r="R29" i="95"/>
  <c r="R25" i="95"/>
  <c r="R72" i="95"/>
  <c r="R54" i="95"/>
  <c r="R44" i="95"/>
  <c r="R59" i="95"/>
  <c r="R55" i="95"/>
  <c r="R30" i="95"/>
  <c r="R26" i="95"/>
  <c r="R35" i="95"/>
  <c r="Z56" i="95"/>
  <c r="R68" i="95"/>
  <c r="Z16" i="98"/>
  <c r="T22" i="98"/>
  <c r="R39" i="94"/>
  <c r="Z41" i="94"/>
  <c r="R45" i="94"/>
  <c r="V74" i="95"/>
  <c r="V62" i="95"/>
  <c r="V78" i="95"/>
  <c r="V76" i="95"/>
  <c r="V70" i="95"/>
  <c r="V58" i="95"/>
  <c r="V82" i="95"/>
  <c r="V71" i="95"/>
  <c r="V67" i="95"/>
  <c r="V73" i="95"/>
  <c r="V61" i="95"/>
  <c r="V60" i="95"/>
  <c r="V47" i="95"/>
  <c r="V39" i="95"/>
  <c r="V31" i="95"/>
  <c r="V27" i="95"/>
  <c r="V23" i="95"/>
  <c r="V50" i="95"/>
  <c r="V38" i="95"/>
  <c r="V22" i="95"/>
  <c r="V20" i="95"/>
  <c r="V18" i="95"/>
  <c r="V69" i="95"/>
  <c r="V57" i="95"/>
  <c r="V49" i="95"/>
  <c r="V41" i="95"/>
  <c r="V33" i="95"/>
  <c r="T20" i="95"/>
  <c r="V52" i="95"/>
  <c r="V40" i="95"/>
  <c r="V28" i="95"/>
  <c r="V24" i="95"/>
  <c r="V75" i="95"/>
  <c r="V66" i="95"/>
  <c r="V63" i="95"/>
  <c r="V51" i="95"/>
  <c r="V43" i="95"/>
  <c r="V42" i="95"/>
  <c r="V34" i="95"/>
  <c r="V54" i="95"/>
  <c r="V53" i="95"/>
  <c r="V29" i="95"/>
  <c r="V25" i="95"/>
  <c r="V72" i="95"/>
  <c r="V44" i="95"/>
  <c r="V16" i="95"/>
  <c r="V64" i="95"/>
  <c r="V59" i="95"/>
  <c r="V35" i="95"/>
  <c r="V68" i="95"/>
  <c r="V65" i="95"/>
  <c r="V56" i="95"/>
  <c r="V45" i="95"/>
  <c r="V37" i="95"/>
  <c r="V17" i="95"/>
  <c r="X37" i="95"/>
  <c r="Z37" i="95" s="1"/>
  <c r="R46" i="95"/>
  <c r="Z54" i="95"/>
  <c r="X56" i="95"/>
  <c r="R73" i="95"/>
  <c r="Z13" i="93"/>
  <c r="L38" i="93"/>
  <c r="N38" i="93" s="1"/>
  <c r="L42" i="93"/>
  <c r="N42" i="93" s="1"/>
  <c r="L46" i="93"/>
  <c r="N46" i="93" s="1"/>
  <c r="V46" i="94"/>
  <c r="V34" i="94"/>
  <c r="V49" i="94"/>
  <c r="V37" i="94"/>
  <c r="V29" i="94"/>
  <c r="V25" i="94"/>
  <c r="V56" i="94"/>
  <c r="V48" i="94"/>
  <c r="V36" i="94"/>
  <c r="V16" i="94"/>
  <c r="V51" i="94"/>
  <c r="V39" i="94"/>
  <c r="V31" i="94"/>
  <c r="V58" i="94"/>
  <c r="V50" i="94"/>
  <c r="V38" i="94"/>
  <c r="V30" i="94"/>
  <c r="V26" i="94"/>
  <c r="V57" i="94"/>
  <c r="V53" i="94"/>
  <c r="V41" i="94"/>
  <c r="V52" i="94"/>
  <c r="V40" i="94"/>
  <c r="V61" i="94"/>
  <c r="V59" i="94"/>
  <c r="V43" i="94"/>
  <c r="V27" i="94"/>
  <c r="V23" i="94"/>
  <c r="V54" i="94"/>
  <c r="V42" i="94"/>
  <c r="V22" i="94"/>
  <c r="V20" i="94"/>
  <c r="V18" i="94"/>
  <c r="V44" i="94"/>
  <c r="V28" i="94"/>
  <c r="V24" i="94"/>
  <c r="Z16" i="94"/>
  <c r="L20" i="94"/>
  <c r="D63" i="94"/>
  <c r="V32" i="94"/>
  <c r="Z39" i="94"/>
  <c r="V47" i="94"/>
  <c r="N58" i="94"/>
  <c r="R16" i="95"/>
  <c r="Z51" i="93"/>
  <c r="Z13" i="94"/>
  <c r="P20" i="94"/>
  <c r="L35" i="94"/>
  <c r="N35" i="94" s="1"/>
  <c r="R38" i="94"/>
  <c r="V45" i="94"/>
  <c r="L58" i="94"/>
  <c r="L14" i="95"/>
  <c r="N14" i="95" s="1"/>
  <c r="N23" i="95"/>
  <c r="V46" i="95"/>
  <c r="Z52" i="95"/>
  <c r="T63" i="94"/>
  <c r="R23" i="94"/>
  <c r="R42" i="94"/>
  <c r="J66" i="95"/>
  <c r="J72" i="95"/>
  <c r="J68" i="95"/>
  <c r="J54" i="95"/>
  <c r="J74" i="95"/>
  <c r="J62" i="95"/>
  <c r="J56" i="95"/>
  <c r="J76" i="95"/>
  <c r="J59" i="95"/>
  <c r="J73" i="95"/>
  <c r="J35" i="95"/>
  <c r="J55" i="95"/>
  <c r="J30" i="95"/>
  <c r="J26" i="95"/>
  <c r="J16" i="95"/>
  <c r="J65" i="95"/>
  <c r="J45" i="95"/>
  <c r="J17" i="95"/>
  <c r="J46" i="95"/>
  <c r="J36" i="95"/>
  <c r="J71" i="95"/>
  <c r="J60" i="95"/>
  <c r="J47" i="95"/>
  <c r="J37" i="95"/>
  <c r="J31" i="95"/>
  <c r="J27" i="95"/>
  <c r="J69" i="95"/>
  <c r="J57" i="95"/>
  <c r="J48" i="95"/>
  <c r="J38" i="95"/>
  <c r="J32" i="95"/>
  <c r="J18" i="95"/>
  <c r="J49" i="95"/>
  <c r="J39" i="95"/>
  <c r="J33" i="95"/>
  <c r="J23" i="95"/>
  <c r="J82" i="95"/>
  <c r="J78" i="95"/>
  <c r="J63" i="95"/>
  <c r="J50" i="95"/>
  <c r="J40" i="95"/>
  <c r="J28" i="95"/>
  <c r="J24" i="95"/>
  <c r="J22" i="95"/>
  <c r="J51" i="95"/>
  <c r="J41" i="95"/>
  <c r="H20" i="95"/>
  <c r="J70" i="95"/>
  <c r="J58" i="95"/>
  <c r="J53" i="95"/>
  <c r="J43" i="95"/>
  <c r="J29" i="95"/>
  <c r="J25" i="95"/>
  <c r="Z53" i="94"/>
  <c r="Z58" i="94"/>
  <c r="Z23" i="95"/>
  <c r="J34" i="95"/>
  <c r="V36" i="95"/>
  <c r="V55" i="95"/>
  <c r="J67" i="95"/>
  <c r="N54" i="93"/>
  <c r="R65" i="94"/>
  <c r="R55" i="94"/>
  <c r="R47" i="94"/>
  <c r="R46" i="94"/>
  <c r="R35" i="94"/>
  <c r="R34" i="94"/>
  <c r="R29" i="94"/>
  <c r="R25" i="94"/>
  <c r="R56" i="94"/>
  <c r="R49" i="94"/>
  <c r="R48" i="94"/>
  <c r="R37" i="94"/>
  <c r="R36" i="94"/>
  <c r="R16" i="94"/>
  <c r="R51" i="94"/>
  <c r="R50" i="94"/>
  <c r="R58" i="94"/>
  <c r="R57" i="94"/>
  <c r="R53" i="94"/>
  <c r="R52" i="94"/>
  <c r="R41" i="94"/>
  <c r="R40" i="94"/>
  <c r="R32" i="94"/>
  <c r="X12" i="94"/>
  <c r="Z12" i="94" s="1"/>
  <c r="R59" i="94"/>
  <c r="R27" i="94"/>
  <c r="R33" i="94"/>
  <c r="R22" i="94"/>
  <c r="L14" i="94"/>
  <c r="N14" i="94" s="1"/>
  <c r="N22" i="94"/>
  <c r="R44" i="94"/>
  <c r="N41" i="95"/>
  <c r="L43" i="95"/>
  <c r="N43" i="95" s="1"/>
  <c r="R45" i="95"/>
  <c r="N16" i="99"/>
  <c r="H39" i="99"/>
  <c r="L39" i="99" s="1"/>
  <c r="L40" i="99"/>
  <c r="N40" i="99" s="1"/>
  <c r="X22" i="94"/>
  <c r="V35" i="94"/>
  <c r="R54" i="94"/>
  <c r="Z12" i="95"/>
  <c r="J61" i="95"/>
  <c r="F58" i="97"/>
  <c r="R26" i="98"/>
  <c r="R16" i="98"/>
  <c r="R18" i="98"/>
  <c r="P16" i="98"/>
  <c r="R29" i="98"/>
  <c r="R20" i="98"/>
  <c r="R22" i="98"/>
  <c r="X12" i="98"/>
  <c r="Z34" i="99"/>
  <c r="X34" i="99"/>
  <c r="N39" i="100"/>
  <c r="Z73" i="95"/>
  <c r="F36" i="97"/>
  <c r="F38" i="97"/>
  <c r="F66" i="97"/>
  <c r="N19" i="99"/>
  <c r="N34" i="100"/>
  <c r="L34" i="100"/>
  <c r="N32" i="97"/>
  <c r="L47" i="97"/>
  <c r="Z58" i="97"/>
  <c r="R63" i="97"/>
  <c r="R62" i="97"/>
  <c r="R54" i="97"/>
  <c r="R30" i="97"/>
  <c r="R26" i="97"/>
  <c r="R45" i="97"/>
  <c r="R17" i="97"/>
  <c r="R64" i="97"/>
  <c r="R36" i="97"/>
  <c r="X12" i="97"/>
  <c r="R68" i="97"/>
  <c r="R66" i="97"/>
  <c r="R56" i="97"/>
  <c r="R55" i="97"/>
  <c r="R32" i="97"/>
  <c r="R31" i="97"/>
  <c r="R27" i="97"/>
  <c r="R47" i="97"/>
  <c r="R46" i="97"/>
  <c r="R23" i="97"/>
  <c r="R58" i="97"/>
  <c r="R57" i="97"/>
  <c r="R38" i="97"/>
  <c r="R37" i="97"/>
  <c r="R33" i="97"/>
  <c r="R22" i="97"/>
  <c r="R20" i="97"/>
  <c r="R70" i="97"/>
  <c r="R49" i="97"/>
  <c r="R48" i="97"/>
  <c r="R75" i="97"/>
  <c r="R72" i="97"/>
  <c r="R59" i="97"/>
  <c r="R40" i="97"/>
  <c r="R39" i="97"/>
  <c r="R51" i="97"/>
  <c r="R50" i="97"/>
  <c r="R34" i="97"/>
  <c r="R61" i="97"/>
  <c r="R60" i="97"/>
  <c r="R53" i="97"/>
  <c r="R52" i="97"/>
  <c r="R42" i="97"/>
  <c r="R44" i="97"/>
  <c r="N22" i="101"/>
  <c r="L32" i="95"/>
  <c r="N32" i="95" s="1"/>
  <c r="Z38" i="97"/>
  <c r="Z40" i="97"/>
  <c r="P42" i="99"/>
  <c r="X13" i="95"/>
  <c r="N56" i="95"/>
  <c r="F50" i="97"/>
  <c r="F49" i="97"/>
  <c r="F34" i="97"/>
  <c r="D20" i="97"/>
  <c r="F75" i="97"/>
  <c r="F72" i="97"/>
  <c r="F41" i="97"/>
  <c r="F40" i="97"/>
  <c r="F29" i="97"/>
  <c r="F25" i="97"/>
  <c r="F60" i="97"/>
  <c r="F52" i="97"/>
  <c r="F51" i="97"/>
  <c r="F43" i="97"/>
  <c r="F42" i="97"/>
  <c r="F35" i="97"/>
  <c r="F62" i="97"/>
  <c r="F61" i="97"/>
  <c r="F54" i="97"/>
  <c r="F53" i="97"/>
  <c r="F30" i="97"/>
  <c r="F26" i="97"/>
  <c r="F45" i="97"/>
  <c r="F44" i="97"/>
  <c r="F17" i="97"/>
  <c r="F16" i="97"/>
  <c r="F64" i="97"/>
  <c r="F63" i="97"/>
  <c r="F55" i="97"/>
  <c r="F31" i="97"/>
  <c r="F27" i="97"/>
  <c r="F46" i="97"/>
  <c r="F18" i="97"/>
  <c r="F70" i="97"/>
  <c r="F48" i="97"/>
  <c r="F47" i="97"/>
  <c r="F28" i="97"/>
  <c r="F24" i="97"/>
  <c r="F23" i="97"/>
  <c r="Z14" i="97"/>
  <c r="X14" i="97"/>
  <c r="R28" i="97"/>
  <c r="F37" i="97"/>
  <c r="L49" i="97"/>
  <c r="N49" i="97" s="1"/>
  <c r="R24" i="98"/>
  <c r="Z19" i="99"/>
  <c r="V56" i="101"/>
  <c r="V48" i="101"/>
  <c r="V36" i="101"/>
  <c r="V32" i="101"/>
  <c r="V55" i="101"/>
  <c r="V47" i="101"/>
  <c r="V31" i="101"/>
  <c r="V27" i="101"/>
  <c r="V23" i="101"/>
  <c r="V38" i="101"/>
  <c r="V22" i="101"/>
  <c r="V18" i="101"/>
  <c r="V49" i="101"/>
  <c r="V37" i="101"/>
  <c r="V33" i="101"/>
  <c r="T20" i="101"/>
  <c r="V40" i="101"/>
  <c r="V28" i="101"/>
  <c r="V24" i="101"/>
  <c r="V51" i="101"/>
  <c r="V39" i="101"/>
  <c r="V50" i="101"/>
  <c r="V42" i="101"/>
  <c r="V34" i="101"/>
  <c r="V57" i="101"/>
  <c r="V41" i="101"/>
  <c r="V29" i="101"/>
  <c r="V25" i="101"/>
  <c r="V52" i="101"/>
  <c r="V44" i="101"/>
  <c r="V16" i="101"/>
  <c r="V54" i="101"/>
  <c r="V46" i="101"/>
  <c r="V30" i="101"/>
  <c r="V26" i="101"/>
  <c r="V45" i="101"/>
  <c r="V60" i="101"/>
  <c r="V35" i="101"/>
  <c r="V53" i="101"/>
  <c r="V17" i="101"/>
  <c r="Z13" i="95"/>
  <c r="F39" i="97"/>
  <c r="N13" i="94"/>
  <c r="L13" i="97"/>
  <c r="N13" i="97" s="1"/>
  <c r="N16" i="97"/>
  <c r="R18" i="97"/>
  <c r="R24" i="97"/>
  <c r="R41" i="97"/>
  <c r="Z53" i="97"/>
  <c r="X61" i="97"/>
  <c r="X63" i="97"/>
  <c r="Z63" i="97" s="1"/>
  <c r="F68" i="97"/>
  <c r="X65" i="95"/>
  <c r="Z65" i="95" s="1"/>
  <c r="X13" i="97"/>
  <c r="L23" i="97"/>
  <c r="N23" i="97" s="1"/>
  <c r="F56" i="97"/>
  <c r="Z61" i="97"/>
  <c r="H20" i="97"/>
  <c r="J39" i="97"/>
  <c r="J49" i="97"/>
  <c r="J59" i="97"/>
  <c r="N12" i="98"/>
  <c r="V16" i="98"/>
  <c r="V26" i="98"/>
  <c r="F14" i="99"/>
  <c r="V19" i="99"/>
  <c r="R34" i="99"/>
  <c r="V44" i="100"/>
  <c r="V30" i="100"/>
  <c r="V29" i="100"/>
  <c r="V32" i="100"/>
  <c r="V16" i="100"/>
  <c r="V31" i="100"/>
  <c r="V34" i="100"/>
  <c r="V22" i="100"/>
  <c r="V33" i="100"/>
  <c r="V36" i="100"/>
  <c r="V24" i="100"/>
  <c r="V35" i="100"/>
  <c r="V40" i="100"/>
  <c r="V26" i="100"/>
  <c r="V28" i="100"/>
  <c r="V27" i="100"/>
  <c r="R59" i="101"/>
  <c r="J23" i="97"/>
  <c r="J33" i="97"/>
  <c r="J37" i="97"/>
  <c r="J47" i="97"/>
  <c r="J57" i="97"/>
  <c r="J22" i="98"/>
  <c r="V24" i="98"/>
  <c r="T16" i="99"/>
  <c r="F25" i="99"/>
  <c r="V26" i="99"/>
  <c r="F28" i="99"/>
  <c r="V30" i="99"/>
  <c r="V33" i="99"/>
  <c r="V42" i="99"/>
  <c r="N22" i="100"/>
  <c r="N32" i="101"/>
  <c r="J59" i="105"/>
  <c r="J51" i="105"/>
  <c r="J64" i="105"/>
  <c r="J60" i="105"/>
  <c r="J52" i="105"/>
  <c r="J65" i="105"/>
  <c r="J53" i="105"/>
  <c r="J41" i="105"/>
  <c r="J31" i="105"/>
  <c r="J66" i="105"/>
  <c r="J54" i="105"/>
  <c r="J42" i="105"/>
  <c r="J67" i="105"/>
  <c r="J61" i="105"/>
  <c r="J55" i="105"/>
  <c r="J68" i="105"/>
  <c r="J56" i="105"/>
  <c r="J44" i="105"/>
  <c r="J32" i="105"/>
  <c r="J28" i="105"/>
  <c r="J69" i="105"/>
  <c r="J45" i="105"/>
  <c r="J70" i="105"/>
  <c r="J62" i="105"/>
  <c r="J46" i="105"/>
  <c r="J38" i="105"/>
  <c r="J24" i="105"/>
  <c r="J57" i="105"/>
  <c r="J47" i="105"/>
  <c r="J33" i="105"/>
  <c r="J29" i="105"/>
  <c r="J25" i="105"/>
  <c r="J72" i="105"/>
  <c r="J48" i="105"/>
  <c r="J34" i="105"/>
  <c r="J63" i="105"/>
  <c r="J49" i="105"/>
  <c r="J39" i="105"/>
  <c r="J35" i="105"/>
  <c r="J27" i="105"/>
  <c r="J18" i="105"/>
  <c r="J36" i="105"/>
  <c r="J30" i="105"/>
  <c r="J40" i="105"/>
  <c r="J19" i="105"/>
  <c r="J58" i="105"/>
  <c r="J26" i="105"/>
  <c r="J21" i="105"/>
  <c r="J76" i="105"/>
  <c r="J43" i="105"/>
  <c r="J23" i="105"/>
  <c r="H21" i="105"/>
  <c r="J50" i="105"/>
  <c r="J37" i="105"/>
  <c r="J17" i="105"/>
  <c r="J18" i="97"/>
  <c r="J32" i="97"/>
  <c r="J46" i="97"/>
  <c r="J56" i="97"/>
  <c r="J66" i="97"/>
  <c r="D16" i="98"/>
  <c r="F24" i="99"/>
  <c r="F20" i="99"/>
  <c r="F19" i="99"/>
  <c r="F37" i="99"/>
  <c r="F36" i="99"/>
  <c r="F42" i="99"/>
  <c r="F40" i="99"/>
  <c r="F27" i="99"/>
  <c r="F23" i="99"/>
  <c r="V16" i="99"/>
  <c r="N28" i="99"/>
  <c r="V29" i="99"/>
  <c r="F44" i="99"/>
  <c r="V46" i="99"/>
  <c r="V19" i="100"/>
  <c r="L22" i="100"/>
  <c r="N24" i="100"/>
  <c r="N32" i="100"/>
  <c r="N28" i="102"/>
  <c r="L14" i="104"/>
  <c r="D16" i="104"/>
  <c r="J55" i="97"/>
  <c r="F35" i="99"/>
  <c r="F39" i="99"/>
  <c r="L15" i="100"/>
  <c r="N15" i="100" s="1"/>
  <c r="N12" i="97"/>
  <c r="J36" i="97"/>
  <c r="J64" i="97"/>
  <c r="F14" i="98"/>
  <c r="H16" i="98"/>
  <c r="J18" i="98"/>
  <c r="L12" i="99"/>
  <c r="L19" i="99"/>
  <c r="R20" i="99"/>
  <c r="F22" i="99"/>
  <c r="V23" i="99"/>
  <c r="R25" i="99"/>
  <c r="X28" i="99"/>
  <c r="Z28" i="99" s="1"/>
  <c r="R36" i="99"/>
  <c r="R28" i="100"/>
  <c r="R27" i="100"/>
  <c r="R44" i="100"/>
  <c r="R15" i="100"/>
  <c r="R49" i="100"/>
  <c r="R46" i="100"/>
  <c r="R30" i="100"/>
  <c r="R29" i="100"/>
  <c r="R16" i="100"/>
  <c r="R32" i="100"/>
  <c r="R31" i="100"/>
  <c r="R34" i="100"/>
  <c r="R33" i="100"/>
  <c r="R22" i="100"/>
  <c r="R36" i="100"/>
  <c r="R35" i="100"/>
  <c r="R24" i="100"/>
  <c r="R23" i="100"/>
  <c r="P19" i="100"/>
  <c r="R42" i="100"/>
  <c r="R40" i="100"/>
  <c r="R37" i="100"/>
  <c r="R26" i="100"/>
  <c r="R25" i="100"/>
  <c r="J15" i="100"/>
  <c r="Z22" i="100"/>
  <c r="N28" i="100"/>
  <c r="P39" i="100"/>
  <c r="X40" i="100"/>
  <c r="L38" i="101"/>
  <c r="L40" i="101"/>
  <c r="N40" i="101" s="1"/>
  <c r="X44" i="101"/>
  <c r="Z44" i="101" s="1"/>
  <c r="X46" i="101"/>
  <c r="Z46" i="101" s="1"/>
  <c r="X40" i="97"/>
  <c r="J45" i="97"/>
  <c r="J63" i="97"/>
  <c r="L18" i="98"/>
  <c r="V25" i="99"/>
  <c r="F31" i="99"/>
  <c r="Z36" i="99"/>
  <c r="F49" i="99"/>
  <c r="Z40" i="100"/>
  <c r="T39" i="100"/>
  <c r="T42" i="100" s="1"/>
  <c r="N38" i="101"/>
  <c r="J16" i="97"/>
  <c r="J26" i="97"/>
  <c r="J30" i="97"/>
  <c r="J44" i="97"/>
  <c r="J54" i="97"/>
  <c r="J62" i="97"/>
  <c r="R26" i="99"/>
  <c r="R22" i="99"/>
  <c r="R49" i="99"/>
  <c r="R46" i="99"/>
  <c r="R30" i="99"/>
  <c r="R29" i="99"/>
  <c r="R18" i="99"/>
  <c r="R16" i="99"/>
  <c r="R14" i="99"/>
  <c r="R32" i="99"/>
  <c r="R31" i="99"/>
  <c r="F18" i="99"/>
  <c r="F34" i="99"/>
  <c r="R35" i="99"/>
  <c r="V36" i="99"/>
  <c r="P39" i="99"/>
  <c r="X39" i="99" s="1"/>
  <c r="V40" i="99"/>
  <c r="Z12" i="100"/>
  <c r="X24" i="100"/>
  <c r="Z24" i="100" s="1"/>
  <c r="Z28" i="100"/>
  <c r="Z42" i="101"/>
  <c r="D42" i="102"/>
  <c r="J35" i="97"/>
  <c r="J43" i="97"/>
  <c r="J53" i="97"/>
  <c r="J61" i="97"/>
  <c r="V35" i="99"/>
  <c r="V39" i="99"/>
  <c r="V37" i="99"/>
  <c r="V32" i="99"/>
  <c r="V24" i="99"/>
  <c r="V20" i="99"/>
  <c r="V34" i="99"/>
  <c r="N18" i="99"/>
  <c r="V28" i="99"/>
  <c r="F30" i="99"/>
  <c r="J42" i="97"/>
  <c r="J52" i="97"/>
  <c r="J60" i="97"/>
  <c r="X12" i="99"/>
  <c r="D16" i="99"/>
  <c r="F21" i="99"/>
  <c r="V22" i="99"/>
  <c r="N30" i="99"/>
  <c r="V31" i="99"/>
  <c r="Z39" i="99"/>
  <c r="F35" i="100"/>
  <c r="F34" i="100"/>
  <c r="F23" i="100"/>
  <c r="F22" i="100"/>
  <c r="F21" i="100"/>
  <c r="F19" i="100"/>
  <c r="F37" i="100"/>
  <c r="F36" i="100"/>
  <c r="F25" i="100"/>
  <c r="F24" i="100"/>
  <c r="D19" i="100"/>
  <c r="F42" i="100"/>
  <c r="F40" i="100"/>
  <c r="F27" i="100"/>
  <c r="F26" i="100"/>
  <c r="F44" i="100"/>
  <c r="F39" i="100"/>
  <c r="F29" i="100"/>
  <c r="F28" i="100"/>
  <c r="F49" i="100"/>
  <c r="F46" i="100"/>
  <c r="F31" i="100"/>
  <c r="F30" i="100"/>
  <c r="F33" i="100"/>
  <c r="F32" i="100"/>
  <c r="F17" i="100"/>
  <c r="H12" i="101"/>
  <c r="N13" i="101"/>
  <c r="Z16" i="101"/>
  <c r="Z54" i="101"/>
  <c r="J25" i="97"/>
  <c r="J29" i="97"/>
  <c r="J41" i="97"/>
  <c r="J24" i="98"/>
  <c r="J29" i="98"/>
  <c r="J26" i="98"/>
  <c r="V20" i="98"/>
  <c r="F24" i="98"/>
  <c r="V29" i="98"/>
  <c r="Z12" i="99"/>
  <c r="F16" i="99"/>
  <c r="F26" i="99"/>
  <c r="V27" i="99"/>
  <c r="F46" i="99"/>
  <c r="Z21" i="100"/>
  <c r="R62" i="101"/>
  <c r="R60" i="101"/>
  <c r="R57" i="101"/>
  <c r="R64" i="101"/>
  <c r="R69" i="101"/>
  <c r="R54" i="101"/>
  <c r="R53" i="101"/>
  <c r="R46" i="101"/>
  <c r="R45" i="101"/>
  <c r="R17" i="101"/>
  <c r="R36" i="101"/>
  <c r="X12" i="101"/>
  <c r="Z12" i="101" s="1"/>
  <c r="R66" i="101"/>
  <c r="R55" i="101"/>
  <c r="R48" i="101"/>
  <c r="R47" i="101"/>
  <c r="R32" i="101"/>
  <c r="R31" i="101"/>
  <c r="R27" i="101"/>
  <c r="R56" i="101"/>
  <c r="R23" i="101"/>
  <c r="R18" i="101"/>
  <c r="R49" i="101"/>
  <c r="R38" i="101"/>
  <c r="R37" i="101"/>
  <c r="R33" i="101"/>
  <c r="R22" i="101"/>
  <c r="R20" i="101"/>
  <c r="R28" i="101"/>
  <c r="R24" i="101"/>
  <c r="P20" i="101"/>
  <c r="R40" i="101"/>
  <c r="R39" i="101"/>
  <c r="R51" i="101"/>
  <c r="R50" i="101"/>
  <c r="R34" i="101"/>
  <c r="R42" i="101"/>
  <c r="R41" i="101"/>
  <c r="R29" i="101"/>
  <c r="R25" i="101"/>
  <c r="R44" i="101"/>
  <c r="R43" i="101"/>
  <c r="R35" i="101"/>
  <c r="R16" i="101"/>
  <c r="L22" i="101"/>
  <c r="R52" i="101"/>
  <c r="N14" i="99"/>
  <c r="J28" i="99"/>
  <c r="J44" i="99"/>
  <c r="N12" i="100"/>
  <c r="J22" i="100"/>
  <c r="J34" i="100"/>
  <c r="F20" i="101"/>
  <c r="F22" i="101"/>
  <c r="F38" i="101"/>
  <c r="F39" i="101"/>
  <c r="F57" i="101"/>
  <c r="F69" i="101"/>
  <c r="H16" i="102"/>
  <c r="N41" i="103"/>
  <c r="J40" i="99"/>
  <c r="J42" i="99"/>
  <c r="J32" i="100"/>
  <c r="F32" i="101"/>
  <c r="F33" i="101"/>
  <c r="F37" i="101"/>
  <c r="F48" i="101"/>
  <c r="F49" i="101"/>
  <c r="F56" i="101"/>
  <c r="F62" i="101"/>
  <c r="F24" i="102"/>
  <c r="L28" i="102"/>
  <c r="F33" i="102"/>
  <c r="N35" i="102"/>
  <c r="L35" i="102"/>
  <c r="N17" i="103"/>
  <c r="N24" i="103"/>
  <c r="Z51" i="103"/>
  <c r="X51" i="103"/>
  <c r="F18" i="101"/>
  <c r="N56" i="101"/>
  <c r="P42" i="102"/>
  <c r="X16" i="102"/>
  <c r="F37" i="102"/>
  <c r="J69" i="103"/>
  <c r="J61" i="103"/>
  <c r="J47" i="103"/>
  <c r="J33" i="103"/>
  <c r="J29" i="103"/>
  <c r="J25" i="103"/>
  <c r="J23" i="103"/>
  <c r="J56" i="103"/>
  <c r="J48" i="103"/>
  <c r="J34" i="103"/>
  <c r="H21" i="103"/>
  <c r="J21" i="103" s="1"/>
  <c r="J71" i="103"/>
  <c r="J57" i="103"/>
  <c r="J49" i="103"/>
  <c r="J39" i="103"/>
  <c r="J35" i="103"/>
  <c r="J62" i="103"/>
  <c r="J58" i="103"/>
  <c r="J50" i="103"/>
  <c r="J30" i="103"/>
  <c r="J26" i="103"/>
  <c r="J75" i="103"/>
  <c r="J51" i="103"/>
  <c r="J52" i="103"/>
  <c r="J40" i="103"/>
  <c r="J36" i="103"/>
  <c r="J63" i="103"/>
  <c r="J59" i="103"/>
  <c r="J53" i="103"/>
  <c r="J41" i="103"/>
  <c r="J31" i="103"/>
  <c r="J27" i="103"/>
  <c r="J17" i="103"/>
  <c r="J64" i="103"/>
  <c r="J54" i="103"/>
  <c r="J42" i="103"/>
  <c r="J65" i="103"/>
  <c r="J43" i="103"/>
  <c r="J37" i="103"/>
  <c r="J66" i="103"/>
  <c r="J60" i="103"/>
  <c r="J44" i="103"/>
  <c r="J32" i="103"/>
  <c r="J28" i="103"/>
  <c r="J67" i="103"/>
  <c r="J55" i="103"/>
  <c r="J45" i="103"/>
  <c r="J19" i="103"/>
  <c r="J24" i="103"/>
  <c r="J30" i="100"/>
  <c r="D39" i="100"/>
  <c r="L39" i="100" s="1"/>
  <c r="F27" i="101"/>
  <c r="F31" i="101"/>
  <c r="F46" i="101"/>
  <c r="F47" i="101"/>
  <c r="F54" i="101"/>
  <c r="F55" i="101"/>
  <c r="D59" i="101"/>
  <c r="L59" i="101" s="1"/>
  <c r="L60" i="101"/>
  <c r="N60" i="101" s="1"/>
  <c r="F66" i="101"/>
  <c r="F19" i="102"/>
  <c r="F36" i="101"/>
  <c r="F60" i="101"/>
  <c r="N19" i="102"/>
  <c r="L40" i="102"/>
  <c r="Z17" i="103"/>
  <c r="Z49" i="103"/>
  <c r="N13" i="105"/>
  <c r="X21" i="100"/>
  <c r="J28" i="100"/>
  <c r="J44" i="100"/>
  <c r="X13" i="101"/>
  <c r="Z13" i="101" s="1"/>
  <c r="F16" i="101"/>
  <c r="F17" i="101"/>
  <c r="F44" i="101"/>
  <c r="F45" i="101"/>
  <c r="F53" i="101"/>
  <c r="F59" i="101"/>
  <c r="T73" i="103"/>
  <c r="V73" i="103" s="1"/>
  <c r="P12" i="105"/>
  <c r="X13" i="105"/>
  <c r="J33" i="99"/>
  <c r="J27" i="100"/>
  <c r="J39" i="100"/>
  <c r="F26" i="101"/>
  <c r="F30" i="101"/>
  <c r="H59" i="101"/>
  <c r="N18" i="102"/>
  <c r="F21" i="102"/>
  <c r="L30" i="102"/>
  <c r="N30" i="102" s="1"/>
  <c r="D12" i="103"/>
  <c r="L13" i="103"/>
  <c r="N45" i="103"/>
  <c r="L45" i="103"/>
  <c r="Z47" i="103"/>
  <c r="Z13" i="105"/>
  <c r="D54" i="109"/>
  <c r="F50" i="109"/>
  <c r="L13" i="100"/>
  <c r="N13" i="100" s="1"/>
  <c r="J26" i="100"/>
  <c r="J40" i="100"/>
  <c r="F35" i="101"/>
  <c r="F42" i="101"/>
  <c r="F43" i="101"/>
  <c r="F36" i="102"/>
  <c r="F35" i="102"/>
  <c r="F27" i="102"/>
  <c r="F23" i="102"/>
  <c r="F29" i="102"/>
  <c r="F28" i="102"/>
  <c r="F42" i="102"/>
  <c r="F40" i="102"/>
  <c r="F31" i="102"/>
  <c r="F30" i="102"/>
  <c r="F18" i="102"/>
  <c r="F16" i="102"/>
  <c r="F14" i="102"/>
  <c r="F44" i="102"/>
  <c r="F49" i="102"/>
  <c r="F46" i="102"/>
  <c r="F34" i="102"/>
  <c r="F26" i="102"/>
  <c r="F22" i="102"/>
  <c r="N13" i="103"/>
  <c r="J18" i="103"/>
  <c r="J38" i="103"/>
  <c r="J25" i="100"/>
  <c r="J37" i="100"/>
  <c r="F51" i="101"/>
  <c r="F52" i="101"/>
  <c r="F64" i="101"/>
  <c r="F25" i="102"/>
  <c r="P12" i="103"/>
  <c r="X13" i="103"/>
  <c r="Z13" i="103" s="1"/>
  <c r="N53" i="103"/>
  <c r="X26" i="104"/>
  <c r="Z26" i="104" s="1"/>
  <c r="L17" i="105"/>
  <c r="H19" i="100"/>
  <c r="J24" i="100"/>
  <c r="F25" i="101"/>
  <c r="F29" i="101"/>
  <c r="F40" i="101"/>
  <c r="Z60" i="101"/>
  <c r="T59" i="101"/>
  <c r="F38" i="102"/>
  <c r="X23" i="103"/>
  <c r="Z23" i="103" s="1"/>
  <c r="N17" i="105"/>
  <c r="T16" i="102"/>
  <c r="R19" i="102"/>
  <c r="V29" i="102"/>
  <c r="J35" i="102"/>
  <c r="R38" i="102"/>
  <c r="V35" i="103"/>
  <c r="V39" i="103"/>
  <c r="V51" i="103"/>
  <c r="F14" i="104"/>
  <c r="F16" i="104"/>
  <c r="F18" i="104"/>
  <c r="R23" i="104"/>
  <c r="R24" i="104"/>
  <c r="V26" i="104"/>
  <c r="F33" i="104"/>
  <c r="L12" i="105"/>
  <c r="N12" i="105" s="1"/>
  <c r="V25" i="105"/>
  <c r="F31" i="105"/>
  <c r="V34" i="105"/>
  <c r="V54" i="105"/>
  <c r="N56" i="107"/>
  <c r="V14" i="102"/>
  <c r="V16" i="102"/>
  <c r="V18" i="102"/>
  <c r="R23" i="102"/>
  <c r="R27" i="102"/>
  <c r="R28" i="102"/>
  <c r="V30" i="102"/>
  <c r="J34" i="102"/>
  <c r="V38" i="102"/>
  <c r="V40" i="102"/>
  <c r="V42" i="102"/>
  <c r="V48" i="103"/>
  <c r="V56" i="103"/>
  <c r="H16" i="104"/>
  <c r="F19" i="104"/>
  <c r="F20" i="104"/>
  <c r="V23" i="104"/>
  <c r="F29" i="104"/>
  <c r="F31" i="104"/>
  <c r="J33" i="104"/>
  <c r="D21" i="105"/>
  <c r="F23" i="105"/>
  <c r="N24" i="105"/>
  <c r="F39" i="105"/>
  <c r="F41" i="105"/>
  <c r="X12" i="102"/>
  <c r="V19" i="102"/>
  <c r="V23" i="102"/>
  <c r="V27" i="102"/>
  <c r="R36" i="102"/>
  <c r="R37" i="102"/>
  <c r="V25" i="103"/>
  <c r="V29" i="103"/>
  <c r="V33" i="103"/>
  <c r="V49" i="103"/>
  <c r="V57" i="103"/>
  <c r="V61" i="103"/>
  <c r="V69" i="103"/>
  <c r="V71" i="103"/>
  <c r="J14" i="104"/>
  <c r="J16" i="104"/>
  <c r="J18" i="104"/>
  <c r="J20" i="104"/>
  <c r="R21" i="104"/>
  <c r="R22" i="104"/>
  <c r="V24" i="104"/>
  <c r="F21" i="105"/>
  <c r="N41" i="105"/>
  <c r="Z47" i="105"/>
  <c r="Z69" i="105"/>
  <c r="F74" i="105"/>
  <c r="X63" i="107"/>
  <c r="Z63" i="107" s="1"/>
  <c r="L17" i="109"/>
  <c r="V46" i="103"/>
  <c r="V21" i="104"/>
  <c r="V69" i="105"/>
  <c r="V61" i="105"/>
  <c r="V45" i="105"/>
  <c r="V37" i="105"/>
  <c r="V68" i="105"/>
  <c r="V56" i="105"/>
  <c r="V47" i="105"/>
  <c r="V72" i="105"/>
  <c r="V70" i="105"/>
  <c r="V62" i="105"/>
  <c r="V46" i="105"/>
  <c r="V57" i="105"/>
  <c r="V49" i="105"/>
  <c r="V48" i="105"/>
  <c r="V63" i="105"/>
  <c r="V59" i="105"/>
  <c r="V51" i="105"/>
  <c r="V39" i="105"/>
  <c r="V35" i="105"/>
  <c r="V76" i="105"/>
  <c r="V58" i="105"/>
  <c r="V50" i="105"/>
  <c r="V30" i="105"/>
  <c r="V26" i="105"/>
  <c r="V65" i="105"/>
  <c r="V53" i="105"/>
  <c r="V41" i="105"/>
  <c r="V64" i="105"/>
  <c r="V60" i="105"/>
  <c r="V52" i="105"/>
  <c r="V40" i="105"/>
  <c r="V36" i="105"/>
  <c r="V67" i="105"/>
  <c r="V55" i="105"/>
  <c r="V43" i="105"/>
  <c r="V31" i="105"/>
  <c r="V27" i="105"/>
  <c r="V29" i="105"/>
  <c r="F35" i="105"/>
  <c r="F63" i="105"/>
  <c r="D12" i="107"/>
  <c r="L13" i="107"/>
  <c r="N13" i="107" s="1"/>
  <c r="N15" i="109"/>
  <c r="H17" i="109"/>
  <c r="L47" i="109"/>
  <c r="F47" i="109"/>
  <c r="R26" i="102"/>
  <c r="J33" i="102"/>
  <c r="R34" i="102"/>
  <c r="R35" i="102"/>
  <c r="V37" i="102"/>
  <c r="V19" i="103"/>
  <c r="V21" i="103"/>
  <c r="V23" i="103"/>
  <c r="V47" i="103"/>
  <c r="V55" i="103"/>
  <c r="V67" i="103"/>
  <c r="V22" i="104"/>
  <c r="F26" i="104"/>
  <c r="F27" i="104"/>
  <c r="R33" i="104"/>
  <c r="F26" i="105"/>
  <c r="V33" i="105"/>
  <c r="J68" i="107"/>
  <c r="J60" i="107"/>
  <c r="J57" i="107"/>
  <c r="J49" i="107"/>
  <c r="J29" i="107"/>
  <c r="J25" i="107"/>
  <c r="J62" i="107"/>
  <c r="J50" i="107"/>
  <c r="J51" i="107"/>
  <c r="J39" i="107"/>
  <c r="J35" i="107"/>
  <c r="J58" i="107"/>
  <c r="J52" i="107"/>
  <c r="J40" i="107"/>
  <c r="J30" i="107"/>
  <c r="J26" i="107"/>
  <c r="J16" i="107"/>
  <c r="J63" i="107"/>
  <c r="J53" i="107"/>
  <c r="J41" i="107"/>
  <c r="J17" i="107"/>
  <c r="J42" i="107"/>
  <c r="J36" i="107"/>
  <c r="J64" i="107"/>
  <c r="J59" i="107"/>
  <c r="J43" i="107"/>
  <c r="J31" i="107"/>
  <c r="J27" i="107"/>
  <c r="J54" i="107"/>
  <c r="J44" i="107"/>
  <c r="J18" i="107"/>
  <c r="J72" i="107"/>
  <c r="J65" i="107"/>
  <c r="J45" i="107"/>
  <c r="J37" i="107"/>
  <c r="J23" i="107"/>
  <c r="J66" i="107"/>
  <c r="J46" i="107"/>
  <c r="J32" i="107"/>
  <c r="J28" i="107"/>
  <c r="J24" i="107"/>
  <c r="J22" i="107"/>
  <c r="J55" i="107"/>
  <c r="J47" i="107"/>
  <c r="J33" i="107"/>
  <c r="H20" i="107"/>
  <c r="J20" i="107" s="1"/>
  <c r="J48" i="107"/>
  <c r="V22" i="102"/>
  <c r="V26" i="102"/>
  <c r="J32" i="102"/>
  <c r="V34" i="102"/>
  <c r="J44" i="102"/>
  <c r="V24" i="103"/>
  <c r="V28" i="103"/>
  <c r="V32" i="103"/>
  <c r="V44" i="103"/>
  <c r="V60" i="103"/>
  <c r="V68" i="103"/>
  <c r="L12" i="104"/>
  <c r="P16" i="104"/>
  <c r="R20" i="104"/>
  <c r="X22" i="104"/>
  <c r="Z22" i="104" s="1"/>
  <c r="J27" i="104"/>
  <c r="V33" i="104"/>
  <c r="V35" i="104"/>
  <c r="V38" i="104"/>
  <c r="F28" i="105"/>
  <c r="X43" i="105"/>
  <c r="X45" i="105"/>
  <c r="Z45" i="105" s="1"/>
  <c r="Z67" i="105"/>
  <c r="J38" i="107"/>
  <c r="V43" i="109"/>
  <c r="V19" i="109"/>
  <c r="V17" i="109"/>
  <c r="V15" i="109"/>
  <c r="V48" i="109"/>
  <c r="V34" i="109"/>
  <c r="V30" i="109"/>
  <c r="T17" i="109"/>
  <c r="V47" i="109"/>
  <c r="V45" i="109"/>
  <c r="V29" i="109"/>
  <c r="V25" i="109"/>
  <c r="V21" i="109"/>
  <c r="V36" i="109"/>
  <c r="V35" i="109"/>
  <c r="V31" i="109"/>
  <c r="V52" i="109"/>
  <c r="V38" i="109"/>
  <c r="V26" i="109"/>
  <c r="V22" i="109"/>
  <c r="V37" i="109"/>
  <c r="V40" i="109"/>
  <c r="V32" i="109"/>
  <c r="V39" i="109"/>
  <c r="V27" i="109"/>
  <c r="V23" i="109"/>
  <c r="V41" i="109"/>
  <c r="V28" i="109"/>
  <c r="V24" i="109"/>
  <c r="V20" i="109"/>
  <c r="V42" i="109"/>
  <c r="V44" i="109"/>
  <c r="V33" i="109"/>
  <c r="V45" i="103"/>
  <c r="V65" i="103"/>
  <c r="V20" i="104"/>
  <c r="F24" i="104"/>
  <c r="F25" i="104"/>
  <c r="V17" i="105"/>
  <c r="V24" i="105"/>
  <c r="Z43" i="105"/>
  <c r="V64" i="107"/>
  <c r="V53" i="107"/>
  <c r="V41" i="107"/>
  <c r="V17" i="107"/>
  <c r="V44" i="107"/>
  <c r="V36" i="107"/>
  <c r="Z12" i="107"/>
  <c r="V65" i="107"/>
  <c r="V59" i="107"/>
  <c r="V43" i="107"/>
  <c r="V31" i="107"/>
  <c r="V27" i="107"/>
  <c r="V23" i="107"/>
  <c r="V54" i="107"/>
  <c r="V46" i="107"/>
  <c r="V22" i="107"/>
  <c r="V18" i="107"/>
  <c r="V45" i="107"/>
  <c r="V37" i="107"/>
  <c r="V33" i="107"/>
  <c r="T20" i="107"/>
  <c r="V20" i="107" s="1"/>
  <c r="V72" i="107"/>
  <c r="V66" i="107"/>
  <c r="V56" i="107"/>
  <c r="V48" i="107"/>
  <c r="V32" i="107"/>
  <c r="V28" i="107"/>
  <c r="V24" i="107"/>
  <c r="V61" i="107"/>
  <c r="V60" i="107"/>
  <c r="V55" i="107"/>
  <c r="V47" i="107"/>
  <c r="V68" i="107"/>
  <c r="V50" i="107"/>
  <c r="V38" i="107"/>
  <c r="V34" i="107"/>
  <c r="V57" i="107"/>
  <c r="V49" i="107"/>
  <c r="V29" i="107"/>
  <c r="V25" i="107"/>
  <c r="V52" i="107"/>
  <c r="V40" i="107"/>
  <c r="V16" i="107"/>
  <c r="V63" i="107"/>
  <c r="V62" i="107"/>
  <c r="V51" i="107"/>
  <c r="V39" i="107"/>
  <c r="V35" i="107"/>
  <c r="V30" i="107"/>
  <c r="R25" i="102"/>
  <c r="R33" i="102"/>
  <c r="J40" i="102"/>
  <c r="J42" i="102"/>
  <c r="R46" i="102"/>
  <c r="R49" i="102"/>
  <c r="V18" i="103"/>
  <c r="V42" i="103"/>
  <c r="V54" i="103"/>
  <c r="V66" i="103"/>
  <c r="T16" i="104"/>
  <c r="R19" i="104"/>
  <c r="J25" i="104"/>
  <c r="R29" i="104"/>
  <c r="R31" i="104"/>
  <c r="F30" i="105"/>
  <c r="F32" i="105"/>
  <c r="F42" i="105"/>
  <c r="N51" i="105"/>
  <c r="Z55" i="105"/>
  <c r="N22" i="107"/>
  <c r="V42" i="107"/>
  <c r="V59" i="103"/>
  <c r="V63" i="103"/>
  <c r="V14" i="104"/>
  <c r="V16" i="104"/>
  <c r="V18" i="104"/>
  <c r="F22" i="104"/>
  <c r="F23" i="104"/>
  <c r="T21" i="105"/>
  <c r="V23" i="105"/>
  <c r="J28" i="102"/>
  <c r="R31" i="102"/>
  <c r="R32" i="102"/>
  <c r="J38" i="102"/>
  <c r="V44" i="102"/>
  <c r="V46" i="102"/>
  <c r="V49" i="102"/>
  <c r="V36" i="103"/>
  <c r="V40" i="103"/>
  <c r="V52" i="103"/>
  <c r="V64" i="103"/>
  <c r="V19" i="104"/>
  <c r="V27" i="104"/>
  <c r="V29" i="104"/>
  <c r="V31" i="104"/>
  <c r="F35" i="104"/>
  <c r="F38" i="104"/>
  <c r="F18" i="105"/>
  <c r="F27" i="105"/>
  <c r="V28" i="105"/>
  <c r="V38" i="105"/>
  <c r="V44" i="105"/>
  <c r="N49" i="105"/>
  <c r="V66" i="105"/>
  <c r="V17" i="103"/>
  <c r="V41" i="103"/>
  <c r="V53" i="103"/>
  <c r="V75" i="103"/>
  <c r="F76" i="105"/>
  <c r="F58" i="105"/>
  <c r="F50" i="105"/>
  <c r="F49" i="105"/>
  <c r="F64" i="105"/>
  <c r="F60" i="105"/>
  <c r="F59" i="105"/>
  <c r="F52" i="105"/>
  <c r="F51" i="105"/>
  <c r="F40" i="105"/>
  <c r="F36" i="105"/>
  <c r="F81" i="105"/>
  <c r="F78" i="105"/>
  <c r="F66" i="105"/>
  <c r="F65" i="105"/>
  <c r="F54" i="105"/>
  <c r="F53" i="105"/>
  <c r="F61" i="105"/>
  <c r="F37" i="105"/>
  <c r="F68" i="105"/>
  <c r="F67" i="105"/>
  <c r="F56" i="105"/>
  <c r="F55" i="105"/>
  <c r="F44" i="105"/>
  <c r="F43" i="105"/>
  <c r="F19" i="105"/>
  <c r="F70" i="105"/>
  <c r="F69" i="105"/>
  <c r="F62" i="105"/>
  <c r="F46" i="105"/>
  <c r="F45" i="105"/>
  <c r="F38" i="105"/>
  <c r="F57" i="105"/>
  <c r="F33" i="105"/>
  <c r="F29" i="105"/>
  <c r="F25" i="105"/>
  <c r="F24" i="105"/>
  <c r="F48" i="105"/>
  <c r="F47" i="105"/>
  <c r="F17" i="105"/>
  <c r="V19" i="105"/>
  <c r="V32" i="105"/>
  <c r="X34" i="105"/>
  <c r="Z34" i="105" s="1"/>
  <c r="V42" i="105"/>
  <c r="N59" i="105"/>
  <c r="F25" i="108"/>
  <c r="X32" i="108"/>
  <c r="Z32" i="108" s="1"/>
  <c r="P31" i="108"/>
  <c r="X31" i="108" s="1"/>
  <c r="Z31" i="108" s="1"/>
  <c r="R25" i="107"/>
  <c r="R29" i="107"/>
  <c r="R49" i="107"/>
  <c r="R50" i="107"/>
  <c r="R57" i="107"/>
  <c r="R68" i="107"/>
  <c r="N47" i="109"/>
  <c r="R34" i="107"/>
  <c r="R38" i="107"/>
  <c r="R61" i="107"/>
  <c r="F37" i="108"/>
  <c r="F32" i="108"/>
  <c r="F31" i="108"/>
  <c r="D16" i="108"/>
  <c r="F42" i="108"/>
  <c r="F39" i="108"/>
  <c r="F26" i="108"/>
  <c r="F22" i="108"/>
  <c r="F23" i="108"/>
  <c r="X42" i="109"/>
  <c r="R47" i="107"/>
  <c r="R48" i="107"/>
  <c r="R55" i="107"/>
  <c r="R56" i="107"/>
  <c r="R60" i="107"/>
  <c r="Z16" i="108"/>
  <c r="L19" i="108"/>
  <c r="N19" i="108" s="1"/>
  <c r="F27" i="108"/>
  <c r="L33" i="108"/>
  <c r="N33" i="108" s="1"/>
  <c r="R33" i="109"/>
  <c r="R40" i="109"/>
  <c r="R42" i="109"/>
  <c r="P20" i="107"/>
  <c r="R24" i="107"/>
  <c r="R28" i="107"/>
  <c r="R32" i="107"/>
  <c r="R33" i="107"/>
  <c r="R66" i="107"/>
  <c r="R72" i="107"/>
  <c r="F24" i="108"/>
  <c r="N27" i="108"/>
  <c r="F33" i="108"/>
  <c r="R23" i="109"/>
  <c r="R27" i="109"/>
  <c r="Z42" i="109"/>
  <c r="X13" i="107"/>
  <c r="Z13" i="107" s="1"/>
  <c r="R20" i="107"/>
  <c r="R22" i="107"/>
  <c r="R37" i="107"/>
  <c r="R45" i="107"/>
  <c r="T39" i="108"/>
  <c r="F18" i="108"/>
  <c r="N20" i="109"/>
  <c r="F48" i="109"/>
  <c r="R77" i="107"/>
  <c r="R74" i="107"/>
  <c r="R18" i="107"/>
  <c r="R23" i="107"/>
  <c r="R54" i="107"/>
  <c r="R65" i="107"/>
  <c r="R39" i="109"/>
  <c r="R27" i="107"/>
  <c r="R31" i="107"/>
  <c r="R43" i="107"/>
  <c r="R44" i="107"/>
  <c r="R59" i="107"/>
  <c r="R64" i="107"/>
  <c r="F29" i="108"/>
  <c r="F30" i="109"/>
  <c r="N36" i="109"/>
  <c r="X12" i="107"/>
  <c r="R36" i="107"/>
  <c r="L61" i="107"/>
  <c r="N61" i="107" s="1"/>
  <c r="N30" i="109"/>
  <c r="Z47" i="109"/>
  <c r="X47" i="109"/>
  <c r="R41" i="107"/>
  <c r="R42" i="107"/>
  <c r="R53" i="107"/>
  <c r="R70" i="107"/>
  <c r="Z19" i="108"/>
  <c r="H31" i="108"/>
  <c r="H35" i="108" s="1"/>
  <c r="N32" i="108"/>
  <c r="N19" i="109"/>
  <c r="R26" i="107"/>
  <c r="R30" i="107"/>
  <c r="R58" i="107"/>
  <c r="R63" i="107"/>
  <c r="R28" i="109"/>
  <c r="R24" i="109"/>
  <c r="R44" i="109"/>
  <c r="R43" i="109"/>
  <c r="R20" i="109"/>
  <c r="R34" i="109"/>
  <c r="R19" i="109"/>
  <c r="R15" i="109"/>
  <c r="R48" i="109"/>
  <c r="R45" i="109"/>
  <c r="R30" i="109"/>
  <c r="R29" i="109"/>
  <c r="R25" i="109"/>
  <c r="R21" i="109"/>
  <c r="P17" i="109"/>
  <c r="R17" i="109" s="1"/>
  <c r="R47" i="109"/>
  <c r="R36" i="109"/>
  <c r="R35" i="109"/>
  <c r="R31" i="109"/>
  <c r="R52" i="109"/>
  <c r="R26" i="109"/>
  <c r="R22" i="109"/>
  <c r="R38" i="109"/>
  <c r="R37" i="109"/>
  <c r="R32" i="109"/>
  <c r="X12" i="109"/>
  <c r="Z12" i="109" s="1"/>
  <c r="L15" i="109"/>
  <c r="R37" i="108"/>
  <c r="F15" i="109"/>
  <c r="F17" i="109"/>
  <c r="F19" i="109"/>
  <c r="J31" i="109"/>
  <c r="J35" i="109"/>
  <c r="J47" i="109"/>
  <c r="F29" i="109"/>
  <c r="J30" i="109"/>
  <c r="F44" i="109"/>
  <c r="F45" i="109"/>
  <c r="J48" i="109"/>
  <c r="R29" i="108"/>
  <c r="R32" i="108"/>
  <c r="J15" i="109"/>
  <c r="J17" i="109"/>
  <c r="J19" i="109"/>
  <c r="J21" i="109"/>
  <c r="J25" i="109"/>
  <c r="J29" i="109"/>
  <c r="F34" i="109"/>
  <c r="J45" i="109"/>
  <c r="R19" i="108"/>
  <c r="J27" i="108"/>
  <c r="V29" i="108"/>
  <c r="V31" i="108"/>
  <c r="R33" i="108"/>
  <c r="R35" i="108"/>
  <c r="J20" i="109"/>
  <c r="J34" i="109"/>
  <c r="F42" i="109"/>
  <c r="F43" i="109"/>
  <c r="J44" i="109"/>
  <c r="V14" i="108"/>
  <c r="V16" i="108"/>
  <c r="V18" i="108"/>
  <c r="J22" i="108"/>
  <c r="R23" i="108"/>
  <c r="J26" i="108"/>
  <c r="L27" i="108"/>
  <c r="V32" i="108"/>
  <c r="L20" i="109"/>
  <c r="F24" i="109"/>
  <c r="F28" i="109"/>
  <c r="J43" i="109"/>
  <c r="R28" i="108"/>
  <c r="V33" i="108"/>
  <c r="J24" i="109"/>
  <c r="J28" i="109"/>
  <c r="F33" i="109"/>
  <c r="F40" i="109"/>
  <c r="F41" i="109"/>
  <c r="J42" i="109"/>
  <c r="J33" i="109"/>
  <c r="J41" i="109"/>
  <c r="J21" i="108"/>
  <c r="R22" i="108"/>
  <c r="J25" i="108"/>
  <c r="R26" i="108"/>
  <c r="J39" i="108"/>
  <c r="F23" i="109"/>
  <c r="F27" i="109"/>
  <c r="F38" i="109"/>
  <c r="F39" i="109"/>
  <c r="J40" i="109"/>
  <c r="F54" i="109"/>
  <c r="L12" i="109"/>
  <c r="N12" i="109" s="1"/>
  <c r="T46" i="100" l="1"/>
  <c r="V42" i="100"/>
  <c r="H39" i="108"/>
  <c r="T42" i="99"/>
  <c r="Z16" i="99"/>
  <c r="H80" i="95"/>
  <c r="T26" i="85"/>
  <c r="T31" i="82"/>
  <c r="V90" i="39"/>
  <c r="V86" i="39"/>
  <c r="V78" i="39"/>
  <c r="V66" i="39"/>
  <c r="V58" i="39"/>
  <c r="V50" i="39"/>
  <c r="V46" i="39"/>
  <c r="T33" i="39"/>
  <c r="V92" i="39"/>
  <c r="V80" i="39"/>
  <c r="V68" i="39"/>
  <c r="V60" i="39"/>
  <c r="V117" i="39"/>
  <c r="V111" i="39"/>
  <c r="V103" i="39"/>
  <c r="V91" i="39"/>
  <c r="V87" i="39"/>
  <c r="V79" i="39"/>
  <c r="V67" i="39"/>
  <c r="V59" i="39"/>
  <c r="V51" i="39"/>
  <c r="V47" i="39"/>
  <c r="V116" i="39"/>
  <c r="V110" i="39"/>
  <c r="V102" i="39"/>
  <c r="V98" i="39"/>
  <c r="V94" i="39"/>
  <c r="V70" i="39"/>
  <c r="V42" i="39"/>
  <c r="V38" i="39"/>
  <c r="V115" i="39"/>
  <c r="V105" i="39"/>
  <c r="V93" i="39"/>
  <c r="V81" i="39"/>
  <c r="V69" i="39"/>
  <c r="V61" i="39"/>
  <c r="V29" i="39"/>
  <c r="V121" i="39"/>
  <c r="V107" i="39"/>
  <c r="V99" i="39"/>
  <c r="V95" i="39"/>
  <c r="V106" i="39"/>
  <c r="V82" i="39"/>
  <c r="V74" i="39"/>
  <c r="V62" i="39"/>
  <c r="V54" i="39"/>
  <c r="V89" i="39"/>
  <c r="V73" i="39"/>
  <c r="V53" i="39"/>
  <c r="V49" i="39"/>
  <c r="V108" i="39"/>
  <c r="V100" i="39"/>
  <c r="V96" i="39"/>
  <c r="V84" i="39"/>
  <c r="V71" i="39"/>
  <c r="V109" i="39"/>
  <c r="V56" i="39"/>
  <c r="V44" i="39"/>
  <c r="V37" i="39"/>
  <c r="V35" i="39"/>
  <c r="V114" i="39"/>
  <c r="V101" i="39"/>
  <c r="V83" i="39"/>
  <c r="V72" i="39"/>
  <c r="V39" i="39"/>
  <c r="V31" i="39"/>
  <c r="V41" i="39"/>
  <c r="V85" i="39"/>
  <c r="V65" i="39"/>
  <c r="V63" i="39"/>
  <c r="V36" i="39"/>
  <c r="V43" i="39"/>
  <c r="V112" i="39"/>
  <c r="V77" i="39"/>
  <c r="V75" i="39"/>
  <c r="V52" i="39"/>
  <c r="V45" i="39"/>
  <c r="V104" i="39"/>
  <c r="V64" i="39"/>
  <c r="V57" i="39"/>
  <c r="V55" i="39"/>
  <c r="V48" i="39"/>
  <c r="V30" i="39"/>
  <c r="V97" i="39"/>
  <c r="V40" i="39"/>
  <c r="V76" i="39"/>
  <c r="V88" i="39"/>
  <c r="T42" i="108"/>
  <c r="P70" i="107"/>
  <c r="X20" i="107"/>
  <c r="P35" i="108"/>
  <c r="H42" i="100"/>
  <c r="J19" i="100"/>
  <c r="D42" i="99"/>
  <c r="L16" i="99"/>
  <c r="T62" i="101"/>
  <c r="H42" i="99"/>
  <c r="V45" i="97"/>
  <c r="V17" i="97"/>
  <c r="V66" i="97"/>
  <c r="V64" i="97"/>
  <c r="V56" i="97"/>
  <c r="V36" i="97"/>
  <c r="V32" i="97"/>
  <c r="Z12" i="97"/>
  <c r="V55" i="97"/>
  <c r="V47" i="97"/>
  <c r="V31" i="97"/>
  <c r="V27" i="97"/>
  <c r="V23" i="97"/>
  <c r="V58" i="97"/>
  <c r="V46" i="97"/>
  <c r="V38" i="97"/>
  <c r="V22" i="97"/>
  <c r="V18" i="97"/>
  <c r="V57" i="97"/>
  <c r="V49" i="97"/>
  <c r="V37" i="97"/>
  <c r="V33" i="97"/>
  <c r="V70" i="97"/>
  <c r="V48" i="97"/>
  <c r="V40" i="97"/>
  <c r="V28" i="97"/>
  <c r="V24" i="97"/>
  <c r="V59" i="97"/>
  <c r="V51" i="97"/>
  <c r="V39" i="97"/>
  <c r="V50" i="97"/>
  <c r="V42" i="97"/>
  <c r="V34" i="97"/>
  <c r="V61" i="97"/>
  <c r="V53" i="97"/>
  <c r="V41" i="97"/>
  <c r="V29" i="97"/>
  <c r="V25" i="97"/>
  <c r="V63" i="97"/>
  <c r="V43" i="97"/>
  <c r="V35" i="97"/>
  <c r="V44" i="97"/>
  <c r="V26" i="97"/>
  <c r="V30" i="97"/>
  <c r="T20" i="97"/>
  <c r="V20" i="97" s="1"/>
  <c r="V54" i="97"/>
  <c r="V52" i="97"/>
  <c r="V62" i="97"/>
  <c r="V60" i="97"/>
  <c r="V16" i="97"/>
  <c r="P69" i="92"/>
  <c r="F25" i="82"/>
  <c r="F23" i="82"/>
  <c r="F21" i="82"/>
  <c r="F29" i="82"/>
  <c r="D21" i="82"/>
  <c r="L12" i="82"/>
  <c r="N12" i="82" s="1"/>
  <c r="F18" i="82"/>
  <c r="F17" i="82"/>
  <c r="F19" i="82"/>
  <c r="R56" i="80"/>
  <c r="R55" i="80"/>
  <c r="R40" i="80"/>
  <c r="R39" i="80"/>
  <c r="R32" i="80"/>
  <c r="R31" i="80"/>
  <c r="R27" i="80"/>
  <c r="R58" i="80"/>
  <c r="R57" i="80"/>
  <c r="R42" i="80"/>
  <c r="R41" i="80"/>
  <c r="R33" i="80"/>
  <c r="R22" i="80"/>
  <c r="R20" i="80"/>
  <c r="R63" i="80"/>
  <c r="R61" i="80"/>
  <c r="R34" i="80"/>
  <c r="R53" i="80"/>
  <c r="R46" i="80"/>
  <c r="R45" i="80"/>
  <c r="R29" i="80"/>
  <c r="R25" i="80"/>
  <c r="R65" i="80"/>
  <c r="R48" i="80"/>
  <c r="R47" i="80"/>
  <c r="R36" i="80"/>
  <c r="R35" i="80"/>
  <c r="R70" i="80"/>
  <c r="R67" i="80"/>
  <c r="R37" i="80"/>
  <c r="R17" i="80"/>
  <c r="R43" i="80"/>
  <c r="R38" i="80"/>
  <c r="R30" i="80"/>
  <c r="R28" i="80"/>
  <c r="R51" i="80"/>
  <c r="R23" i="80"/>
  <c r="R44" i="80"/>
  <c r="X12" i="80"/>
  <c r="R54" i="80"/>
  <c r="R49" i="80"/>
  <c r="R26" i="80"/>
  <c r="R18" i="80"/>
  <c r="R52" i="80"/>
  <c r="R24" i="80"/>
  <c r="R16" i="80"/>
  <c r="R50" i="80"/>
  <c r="P20" i="80"/>
  <c r="R59" i="80"/>
  <c r="Z64" i="75"/>
  <c r="R91" i="74"/>
  <c r="R90" i="74"/>
  <c r="R74" i="74"/>
  <c r="R70" i="74"/>
  <c r="R98" i="74"/>
  <c r="R97" i="74"/>
  <c r="R61" i="74"/>
  <c r="R57" i="74"/>
  <c r="R53" i="74"/>
  <c r="R49" i="74"/>
  <c r="R92" i="74"/>
  <c r="R81" i="74"/>
  <c r="R80" i="74"/>
  <c r="X12" i="74"/>
  <c r="R100" i="74"/>
  <c r="R99" i="74"/>
  <c r="R76" i="74"/>
  <c r="R75" i="74"/>
  <c r="R71" i="74"/>
  <c r="R105" i="74"/>
  <c r="R83" i="74"/>
  <c r="R82" i="74"/>
  <c r="R67" i="74"/>
  <c r="R62" i="74"/>
  <c r="R58" i="74"/>
  <c r="R54" i="74"/>
  <c r="R50" i="74"/>
  <c r="R104" i="74"/>
  <c r="R101" i="74"/>
  <c r="R94" i="74"/>
  <c r="R93" i="74"/>
  <c r="R77" i="74"/>
  <c r="R66" i="74"/>
  <c r="R103" i="74"/>
  <c r="R109" i="74"/>
  <c r="R95" i="74"/>
  <c r="R87" i="74"/>
  <c r="R86" i="74"/>
  <c r="R78" i="74"/>
  <c r="R73" i="74"/>
  <c r="R69" i="74"/>
  <c r="R68" i="74"/>
  <c r="R72" i="74"/>
  <c r="R89" i="74"/>
  <c r="R85" i="74"/>
  <c r="R59" i="74"/>
  <c r="R55" i="74"/>
  <c r="R51" i="74"/>
  <c r="P64" i="74"/>
  <c r="R96" i="74"/>
  <c r="R79" i="74"/>
  <c r="R88" i="74"/>
  <c r="R56" i="74"/>
  <c r="R48" i="74"/>
  <c r="R60" i="74"/>
  <c r="R52" i="74"/>
  <c r="R84" i="74"/>
  <c r="N64" i="75"/>
  <c r="L64" i="75"/>
  <c r="F64" i="76"/>
  <c r="F60" i="76"/>
  <c r="F59" i="76"/>
  <c r="D46" i="76"/>
  <c r="F88" i="76"/>
  <c r="F83" i="76"/>
  <c r="F82" i="76"/>
  <c r="F75" i="76"/>
  <c r="F74" i="76"/>
  <c r="F55" i="76"/>
  <c r="F51" i="76"/>
  <c r="F92" i="76"/>
  <c r="F87" i="76"/>
  <c r="F66" i="76"/>
  <c r="F65" i="76"/>
  <c r="F86" i="76"/>
  <c r="F77" i="76"/>
  <c r="F76" i="76"/>
  <c r="F61" i="76"/>
  <c r="F85" i="76"/>
  <c r="F68" i="76"/>
  <c r="F67" i="76"/>
  <c r="F70" i="76"/>
  <c r="F69" i="76"/>
  <c r="F62" i="76"/>
  <c r="F80" i="76"/>
  <c r="F72" i="76"/>
  <c r="F71" i="76"/>
  <c r="F44" i="76"/>
  <c r="F40" i="76"/>
  <c r="F36" i="76"/>
  <c r="F58" i="76"/>
  <c r="F54" i="76"/>
  <c r="F50" i="76"/>
  <c r="F49" i="76"/>
  <c r="F52" i="76"/>
  <c r="F46" i="76"/>
  <c r="F43" i="76"/>
  <c r="F41" i="76"/>
  <c r="F56" i="76"/>
  <c r="F39" i="76"/>
  <c r="F34" i="76"/>
  <c r="F37" i="76"/>
  <c r="L12" i="76"/>
  <c r="F78" i="76"/>
  <c r="F48" i="76"/>
  <c r="F35" i="76"/>
  <c r="F53" i="76"/>
  <c r="F79" i="76"/>
  <c r="F42" i="76"/>
  <c r="F81" i="76"/>
  <c r="F57" i="76"/>
  <c r="F73" i="76"/>
  <c r="F63" i="76"/>
  <c r="F38" i="76"/>
  <c r="J58" i="73"/>
  <c r="J59" i="73"/>
  <c r="J51" i="73"/>
  <c r="J47" i="73"/>
  <c r="J38" i="73"/>
  <c r="J34" i="73"/>
  <c r="J61" i="73"/>
  <c r="J52" i="73"/>
  <c r="J48" i="73"/>
  <c r="J30" i="73"/>
  <c r="J65" i="73"/>
  <c r="J53" i="73"/>
  <c r="J39" i="73"/>
  <c r="J35" i="73"/>
  <c r="J31" i="73"/>
  <c r="J55" i="73"/>
  <c r="J45" i="73"/>
  <c r="J57" i="73"/>
  <c r="J32" i="73"/>
  <c r="J50" i="73"/>
  <c r="J46" i="73"/>
  <c r="J42" i="73"/>
  <c r="H42" i="73"/>
  <c r="J37" i="73"/>
  <c r="J56" i="73"/>
  <c r="J33" i="73"/>
  <c r="J44" i="73"/>
  <c r="J40" i="73"/>
  <c r="J49" i="73"/>
  <c r="J36" i="73"/>
  <c r="J54" i="73"/>
  <c r="D101" i="70"/>
  <c r="T53" i="59"/>
  <c r="Z16" i="59"/>
  <c r="D83" i="68"/>
  <c r="D63" i="56"/>
  <c r="L16" i="56"/>
  <c r="T69" i="58"/>
  <c r="J72" i="45"/>
  <c r="J62" i="45"/>
  <c r="J52" i="45"/>
  <c r="J18" i="45"/>
  <c r="J73" i="45"/>
  <c r="J53" i="45"/>
  <c r="J41" i="45"/>
  <c r="J37" i="45"/>
  <c r="J74" i="45"/>
  <c r="J68" i="45"/>
  <c r="J54" i="45"/>
  <c r="J42" i="45"/>
  <c r="J32" i="45"/>
  <c r="J28" i="45"/>
  <c r="J75" i="45"/>
  <c r="J63" i="45"/>
  <c r="J55" i="45"/>
  <c r="J43" i="45"/>
  <c r="J19" i="45"/>
  <c r="J76" i="45"/>
  <c r="J64" i="45"/>
  <c r="J56" i="45"/>
  <c r="J44" i="45"/>
  <c r="J38" i="45"/>
  <c r="J24" i="45"/>
  <c r="J77" i="45"/>
  <c r="J69" i="45"/>
  <c r="J65" i="45"/>
  <c r="J57" i="45"/>
  <c r="J45" i="45"/>
  <c r="J58" i="45"/>
  <c r="J46" i="45"/>
  <c r="J34" i="45"/>
  <c r="H21" i="45"/>
  <c r="J21" i="45" s="1"/>
  <c r="J79" i="45"/>
  <c r="J59" i="45"/>
  <c r="J70" i="45"/>
  <c r="J66" i="45"/>
  <c r="J60" i="45"/>
  <c r="J48" i="45"/>
  <c r="J30" i="45"/>
  <c r="J26" i="45"/>
  <c r="J50" i="45"/>
  <c r="J40" i="45"/>
  <c r="J36" i="45"/>
  <c r="J33" i="45"/>
  <c r="J67" i="45"/>
  <c r="J39" i="45"/>
  <c r="J51" i="45"/>
  <c r="J49" i="45"/>
  <c r="J47" i="45"/>
  <c r="J17" i="45"/>
  <c r="J25" i="45"/>
  <c r="J23" i="45"/>
  <c r="L12" i="45"/>
  <c r="N12" i="45" s="1"/>
  <c r="J83" i="45"/>
  <c r="J71" i="45"/>
  <c r="J61" i="45"/>
  <c r="J27" i="45"/>
  <c r="J29" i="45"/>
  <c r="J35" i="45"/>
  <c r="J31" i="45"/>
  <c r="N128" i="30"/>
  <c r="P102" i="27"/>
  <c r="X49" i="27"/>
  <c r="V78" i="21"/>
  <c r="V62" i="21"/>
  <c r="V42" i="21"/>
  <c r="V38" i="21"/>
  <c r="V65" i="21"/>
  <c r="V53" i="21"/>
  <c r="V37" i="21"/>
  <c r="V33" i="21"/>
  <c r="V29" i="21"/>
  <c r="V90" i="21"/>
  <c r="V72" i="21"/>
  <c r="V64" i="21"/>
  <c r="V52" i="21"/>
  <c r="V44" i="21"/>
  <c r="V79" i="21"/>
  <c r="V67" i="21"/>
  <c r="V55" i="21"/>
  <c r="V43" i="21"/>
  <c r="V39" i="21"/>
  <c r="V74" i="21"/>
  <c r="V66" i="21"/>
  <c r="V54" i="21"/>
  <c r="V46" i="21"/>
  <c r="V34" i="21"/>
  <c r="V30" i="21"/>
  <c r="V81" i="21"/>
  <c r="V80" i="21"/>
  <c r="V76" i="21"/>
  <c r="V68" i="21"/>
  <c r="V56" i="21"/>
  <c r="V48" i="21"/>
  <c r="V82" i="21"/>
  <c r="V70" i="21"/>
  <c r="V58" i="21"/>
  <c r="V77" i="21"/>
  <c r="V61" i="21"/>
  <c r="V49" i="21"/>
  <c r="V41" i="21"/>
  <c r="V86" i="21"/>
  <c r="V84" i="21"/>
  <c r="V60" i="21"/>
  <c r="V36" i="21"/>
  <c r="V32" i="21"/>
  <c r="V57" i="21"/>
  <c r="V31" i="21"/>
  <c r="V83" i="21"/>
  <c r="V59" i="21"/>
  <c r="V28" i="21"/>
  <c r="V40" i="21"/>
  <c r="V23" i="21"/>
  <c r="V69" i="21"/>
  <c r="Z12" i="21"/>
  <c r="V35" i="21"/>
  <c r="V51" i="21"/>
  <c r="V24" i="21"/>
  <c r="V47" i="21"/>
  <c r="V63" i="21"/>
  <c r="V22" i="21"/>
  <c r="V71" i="21"/>
  <c r="V45" i="21"/>
  <c r="V75" i="21"/>
  <c r="V73" i="21"/>
  <c r="V50" i="21"/>
  <c r="T26" i="21"/>
  <c r="F75" i="21"/>
  <c r="F74" i="21"/>
  <c r="F47" i="21"/>
  <c r="F46" i="21"/>
  <c r="F35" i="21"/>
  <c r="F31" i="21"/>
  <c r="F82" i="21"/>
  <c r="F81" i="21"/>
  <c r="F70" i="21"/>
  <c r="F69" i="21"/>
  <c r="F58" i="21"/>
  <c r="F57" i="21"/>
  <c r="F77" i="21"/>
  <c r="F76" i="21"/>
  <c r="F49" i="21"/>
  <c r="F48" i="21"/>
  <c r="F41" i="21"/>
  <c r="F84" i="21"/>
  <c r="F83" i="21"/>
  <c r="F60" i="21"/>
  <c r="F59" i="21"/>
  <c r="F36" i="21"/>
  <c r="F71" i="21"/>
  <c r="F51" i="21"/>
  <c r="F50" i="21"/>
  <c r="F23" i="21"/>
  <c r="F22" i="21"/>
  <c r="F78" i="21"/>
  <c r="F88" i="21"/>
  <c r="F86" i="21"/>
  <c r="F79" i="21"/>
  <c r="F66" i="21"/>
  <c r="F65" i="21"/>
  <c r="F54" i="21"/>
  <c r="F53" i="21"/>
  <c r="F34" i="21"/>
  <c r="F95" i="21"/>
  <c r="F92" i="21"/>
  <c r="F73" i="21"/>
  <c r="F45" i="21"/>
  <c r="F44" i="21"/>
  <c r="F28" i="21"/>
  <c r="F26" i="21"/>
  <c r="F67" i="21"/>
  <c r="F56" i="21"/>
  <c r="F39" i="21"/>
  <c r="F33" i="21"/>
  <c r="F30" i="21"/>
  <c r="F63" i="21"/>
  <c r="F43" i="21"/>
  <c r="F52" i="21"/>
  <c r="F68" i="21"/>
  <c r="F61" i="21"/>
  <c r="D26" i="21"/>
  <c r="F72" i="21"/>
  <c r="F64" i="21"/>
  <c r="F42" i="21"/>
  <c r="F40" i="21"/>
  <c r="F37" i="21"/>
  <c r="F62" i="21"/>
  <c r="F55" i="21"/>
  <c r="F32" i="21"/>
  <c r="L12" i="21"/>
  <c r="N12" i="21" s="1"/>
  <c r="F38" i="21"/>
  <c r="F90" i="21"/>
  <c r="F80" i="21"/>
  <c r="F29" i="21"/>
  <c r="F24" i="21"/>
  <c r="X16" i="6"/>
  <c r="P22" i="6"/>
  <c r="N259" i="3"/>
  <c r="X18" i="112"/>
  <c r="P27" i="112"/>
  <c r="X18" i="110"/>
  <c r="P27" i="110"/>
  <c r="L18" i="53"/>
  <c r="D27" i="53"/>
  <c r="H27" i="37"/>
  <c r="N18" i="37"/>
  <c r="L18" i="41"/>
  <c r="D27" i="41"/>
  <c r="H27" i="40"/>
  <c r="N18" i="40"/>
  <c r="T27" i="37"/>
  <c r="Z18" i="37"/>
  <c r="P27" i="44"/>
  <c r="X18" i="44"/>
  <c r="H27" i="32"/>
  <c r="N18" i="32"/>
  <c r="H27" i="26"/>
  <c r="N18" i="26"/>
  <c r="L18" i="26"/>
  <c r="D27" i="26"/>
  <c r="T27" i="17"/>
  <c r="Z18" i="17"/>
  <c r="T27" i="11"/>
  <c r="Z18" i="11"/>
  <c r="D74" i="87"/>
  <c r="L20" i="87"/>
  <c r="N20" i="87" s="1"/>
  <c r="F57" i="83"/>
  <c r="F56" i="83"/>
  <c r="F49" i="83"/>
  <c r="F48" i="83"/>
  <c r="F33" i="83"/>
  <c r="F32" i="83"/>
  <c r="F59" i="83"/>
  <c r="F58" i="83"/>
  <c r="F42" i="83"/>
  <c r="F41" i="83"/>
  <c r="F34" i="83"/>
  <c r="F61" i="83"/>
  <c r="F60" i="83"/>
  <c r="F53" i="83"/>
  <c r="F52" i="83"/>
  <c r="F63" i="83"/>
  <c r="F62" i="83"/>
  <c r="F43" i="83"/>
  <c r="F35" i="83"/>
  <c r="F38" i="83"/>
  <c r="F26" i="83"/>
  <c r="F20" i="83"/>
  <c r="F65" i="83"/>
  <c r="F46" i="83"/>
  <c r="F50" i="83"/>
  <c r="F29" i="83"/>
  <c r="F22" i="83"/>
  <c r="F47" i="83"/>
  <c r="F39" i="83"/>
  <c r="F24" i="83"/>
  <c r="F23" i="83"/>
  <c r="F16" i="83"/>
  <c r="L12" i="83"/>
  <c r="F71" i="83"/>
  <c r="F67" i="83"/>
  <c r="F54" i="83"/>
  <c r="F40" i="83"/>
  <c r="F51" i="83"/>
  <c r="F27" i="83"/>
  <c r="F17" i="83"/>
  <c r="F30" i="83"/>
  <c r="F44" i="83"/>
  <c r="F36" i="83"/>
  <c r="F25" i="83"/>
  <c r="F18" i="83"/>
  <c r="F74" i="83"/>
  <c r="F28" i="83"/>
  <c r="F69" i="83"/>
  <c r="F45" i="83"/>
  <c r="F55" i="83"/>
  <c r="F37" i="83"/>
  <c r="F31" i="83"/>
  <c r="D20" i="83"/>
  <c r="J87" i="76"/>
  <c r="J83" i="76"/>
  <c r="J75" i="76"/>
  <c r="J65" i="76"/>
  <c r="J55" i="76"/>
  <c r="J51" i="76"/>
  <c r="J92" i="76"/>
  <c r="J86" i="76"/>
  <c r="J76" i="76"/>
  <c r="J66" i="76"/>
  <c r="J42" i="76"/>
  <c r="J38" i="76"/>
  <c r="J85" i="76"/>
  <c r="J77" i="76"/>
  <c r="J67" i="76"/>
  <c r="J61" i="76"/>
  <c r="J78" i="76"/>
  <c r="J68" i="76"/>
  <c r="J56" i="76"/>
  <c r="J52" i="76"/>
  <c r="J79" i="76"/>
  <c r="J69" i="76"/>
  <c r="J71" i="76"/>
  <c r="J57" i="76"/>
  <c r="J53" i="76"/>
  <c r="J63" i="76"/>
  <c r="J49" i="76"/>
  <c r="J81" i="76"/>
  <c r="J73" i="76"/>
  <c r="J59" i="76"/>
  <c r="H46" i="76"/>
  <c r="J46" i="76" s="1"/>
  <c r="J41" i="76"/>
  <c r="J37" i="76"/>
  <c r="J43" i="76"/>
  <c r="J74" i="76"/>
  <c r="J54" i="76"/>
  <c r="J34" i="76"/>
  <c r="J82" i="76"/>
  <c r="J80" i="76"/>
  <c r="J39" i="76"/>
  <c r="J88" i="76"/>
  <c r="J48" i="76"/>
  <c r="N12" i="76"/>
  <c r="J72" i="76"/>
  <c r="J70" i="76"/>
  <c r="J62" i="76"/>
  <c r="J35" i="76"/>
  <c r="J64" i="76"/>
  <c r="J60" i="76"/>
  <c r="J58" i="76"/>
  <c r="J44" i="76"/>
  <c r="J40" i="76"/>
  <c r="J36" i="76"/>
  <c r="J50" i="76"/>
  <c r="V52" i="73"/>
  <c r="V48" i="73"/>
  <c r="V65" i="73"/>
  <c r="V39" i="73"/>
  <c r="V35" i="73"/>
  <c r="V31" i="73"/>
  <c r="V54" i="73"/>
  <c r="V56" i="73"/>
  <c r="V44" i="73"/>
  <c r="V40" i="73"/>
  <c r="V36" i="73"/>
  <c r="V32" i="73"/>
  <c r="V55" i="73"/>
  <c r="T42" i="73"/>
  <c r="V61" i="73"/>
  <c r="V59" i="73"/>
  <c r="V51" i="73"/>
  <c r="V47" i="73"/>
  <c r="V58" i="73"/>
  <c r="V37" i="73"/>
  <c r="V53" i="73"/>
  <c r="V33" i="73"/>
  <c r="V45" i="73"/>
  <c r="V38" i="73"/>
  <c r="V49" i="73"/>
  <c r="V34" i="73"/>
  <c r="V46" i="73"/>
  <c r="V30" i="73"/>
  <c r="V57" i="73"/>
  <c r="V50" i="73"/>
  <c r="L44" i="60"/>
  <c r="D48" i="60"/>
  <c r="V118" i="30"/>
  <c r="V114" i="30"/>
  <c r="V106" i="30"/>
  <c r="V94" i="30"/>
  <c r="V78" i="30"/>
  <c r="V74" i="30"/>
  <c r="V121" i="30"/>
  <c r="V113" i="30"/>
  <c r="V97" i="30"/>
  <c r="V85" i="30"/>
  <c r="V65" i="30"/>
  <c r="V61" i="30"/>
  <c r="V57" i="30"/>
  <c r="V53" i="30"/>
  <c r="V49" i="30"/>
  <c r="V120" i="30"/>
  <c r="V108" i="30"/>
  <c r="V96" i="30"/>
  <c r="V84" i="30"/>
  <c r="V80" i="30"/>
  <c r="V123" i="30"/>
  <c r="V115" i="30"/>
  <c r="V107" i="30"/>
  <c r="V99" i="30"/>
  <c r="V87" i="30"/>
  <c r="V79" i="30"/>
  <c r="V75" i="30"/>
  <c r="V71" i="30"/>
  <c r="V122" i="30"/>
  <c r="V98" i="30"/>
  <c r="V86" i="30"/>
  <c r="V70" i="30"/>
  <c r="V66" i="30"/>
  <c r="V62" i="30"/>
  <c r="V58" i="30"/>
  <c r="V54" i="30"/>
  <c r="V50" i="30"/>
  <c r="V125" i="30"/>
  <c r="V109" i="30"/>
  <c r="V101" i="30"/>
  <c r="V89" i="30"/>
  <c r="V81" i="30"/>
  <c r="T68" i="30"/>
  <c r="V68" i="30" s="1"/>
  <c r="V130" i="30"/>
  <c r="V124" i="30"/>
  <c r="V116" i="30"/>
  <c r="V100" i="30"/>
  <c r="V88" i="30"/>
  <c r="V129" i="30"/>
  <c r="V103" i="30"/>
  <c r="V91" i="30"/>
  <c r="V63" i="30"/>
  <c r="V59" i="30"/>
  <c r="V55" i="30"/>
  <c r="V51" i="30"/>
  <c r="V128" i="30"/>
  <c r="V126" i="30"/>
  <c r="V110" i="30"/>
  <c r="V102" i="30"/>
  <c r="V90" i="30"/>
  <c r="V82" i="30"/>
  <c r="V117" i="30"/>
  <c r="V105" i="30"/>
  <c r="V93" i="30"/>
  <c r="V77" i="30"/>
  <c r="V73" i="30"/>
  <c r="V134" i="30"/>
  <c r="V112" i="30"/>
  <c r="V104" i="30"/>
  <c r="V92" i="30"/>
  <c r="V64" i="30"/>
  <c r="V60" i="30"/>
  <c r="V56" i="30"/>
  <c r="V52" i="30"/>
  <c r="V83" i="30"/>
  <c r="V119" i="30"/>
  <c r="V72" i="30"/>
  <c r="V95" i="30"/>
  <c r="V111" i="30"/>
  <c r="V76" i="30"/>
  <c r="H27" i="43"/>
  <c r="N18" i="43"/>
  <c r="T27" i="47"/>
  <c r="Z18" i="47"/>
  <c r="H27" i="23"/>
  <c r="N18" i="23"/>
  <c r="X18" i="13"/>
  <c r="P27" i="13"/>
  <c r="F46" i="103"/>
  <c r="F45" i="103"/>
  <c r="F38" i="103"/>
  <c r="F69" i="103"/>
  <c r="F68" i="103"/>
  <c r="F61" i="103"/>
  <c r="F33" i="103"/>
  <c r="F29" i="103"/>
  <c r="F25" i="103"/>
  <c r="F24" i="103"/>
  <c r="F56" i="103"/>
  <c r="F48" i="103"/>
  <c r="F47" i="103"/>
  <c r="F23" i="103"/>
  <c r="F39" i="103"/>
  <c r="F35" i="103"/>
  <c r="F34" i="103"/>
  <c r="D21" i="103"/>
  <c r="F71" i="103"/>
  <c r="F62" i="103"/>
  <c r="F58" i="103"/>
  <c r="F57" i="103"/>
  <c r="F50" i="103"/>
  <c r="F49" i="103"/>
  <c r="F30" i="103"/>
  <c r="F26" i="103"/>
  <c r="F75" i="103"/>
  <c r="F52" i="103"/>
  <c r="F51" i="103"/>
  <c r="F40" i="103"/>
  <c r="F36" i="103"/>
  <c r="L12" i="103"/>
  <c r="N12" i="103" s="1"/>
  <c r="F63" i="103"/>
  <c r="F59" i="103"/>
  <c r="F31" i="103"/>
  <c r="F27" i="103"/>
  <c r="F54" i="103"/>
  <c r="F53" i="103"/>
  <c r="F42" i="103"/>
  <c r="F41" i="103"/>
  <c r="F18" i="103"/>
  <c r="F17" i="103"/>
  <c r="F65" i="103"/>
  <c r="F64" i="103"/>
  <c r="F37" i="103"/>
  <c r="F60" i="103"/>
  <c r="F44" i="103"/>
  <c r="F43" i="103"/>
  <c r="F32" i="103"/>
  <c r="F28" i="103"/>
  <c r="F66" i="103"/>
  <c r="F55" i="103"/>
  <c r="F67" i="103"/>
  <c r="F19" i="103"/>
  <c r="R67" i="105"/>
  <c r="R66" i="105"/>
  <c r="R55" i="105"/>
  <c r="R54" i="105"/>
  <c r="R43" i="105"/>
  <c r="R42" i="105"/>
  <c r="R61" i="105"/>
  <c r="R69" i="105"/>
  <c r="R68" i="105"/>
  <c r="R56" i="105"/>
  <c r="R45" i="105"/>
  <c r="R44" i="105"/>
  <c r="R32" i="105"/>
  <c r="R70" i="105"/>
  <c r="R62" i="105"/>
  <c r="R47" i="105"/>
  <c r="R46" i="105"/>
  <c r="R74" i="105"/>
  <c r="R72" i="105"/>
  <c r="R57" i="105"/>
  <c r="R34" i="105"/>
  <c r="R33" i="105"/>
  <c r="R29" i="105"/>
  <c r="R25" i="105"/>
  <c r="R49" i="105"/>
  <c r="R48" i="105"/>
  <c r="R63" i="105"/>
  <c r="R39" i="105"/>
  <c r="R35" i="105"/>
  <c r="R76" i="105"/>
  <c r="R59" i="105"/>
  <c r="R58" i="105"/>
  <c r="R51" i="105"/>
  <c r="R50" i="105"/>
  <c r="R30" i="105"/>
  <c r="R26" i="105"/>
  <c r="R81" i="105"/>
  <c r="R78" i="105"/>
  <c r="R65" i="105"/>
  <c r="R64" i="105"/>
  <c r="R60" i="105"/>
  <c r="R53" i="105"/>
  <c r="R52" i="105"/>
  <c r="R41" i="105"/>
  <c r="R40" i="105"/>
  <c r="R36" i="105"/>
  <c r="R19" i="105"/>
  <c r="R38" i="105"/>
  <c r="R28" i="105"/>
  <c r="R21" i="105"/>
  <c r="R23" i="105"/>
  <c r="P21" i="105"/>
  <c r="R37" i="105"/>
  <c r="R24" i="105"/>
  <c r="R17" i="105"/>
  <c r="X12" i="105"/>
  <c r="Z12" i="105" s="1"/>
  <c r="R31" i="105"/>
  <c r="R27" i="105"/>
  <c r="R18" i="105"/>
  <c r="H68" i="97"/>
  <c r="J20" i="97"/>
  <c r="V18" i="85"/>
  <c r="F103" i="74"/>
  <c r="F86" i="74"/>
  <c r="F85" i="74"/>
  <c r="F78" i="74"/>
  <c r="D64" i="74"/>
  <c r="F73" i="74"/>
  <c r="F69" i="74"/>
  <c r="F96" i="74"/>
  <c r="F88" i="74"/>
  <c r="F87" i="74"/>
  <c r="F60" i="74"/>
  <c r="F56" i="74"/>
  <c r="F52" i="74"/>
  <c r="F79" i="74"/>
  <c r="F90" i="74"/>
  <c r="F89" i="74"/>
  <c r="F74" i="74"/>
  <c r="F70" i="74"/>
  <c r="F97" i="74"/>
  <c r="F61" i="74"/>
  <c r="F57" i="74"/>
  <c r="F53" i="74"/>
  <c r="F49" i="74"/>
  <c r="F48" i="74"/>
  <c r="F99" i="74"/>
  <c r="F98" i="74"/>
  <c r="F82" i="74"/>
  <c r="F81" i="74"/>
  <c r="F62" i="74"/>
  <c r="F58" i="74"/>
  <c r="F54" i="74"/>
  <c r="F50" i="74"/>
  <c r="F101" i="74"/>
  <c r="F100" i="74"/>
  <c r="F93" i="74"/>
  <c r="F77" i="74"/>
  <c r="F76" i="74"/>
  <c r="F109" i="74"/>
  <c r="F94" i="74"/>
  <c r="F104" i="74"/>
  <c r="F84" i="74"/>
  <c r="F68" i="74"/>
  <c r="F80" i="74"/>
  <c r="F72" i="74"/>
  <c r="L12" i="74"/>
  <c r="F91" i="74"/>
  <c r="F66" i="74"/>
  <c r="F105" i="74"/>
  <c r="F95" i="74"/>
  <c r="F83" i="74"/>
  <c r="F59" i="74"/>
  <c r="F55" i="74"/>
  <c r="F51" i="74"/>
  <c r="F75" i="74"/>
  <c r="F67" i="74"/>
  <c r="F92" i="74"/>
  <c r="F71" i="74"/>
  <c r="F64" i="74"/>
  <c r="T44" i="61"/>
  <c r="Z16" i="61"/>
  <c r="T28" i="55"/>
  <c r="Z16" i="55"/>
  <c r="X17" i="48"/>
  <c r="P50" i="48"/>
  <c r="L21" i="45"/>
  <c r="D81" i="45"/>
  <c r="F21" i="45"/>
  <c r="R76" i="39"/>
  <c r="R75" i="39"/>
  <c r="R64" i="39"/>
  <c r="R63" i="39"/>
  <c r="R56" i="39"/>
  <c r="R55" i="39"/>
  <c r="R36" i="39"/>
  <c r="R31" i="39"/>
  <c r="R109" i="39"/>
  <c r="R101" i="39"/>
  <c r="R97" i="39"/>
  <c r="R86" i="39"/>
  <c r="R85" i="39"/>
  <c r="R78" i="39"/>
  <c r="R77" i="39"/>
  <c r="R66" i="39"/>
  <c r="R65" i="39"/>
  <c r="R58" i="39"/>
  <c r="R57" i="39"/>
  <c r="R46" i="39"/>
  <c r="R45" i="39"/>
  <c r="R41" i="39"/>
  <c r="R37" i="39"/>
  <c r="P33" i="39"/>
  <c r="R92" i="39"/>
  <c r="R91" i="39"/>
  <c r="R87" i="39"/>
  <c r="R80" i="39"/>
  <c r="R79" i="39"/>
  <c r="R68" i="39"/>
  <c r="R67" i="39"/>
  <c r="R60" i="39"/>
  <c r="R59" i="39"/>
  <c r="R51" i="39"/>
  <c r="R47" i="39"/>
  <c r="R117" i="39"/>
  <c r="R111" i="39"/>
  <c r="R110" i="39"/>
  <c r="R103" i="39"/>
  <c r="R102" i="39"/>
  <c r="R98" i="39"/>
  <c r="R42" i="39"/>
  <c r="R38" i="39"/>
  <c r="R115" i="39"/>
  <c r="R112" i="39"/>
  <c r="R105" i="39"/>
  <c r="R104" i="39"/>
  <c r="R88" i="39"/>
  <c r="R121" i="39"/>
  <c r="R114" i="39"/>
  <c r="R99" i="39"/>
  <c r="R95" i="39"/>
  <c r="R72" i="39"/>
  <c r="R71" i="39"/>
  <c r="R43" i="39"/>
  <c r="R39" i="39"/>
  <c r="R107" i="39"/>
  <c r="R106" i="39"/>
  <c r="R83" i="39"/>
  <c r="R82" i="39"/>
  <c r="R62" i="39"/>
  <c r="R30" i="39"/>
  <c r="R89" i="39"/>
  <c r="R90" i="39"/>
  <c r="R69" i="39"/>
  <c r="R53" i="39"/>
  <c r="R116" i="39"/>
  <c r="R94" i="39"/>
  <c r="R74" i="39"/>
  <c r="R49" i="39"/>
  <c r="R44" i="39"/>
  <c r="R35" i="39"/>
  <c r="R29" i="39"/>
  <c r="R96" i="39"/>
  <c r="R61" i="39"/>
  <c r="R54" i="39"/>
  <c r="R81" i="39"/>
  <c r="R70" i="39"/>
  <c r="R108" i="39"/>
  <c r="R93" i="39"/>
  <c r="R52" i="39"/>
  <c r="R100" i="39"/>
  <c r="R50" i="39"/>
  <c r="R73" i="39"/>
  <c r="R48" i="39"/>
  <c r="R84" i="39"/>
  <c r="X12" i="39"/>
  <c r="Z12" i="39" s="1"/>
  <c r="R40" i="39"/>
  <c r="P76" i="33"/>
  <c r="P249" i="18"/>
  <c r="V233" i="12"/>
  <c r="V225" i="12"/>
  <c r="V219" i="12"/>
  <c r="V207" i="12"/>
  <c r="V203" i="12"/>
  <c r="V191" i="12"/>
  <c r="V183" i="12"/>
  <c r="V163" i="12"/>
  <c r="V155" i="12"/>
  <c r="V143" i="12"/>
  <c r="V139" i="12"/>
  <c r="V135" i="12"/>
  <c r="V224" i="12"/>
  <c r="V214" i="12"/>
  <c r="V202" i="12"/>
  <c r="V186" i="12"/>
  <c r="V174" i="12"/>
  <c r="V154" i="12"/>
  <c r="V223" i="12"/>
  <c r="V221" i="12"/>
  <c r="V213" i="12"/>
  <c r="V197" i="12"/>
  <c r="V185" i="12"/>
  <c r="V173" i="12"/>
  <c r="V165" i="12"/>
  <c r="V157" i="12"/>
  <c r="V149" i="12"/>
  <c r="V145" i="12"/>
  <c r="V216" i="12"/>
  <c r="V208" i="12"/>
  <c r="V204" i="12"/>
  <c r="V192" i="12"/>
  <c r="V176" i="12"/>
  <c r="V164" i="12"/>
  <c r="V156" i="12"/>
  <c r="V144" i="12"/>
  <c r="V140" i="12"/>
  <c r="V136" i="12"/>
  <c r="V215" i="12"/>
  <c r="V187" i="12"/>
  <c r="V175" i="12"/>
  <c r="V167" i="12"/>
  <c r="V159" i="12"/>
  <c r="V127" i="12"/>
  <c r="V123" i="12"/>
  <c r="V119" i="12"/>
  <c r="V115" i="12"/>
  <c r="V111" i="12"/>
  <c r="V107" i="12"/>
  <c r="V103" i="12"/>
  <c r="V99" i="12"/>
  <c r="V95" i="12"/>
  <c r="V91" i="12"/>
  <c r="V217" i="12"/>
  <c r="V209" i="12"/>
  <c r="V205" i="12"/>
  <c r="V193" i="12"/>
  <c r="V177" i="12"/>
  <c r="V169" i="12"/>
  <c r="V141" i="12"/>
  <c r="V137" i="12"/>
  <c r="V200" i="12"/>
  <c r="V188" i="12"/>
  <c r="V180" i="12"/>
  <c r="V168" i="12"/>
  <c r="V229" i="12"/>
  <c r="V211" i="12"/>
  <c r="V199" i="12"/>
  <c r="V195" i="12"/>
  <c r="V179" i="12"/>
  <c r="V171" i="12"/>
  <c r="V151" i="12"/>
  <c r="V147" i="12"/>
  <c r="V228" i="12"/>
  <c r="V218" i="12"/>
  <c r="V210" i="12"/>
  <c r="V206" i="12"/>
  <c r="V190" i="12"/>
  <c r="V182" i="12"/>
  <c r="V170" i="12"/>
  <c r="V162" i="12"/>
  <c r="V142" i="12"/>
  <c r="V138" i="12"/>
  <c r="V134" i="12"/>
  <c r="V227" i="12"/>
  <c r="V201" i="12"/>
  <c r="V189" i="12"/>
  <c r="V181" i="12"/>
  <c r="V161" i="12"/>
  <c r="V153" i="12"/>
  <c r="V133" i="12"/>
  <c r="V129" i="12"/>
  <c r="V125" i="12"/>
  <c r="V121" i="12"/>
  <c r="V117" i="12"/>
  <c r="V113" i="12"/>
  <c r="V109" i="12"/>
  <c r="V105" i="12"/>
  <c r="V101" i="12"/>
  <c r="V97" i="12"/>
  <c r="V93" i="12"/>
  <c r="V152" i="12"/>
  <c r="V102" i="12"/>
  <c r="V100" i="12"/>
  <c r="V158" i="12"/>
  <c r="V106" i="12"/>
  <c r="V104" i="12"/>
  <c r="V172" i="12"/>
  <c r="V160" i="12"/>
  <c r="V110" i="12"/>
  <c r="V108" i="12"/>
  <c r="V118" i="12"/>
  <c r="V116" i="12"/>
  <c r="V114" i="12"/>
  <c r="V112" i="12"/>
  <c r="V212" i="12"/>
  <c r="V196" i="12"/>
  <c r="V146" i="12"/>
  <c r="V122" i="12"/>
  <c r="V120" i="12"/>
  <c r="V220" i="12"/>
  <c r="V128" i="12"/>
  <c r="V126" i="12"/>
  <c r="V124" i="12"/>
  <c r="V226" i="12"/>
  <c r="V148" i="12"/>
  <c r="T131" i="12"/>
  <c r="V198" i="12"/>
  <c r="V92" i="12"/>
  <c r="V184" i="12"/>
  <c r="V150" i="12"/>
  <c r="V94" i="12"/>
  <c r="V96" i="12"/>
  <c r="V178" i="12"/>
  <c r="V194" i="12"/>
  <c r="V166" i="12"/>
  <c r="V98" i="12"/>
  <c r="X223" i="12"/>
  <c r="H271" i="3"/>
  <c r="H27" i="49"/>
  <c r="N18" i="49"/>
  <c r="H27" i="52"/>
  <c r="N18" i="52"/>
  <c r="H27" i="34"/>
  <c r="N18" i="34"/>
  <c r="X18" i="29"/>
  <c r="P27" i="29"/>
  <c r="X18" i="28"/>
  <c r="P27" i="28"/>
  <c r="D27" i="22"/>
  <c r="L18" i="22"/>
  <c r="X18" i="20"/>
  <c r="P27" i="20"/>
  <c r="L18" i="14"/>
  <c r="D27" i="14"/>
  <c r="X18" i="11"/>
  <c r="P27" i="11"/>
  <c r="T59" i="93"/>
  <c r="T83" i="91"/>
  <c r="P58" i="57"/>
  <c r="X16" i="57"/>
  <c r="L33" i="33"/>
  <c r="D76" i="33"/>
  <c r="L18" i="43"/>
  <c r="D27" i="43"/>
  <c r="X18" i="38"/>
  <c r="P27" i="38"/>
  <c r="H27" i="19"/>
  <c r="N18" i="19"/>
  <c r="T42" i="102"/>
  <c r="Z16" i="102"/>
  <c r="T77" i="103"/>
  <c r="X20" i="101"/>
  <c r="Z20" i="101" s="1"/>
  <c r="P62" i="101"/>
  <c r="X39" i="100"/>
  <c r="L20" i="97"/>
  <c r="N20" i="97" s="1"/>
  <c r="D68" i="97"/>
  <c r="J20" i="95"/>
  <c r="T65" i="92"/>
  <c r="P83" i="91"/>
  <c r="X79" i="91"/>
  <c r="Z79" i="91" s="1"/>
  <c r="D83" i="91"/>
  <c r="F65" i="80"/>
  <c r="F47" i="80"/>
  <c r="F46" i="80"/>
  <c r="F35" i="80"/>
  <c r="F49" i="80"/>
  <c r="F48" i="80"/>
  <c r="F37" i="80"/>
  <c r="F36" i="80"/>
  <c r="F17" i="80"/>
  <c r="F16" i="80"/>
  <c r="F70" i="80"/>
  <c r="F67" i="80"/>
  <c r="F50" i="80"/>
  <c r="F18" i="80"/>
  <c r="F57" i="80"/>
  <c r="F56" i="80"/>
  <c r="F41" i="80"/>
  <c r="F40" i="80"/>
  <c r="F33" i="80"/>
  <c r="F32" i="80"/>
  <c r="F59" i="80"/>
  <c r="F58" i="80"/>
  <c r="F51" i="80"/>
  <c r="F43" i="80"/>
  <c r="F42" i="80"/>
  <c r="F29" i="80"/>
  <c r="F45" i="80"/>
  <c r="F27" i="80"/>
  <c r="F20" i="80"/>
  <c r="F55" i="80"/>
  <c r="F53" i="80"/>
  <c r="D20" i="80"/>
  <c r="F25" i="80"/>
  <c r="F61" i="80"/>
  <c r="F30" i="80"/>
  <c r="F38" i="80"/>
  <c r="F28" i="80"/>
  <c r="F22" i="80"/>
  <c r="L12" i="80"/>
  <c r="F39" i="80"/>
  <c r="F34" i="80"/>
  <c r="F31" i="80"/>
  <c r="F24" i="80"/>
  <c r="F44" i="80"/>
  <c r="F26" i="80"/>
  <c r="F52" i="80"/>
  <c r="F23" i="80"/>
  <c r="F54" i="80"/>
  <c r="F63" i="80"/>
  <c r="Z103" i="74"/>
  <c r="R69" i="75"/>
  <c r="R59" i="75"/>
  <c r="R44" i="75"/>
  <c r="R43" i="75"/>
  <c r="R55" i="75"/>
  <c r="R54" i="75"/>
  <c r="R46" i="75"/>
  <c r="R45" i="75"/>
  <c r="R38" i="75"/>
  <c r="R37" i="75"/>
  <c r="R33" i="75"/>
  <c r="R61" i="75"/>
  <c r="R60" i="75"/>
  <c r="R56" i="75"/>
  <c r="R29" i="75"/>
  <c r="R48" i="75"/>
  <c r="R47" i="75"/>
  <c r="R39" i="75"/>
  <c r="R28" i="75"/>
  <c r="R24" i="75"/>
  <c r="R65" i="75"/>
  <c r="R62" i="75"/>
  <c r="R34" i="75"/>
  <c r="R30" i="75"/>
  <c r="P26" i="75"/>
  <c r="R64" i="75"/>
  <c r="R57" i="75"/>
  <c r="R49" i="75"/>
  <c r="R40" i="75"/>
  <c r="X12" i="75"/>
  <c r="R35" i="75"/>
  <c r="R31" i="75"/>
  <c r="R58" i="75"/>
  <c r="R51" i="75"/>
  <c r="R50" i="75"/>
  <c r="R53" i="75"/>
  <c r="R41" i="75"/>
  <c r="R32" i="75"/>
  <c r="R42" i="75"/>
  <c r="R36" i="75"/>
  <c r="R52" i="75"/>
  <c r="D64" i="72"/>
  <c r="L23" i="72"/>
  <c r="V59" i="72"/>
  <c r="V51" i="72"/>
  <c r="V58" i="72"/>
  <c r="V50" i="72"/>
  <c r="V38" i="72"/>
  <c r="V62" i="72"/>
  <c r="V60" i="72"/>
  <c r="V52" i="72"/>
  <c r="V55" i="72"/>
  <c r="V43" i="72"/>
  <c r="V35" i="72"/>
  <c r="V54" i="72"/>
  <c r="V30" i="72"/>
  <c r="V27" i="72"/>
  <c r="V33" i="72"/>
  <c r="V20" i="72"/>
  <c r="V39" i="72"/>
  <c r="V45" i="72"/>
  <c r="V44" i="72"/>
  <c r="V34" i="72"/>
  <c r="V31" i="72"/>
  <c r="V21" i="72"/>
  <c r="V28" i="72"/>
  <c r="V23" i="72"/>
  <c r="V56" i="72"/>
  <c r="V48" i="72"/>
  <c r="V40" i="72"/>
  <c r="V25" i="72"/>
  <c r="T23" i="72"/>
  <c r="V53" i="72"/>
  <c r="V41" i="72"/>
  <c r="V36" i="72"/>
  <c r="V26" i="72"/>
  <c r="V49" i="72"/>
  <c r="V66" i="72"/>
  <c r="V46" i="72"/>
  <c r="V32" i="72"/>
  <c r="V29" i="72"/>
  <c r="V57" i="72"/>
  <c r="V42" i="72"/>
  <c r="V19" i="72"/>
  <c r="V37" i="72"/>
  <c r="V47" i="72"/>
  <c r="X12" i="73"/>
  <c r="Z12" i="73" s="1"/>
  <c r="P63" i="73"/>
  <c r="X42" i="73"/>
  <c r="H48" i="60"/>
  <c r="N44" i="60"/>
  <c r="H45" i="67"/>
  <c r="N16" i="67"/>
  <c r="F67" i="69"/>
  <c r="F64" i="69"/>
  <c r="F53" i="69"/>
  <c r="F52" i="69"/>
  <c r="F29" i="69"/>
  <c r="F25" i="69"/>
  <c r="F35" i="69"/>
  <c r="F54" i="69"/>
  <c r="F46" i="69"/>
  <c r="F45" i="69"/>
  <c r="F30" i="69"/>
  <c r="F26" i="69"/>
  <c r="F56" i="69"/>
  <c r="F55" i="69"/>
  <c r="F48" i="69"/>
  <c r="F47" i="69"/>
  <c r="F36" i="69"/>
  <c r="L12" i="69"/>
  <c r="N12" i="69" s="1"/>
  <c r="F62" i="69"/>
  <c r="F40" i="69"/>
  <c r="F39" i="69"/>
  <c r="F28" i="69"/>
  <c r="F24" i="69"/>
  <c r="F23" i="69"/>
  <c r="F50" i="69"/>
  <c r="F41" i="69"/>
  <c r="F58" i="69"/>
  <c r="F33" i="69"/>
  <c r="F20" i="69"/>
  <c r="F42" i="69"/>
  <c r="D20" i="69"/>
  <c r="F16" i="69"/>
  <c r="F31" i="69"/>
  <c r="F27" i="69"/>
  <c r="F60" i="69"/>
  <c r="F51" i="69"/>
  <c r="F43" i="69"/>
  <c r="F34" i="69"/>
  <c r="F22" i="69"/>
  <c r="F17" i="69"/>
  <c r="F37" i="69"/>
  <c r="F49" i="69"/>
  <c r="F44" i="69"/>
  <c r="F32" i="69"/>
  <c r="F18" i="69"/>
  <c r="F38" i="69"/>
  <c r="X53" i="59"/>
  <c r="P57" i="59"/>
  <c r="L16" i="57"/>
  <c r="D58" i="57"/>
  <c r="H65" i="57"/>
  <c r="J130" i="30"/>
  <c r="J126" i="30"/>
  <c r="J110" i="30"/>
  <c r="J102" i="30"/>
  <c r="J90" i="30"/>
  <c r="J82" i="30"/>
  <c r="J129" i="30"/>
  <c r="J117" i="30"/>
  <c r="J103" i="30"/>
  <c r="J91" i="30"/>
  <c r="J77" i="30"/>
  <c r="J73" i="30"/>
  <c r="J134" i="30"/>
  <c r="J128" i="30"/>
  <c r="J104" i="30"/>
  <c r="J92" i="30"/>
  <c r="J64" i="30"/>
  <c r="J60" i="30"/>
  <c r="J56" i="30"/>
  <c r="J52" i="30"/>
  <c r="J111" i="30"/>
  <c r="J105" i="30"/>
  <c r="J93" i="30"/>
  <c r="J83" i="30"/>
  <c r="J118" i="30"/>
  <c r="J112" i="30"/>
  <c r="J106" i="30"/>
  <c r="J94" i="30"/>
  <c r="J78" i="30"/>
  <c r="J74" i="30"/>
  <c r="J119" i="30"/>
  <c r="J113" i="30"/>
  <c r="J95" i="30"/>
  <c r="J65" i="30"/>
  <c r="J61" i="30"/>
  <c r="J57" i="30"/>
  <c r="J53" i="30"/>
  <c r="J120" i="30"/>
  <c r="J114" i="30"/>
  <c r="J96" i="30"/>
  <c r="J84" i="30"/>
  <c r="J121" i="30"/>
  <c r="J115" i="30"/>
  <c r="J107" i="30"/>
  <c r="J97" i="30"/>
  <c r="J85" i="30"/>
  <c r="J79" i="30"/>
  <c r="J75" i="30"/>
  <c r="J49" i="30"/>
  <c r="J122" i="30"/>
  <c r="J108" i="30"/>
  <c r="J98" i="30"/>
  <c r="J86" i="30"/>
  <c r="J80" i="30"/>
  <c r="J66" i="30"/>
  <c r="J62" i="30"/>
  <c r="J58" i="30"/>
  <c r="J54" i="30"/>
  <c r="J50" i="30"/>
  <c r="J123" i="30"/>
  <c r="J109" i="30"/>
  <c r="J99" i="30"/>
  <c r="J87" i="30"/>
  <c r="J81" i="30"/>
  <c r="J71" i="30"/>
  <c r="J124" i="30"/>
  <c r="J116" i="30"/>
  <c r="J100" i="30"/>
  <c r="J88" i="30"/>
  <c r="J76" i="30"/>
  <c r="J72" i="30"/>
  <c r="J70" i="30"/>
  <c r="J59" i="30"/>
  <c r="J125" i="30"/>
  <c r="J89" i="30"/>
  <c r="J51" i="30"/>
  <c r="J63" i="30"/>
  <c r="J101" i="30"/>
  <c r="J55" i="30"/>
  <c r="H68" i="30"/>
  <c r="J68" i="30" s="1"/>
  <c r="F251" i="18"/>
  <c r="F246" i="18"/>
  <c r="F217" i="18"/>
  <c r="F216" i="18"/>
  <c r="F205" i="18"/>
  <c r="F185" i="18"/>
  <c r="F184" i="18"/>
  <c r="F177" i="18"/>
  <c r="F176" i="18"/>
  <c r="F169" i="18"/>
  <c r="F165" i="18"/>
  <c r="F164" i="18"/>
  <c r="F245" i="18"/>
  <c r="F228" i="18"/>
  <c r="F227" i="18"/>
  <c r="F212" i="18"/>
  <c r="F211" i="18"/>
  <c r="F196" i="18"/>
  <c r="F195" i="18"/>
  <c r="F160" i="18"/>
  <c r="F156" i="18"/>
  <c r="F244" i="18"/>
  <c r="F235" i="18"/>
  <c r="F223" i="18"/>
  <c r="F187" i="18"/>
  <c r="F186" i="18"/>
  <c r="F179" i="18"/>
  <c r="F178" i="18"/>
  <c r="F243" i="18"/>
  <c r="F218" i="18"/>
  <c r="F206" i="18"/>
  <c r="F198" i="18"/>
  <c r="F197" i="18"/>
  <c r="F170" i="18"/>
  <c r="F166" i="18"/>
  <c r="F242" i="18"/>
  <c r="F237" i="18"/>
  <c r="F236" i="18"/>
  <c r="F229" i="18"/>
  <c r="F213" i="18"/>
  <c r="F189" i="18"/>
  <c r="F188" i="18"/>
  <c r="F161" i="18"/>
  <c r="F157" i="18"/>
  <c r="F241" i="18"/>
  <c r="F224" i="18"/>
  <c r="F220" i="18"/>
  <c r="F219" i="18"/>
  <c r="F208" i="18"/>
  <c r="F207" i="18"/>
  <c r="F200" i="18"/>
  <c r="F199" i="18"/>
  <c r="F180" i="18"/>
  <c r="F148" i="18"/>
  <c r="F144" i="18"/>
  <c r="F140" i="18"/>
  <c r="F136" i="18"/>
  <c r="F132" i="18"/>
  <c r="F128" i="18"/>
  <c r="F124" i="18"/>
  <c r="F120" i="18"/>
  <c r="F116" i="18"/>
  <c r="F112" i="18"/>
  <c r="F108" i="18"/>
  <c r="F240" i="18"/>
  <c r="F231" i="18"/>
  <c r="F230" i="18"/>
  <c r="F191" i="18"/>
  <c r="F190" i="18"/>
  <c r="F239" i="18"/>
  <c r="F214" i="18"/>
  <c r="F202" i="18"/>
  <c r="F201" i="18"/>
  <c r="F182" i="18"/>
  <c r="F181" i="18"/>
  <c r="F233" i="18"/>
  <c r="F232" i="18"/>
  <c r="F225" i="18"/>
  <c r="F221" i="18"/>
  <c r="F209" i="18"/>
  <c r="F173" i="18"/>
  <c r="F172" i="18"/>
  <c r="F152" i="18"/>
  <c r="F150" i="18"/>
  <c r="F145" i="18"/>
  <c r="F141" i="18"/>
  <c r="F137" i="18"/>
  <c r="F133" i="18"/>
  <c r="F129" i="18"/>
  <c r="F125" i="18"/>
  <c r="F121" i="18"/>
  <c r="F117" i="18"/>
  <c r="F113" i="18"/>
  <c r="F109" i="18"/>
  <c r="F105" i="18"/>
  <c r="F104" i="18"/>
  <c r="F204" i="18"/>
  <c r="F203" i="18"/>
  <c r="F192" i="18"/>
  <c r="F168" i="18"/>
  <c r="F215" i="18"/>
  <c r="F183" i="18"/>
  <c r="F175" i="18"/>
  <c r="F174" i="18"/>
  <c r="F163" i="18"/>
  <c r="F159" i="18"/>
  <c r="F155" i="18"/>
  <c r="F247" i="18"/>
  <c r="F234" i="18"/>
  <c r="F226" i="18"/>
  <c r="F222" i="18"/>
  <c r="F210" i="18"/>
  <c r="F194" i="18"/>
  <c r="F193" i="18"/>
  <c r="F146" i="18"/>
  <c r="F142" i="18"/>
  <c r="F138" i="18"/>
  <c r="F134" i="18"/>
  <c r="F130" i="18"/>
  <c r="F126" i="18"/>
  <c r="F122" i="18"/>
  <c r="F118" i="18"/>
  <c r="F114" i="18"/>
  <c r="F110" i="18"/>
  <c r="F106" i="18"/>
  <c r="F139" i="18"/>
  <c r="F154" i="18"/>
  <c r="F135" i="18"/>
  <c r="F167" i="18"/>
  <c r="F131" i="18"/>
  <c r="F158" i="18"/>
  <c r="F127" i="18"/>
  <c r="F123" i="18"/>
  <c r="F119" i="18"/>
  <c r="F115" i="18"/>
  <c r="F111" i="18"/>
  <c r="F107" i="18"/>
  <c r="F162" i="18"/>
  <c r="F153" i="18"/>
  <c r="F171" i="18"/>
  <c r="L12" i="18"/>
  <c r="D150" i="18"/>
  <c r="F147" i="18"/>
  <c r="F143" i="18"/>
  <c r="R227" i="12"/>
  <c r="R212" i="12"/>
  <c r="R196" i="12"/>
  <c r="R172" i="12"/>
  <c r="R153" i="12"/>
  <c r="R152" i="12"/>
  <c r="R148" i="12"/>
  <c r="R133" i="12"/>
  <c r="R131" i="12"/>
  <c r="X12" i="12"/>
  <c r="Z12" i="12" s="1"/>
  <c r="R233" i="12"/>
  <c r="R226" i="12"/>
  <c r="R220" i="12"/>
  <c r="R219" i="12"/>
  <c r="R207" i="12"/>
  <c r="R191" i="12"/>
  <c r="R184" i="12"/>
  <c r="R183" i="12"/>
  <c r="R163" i="12"/>
  <c r="R225" i="12"/>
  <c r="R203" i="12"/>
  <c r="R202" i="12"/>
  <c r="R155" i="12"/>
  <c r="R154" i="12"/>
  <c r="R126" i="12"/>
  <c r="R122" i="12"/>
  <c r="R118" i="12"/>
  <c r="R114" i="12"/>
  <c r="R110" i="12"/>
  <c r="R106" i="12"/>
  <c r="R102" i="12"/>
  <c r="R98" i="12"/>
  <c r="R94" i="12"/>
  <c r="R224" i="12"/>
  <c r="R221" i="12"/>
  <c r="R214" i="12"/>
  <c r="R213" i="12"/>
  <c r="R197" i="12"/>
  <c r="R186" i="12"/>
  <c r="R185" i="12"/>
  <c r="R174" i="12"/>
  <c r="R173" i="12"/>
  <c r="R149" i="12"/>
  <c r="R223" i="12"/>
  <c r="R208" i="12"/>
  <c r="R204" i="12"/>
  <c r="R192" i="12"/>
  <c r="R165" i="12"/>
  <c r="R164" i="12"/>
  <c r="R157" i="12"/>
  <c r="R156" i="12"/>
  <c r="R145" i="12"/>
  <c r="R144" i="12"/>
  <c r="R140" i="12"/>
  <c r="R136" i="12"/>
  <c r="R198" i="12"/>
  <c r="R167" i="12"/>
  <c r="R166" i="12"/>
  <c r="R159" i="12"/>
  <c r="R158" i="12"/>
  <c r="R150" i="12"/>
  <c r="R146" i="12"/>
  <c r="R91" i="12"/>
  <c r="R217" i="12"/>
  <c r="R209" i="12"/>
  <c r="R205" i="12"/>
  <c r="R194" i="12"/>
  <c r="R193" i="12"/>
  <c r="R178" i="12"/>
  <c r="R177" i="12"/>
  <c r="R188" i="12"/>
  <c r="R169" i="12"/>
  <c r="R168" i="12"/>
  <c r="R160" i="12"/>
  <c r="R128" i="12"/>
  <c r="R124" i="12"/>
  <c r="R120" i="12"/>
  <c r="R116" i="12"/>
  <c r="R112" i="12"/>
  <c r="R108" i="12"/>
  <c r="R104" i="12"/>
  <c r="R100" i="12"/>
  <c r="R96" i="12"/>
  <c r="R92" i="12"/>
  <c r="R200" i="12"/>
  <c r="R199" i="12"/>
  <c r="R195" i="12"/>
  <c r="R180" i="12"/>
  <c r="R179" i="12"/>
  <c r="R151" i="12"/>
  <c r="R147" i="12"/>
  <c r="R229" i="12"/>
  <c r="R218" i="12"/>
  <c r="R211" i="12"/>
  <c r="R210" i="12"/>
  <c r="R206" i="12"/>
  <c r="R171" i="12"/>
  <c r="R170" i="12"/>
  <c r="R142" i="12"/>
  <c r="R138" i="12"/>
  <c r="R190" i="12"/>
  <c r="R182" i="12"/>
  <c r="R175" i="12"/>
  <c r="R129" i="12"/>
  <c r="R127" i="12"/>
  <c r="R125" i="12"/>
  <c r="R215" i="12"/>
  <c r="R176" i="12"/>
  <c r="R93" i="12"/>
  <c r="R216" i="12"/>
  <c r="R95" i="12"/>
  <c r="R201" i="12"/>
  <c r="R97" i="12"/>
  <c r="R228" i="12"/>
  <c r="R134" i="12"/>
  <c r="R99" i="12"/>
  <c r="P131" i="12"/>
  <c r="R103" i="12"/>
  <c r="R101" i="12"/>
  <c r="R187" i="12"/>
  <c r="R107" i="12"/>
  <c r="R105" i="12"/>
  <c r="R161" i="12"/>
  <c r="R111" i="12"/>
  <c r="R109" i="12"/>
  <c r="R189" i="12"/>
  <c r="R181" i="12"/>
  <c r="R143" i="12"/>
  <c r="R141" i="12"/>
  <c r="R139" i="12"/>
  <c r="R137" i="12"/>
  <c r="R135" i="12"/>
  <c r="R119" i="12"/>
  <c r="R117" i="12"/>
  <c r="R115" i="12"/>
  <c r="R113" i="12"/>
  <c r="R162" i="12"/>
  <c r="R121" i="12"/>
  <c r="R123" i="12"/>
  <c r="L18" i="46"/>
  <c r="D27" i="46"/>
  <c r="T27" i="46"/>
  <c r="Z18" i="46"/>
  <c r="L18" i="40"/>
  <c r="D27" i="40"/>
  <c r="H27" i="38"/>
  <c r="N18" i="38"/>
  <c r="T27" i="23"/>
  <c r="Z18" i="23"/>
  <c r="L18" i="25"/>
  <c r="D27" i="25"/>
  <c r="X18" i="22"/>
  <c r="P27" i="22"/>
  <c r="T27" i="26"/>
  <c r="Z18" i="26"/>
  <c r="T27" i="19"/>
  <c r="Z18" i="19"/>
  <c r="X18" i="8"/>
  <c r="P27" i="8"/>
  <c r="L18" i="10"/>
  <c r="D27" i="10"/>
  <c r="D35" i="108"/>
  <c r="L16" i="108"/>
  <c r="V50" i="79"/>
  <c r="V47" i="79"/>
  <c r="V40" i="79"/>
  <c r="V16" i="79"/>
  <c r="V39" i="79"/>
  <c r="V31" i="79"/>
  <c r="V52" i="79"/>
  <c r="V48" i="79"/>
  <c r="V42" i="79"/>
  <c r="V26" i="79"/>
  <c r="V53" i="79"/>
  <c r="V41" i="79"/>
  <c r="V17" i="79"/>
  <c r="V44" i="79"/>
  <c r="V32" i="79"/>
  <c r="Z12" i="79"/>
  <c r="V49" i="79"/>
  <c r="V43" i="79"/>
  <c r="V27" i="79"/>
  <c r="V23" i="79"/>
  <c r="V34" i="79"/>
  <c r="V22" i="79"/>
  <c r="V20" i="79"/>
  <c r="V18" i="79"/>
  <c r="V60" i="79"/>
  <c r="V54" i="79"/>
  <c r="V33" i="79"/>
  <c r="V29" i="79"/>
  <c r="V45" i="79"/>
  <c r="V36" i="79"/>
  <c r="V28" i="79"/>
  <c r="V24" i="79"/>
  <c r="V38" i="79"/>
  <c r="V30" i="79"/>
  <c r="V56" i="79"/>
  <c r="T20" i="79"/>
  <c r="V35" i="79"/>
  <c r="V37" i="79"/>
  <c r="V25" i="79"/>
  <c r="V46" i="79"/>
  <c r="V51" i="79"/>
  <c r="R69" i="76"/>
  <c r="R68" i="76"/>
  <c r="R56" i="76"/>
  <c r="R52" i="76"/>
  <c r="R79" i="76"/>
  <c r="R43" i="76"/>
  <c r="R39" i="76"/>
  <c r="R35" i="76"/>
  <c r="R71" i="76"/>
  <c r="R70" i="76"/>
  <c r="R62" i="76"/>
  <c r="R57" i="76"/>
  <c r="R53" i="76"/>
  <c r="R80" i="76"/>
  <c r="R72" i="76"/>
  <c r="R59" i="76"/>
  <c r="R58" i="76"/>
  <c r="R54" i="76"/>
  <c r="R50" i="76"/>
  <c r="P46" i="76"/>
  <c r="R87" i="76"/>
  <c r="R65" i="76"/>
  <c r="R64" i="76"/>
  <c r="R60" i="76"/>
  <c r="X12" i="76"/>
  <c r="R92" i="76"/>
  <c r="R85" i="76"/>
  <c r="R67" i="76"/>
  <c r="R66" i="76"/>
  <c r="R42" i="76"/>
  <c r="R38" i="76"/>
  <c r="R88" i="76"/>
  <c r="R48" i="76"/>
  <c r="R41" i="76"/>
  <c r="R78" i="76"/>
  <c r="R75" i="76"/>
  <c r="R37" i="76"/>
  <c r="R49" i="76"/>
  <c r="R51" i="76"/>
  <c r="R44" i="76"/>
  <c r="R83" i="76"/>
  <c r="R86" i="76"/>
  <c r="R76" i="76"/>
  <c r="R55" i="76"/>
  <c r="R40" i="76"/>
  <c r="R81" i="76"/>
  <c r="R73" i="76"/>
  <c r="R61" i="76"/>
  <c r="R36" i="76"/>
  <c r="R63" i="76"/>
  <c r="R74" i="76"/>
  <c r="R82" i="76"/>
  <c r="R34" i="76"/>
  <c r="R77" i="76"/>
  <c r="R46" i="76"/>
  <c r="X16" i="67"/>
  <c r="P45" i="67"/>
  <c r="X16" i="60"/>
  <c r="P44" i="60"/>
  <c r="R49" i="72"/>
  <c r="R48" i="72"/>
  <c r="R60" i="72"/>
  <c r="R53" i="72"/>
  <c r="R52" i="72"/>
  <c r="R41" i="72"/>
  <c r="R40" i="72"/>
  <c r="R50" i="72"/>
  <c r="R42" i="72"/>
  <c r="R19" i="72"/>
  <c r="R54" i="72"/>
  <c r="R47" i="72"/>
  <c r="R43" i="72"/>
  <c r="R30" i="72"/>
  <c r="R27" i="72"/>
  <c r="R64" i="72"/>
  <c r="R58" i="72"/>
  <c r="R55" i="72"/>
  <c r="R51" i="72"/>
  <c r="R38" i="72"/>
  <c r="R33" i="72"/>
  <c r="R20" i="72"/>
  <c r="R68" i="72"/>
  <c r="R59" i="72"/>
  <c r="R39" i="72"/>
  <c r="R44" i="72"/>
  <c r="R35" i="72"/>
  <c r="R34" i="72"/>
  <c r="R31" i="72"/>
  <c r="R21" i="72"/>
  <c r="R45" i="72"/>
  <c r="R28" i="72"/>
  <c r="X12" i="72"/>
  <c r="Z12" i="72" s="1"/>
  <c r="R56" i="72"/>
  <c r="R23" i="72"/>
  <c r="R36" i="72"/>
  <c r="R25" i="72"/>
  <c r="P23" i="72"/>
  <c r="R71" i="72"/>
  <c r="R26" i="72"/>
  <c r="R57" i="72"/>
  <c r="R46" i="72"/>
  <c r="R37" i="72"/>
  <c r="R32" i="72"/>
  <c r="R66" i="72"/>
  <c r="R29" i="72"/>
  <c r="R62" i="72"/>
  <c r="Z17" i="48"/>
  <c r="T50" i="48"/>
  <c r="L16" i="9"/>
  <c r="D88" i="9"/>
  <c r="L18" i="44"/>
  <c r="D27" i="44"/>
  <c r="H27" i="41"/>
  <c r="N18" i="41"/>
  <c r="X18" i="32"/>
  <c r="P27" i="32"/>
  <c r="T27" i="28"/>
  <c r="Z18" i="28"/>
  <c r="N16" i="104"/>
  <c r="H31" i="104"/>
  <c r="N16" i="98"/>
  <c r="H22" i="98"/>
  <c r="D67" i="94"/>
  <c r="N20" i="94"/>
  <c r="H63" i="94"/>
  <c r="V20" i="93"/>
  <c r="H74" i="87"/>
  <c r="J20" i="87"/>
  <c r="Z85" i="76"/>
  <c r="X12" i="79"/>
  <c r="V58" i="80"/>
  <c r="V50" i="80"/>
  <c r="V42" i="80"/>
  <c r="V22" i="80"/>
  <c r="V18" i="80"/>
  <c r="V52" i="80"/>
  <c r="V44" i="80"/>
  <c r="V28" i="80"/>
  <c r="V24" i="80"/>
  <c r="V61" i="80"/>
  <c r="V59" i="80"/>
  <c r="V51" i="80"/>
  <c r="V43" i="80"/>
  <c r="V53" i="80"/>
  <c r="V45" i="80"/>
  <c r="V29" i="80"/>
  <c r="V25" i="80"/>
  <c r="V48" i="80"/>
  <c r="V36" i="80"/>
  <c r="V16" i="80"/>
  <c r="V54" i="80"/>
  <c r="V38" i="80"/>
  <c r="V55" i="80"/>
  <c r="V17" i="80"/>
  <c r="V46" i="80"/>
  <c r="V30" i="80"/>
  <c r="V35" i="80"/>
  <c r="V33" i="80"/>
  <c r="V23" i="80"/>
  <c r="V56" i="80"/>
  <c r="V65" i="80"/>
  <c r="V41" i="80"/>
  <c r="Z12" i="80"/>
  <c r="V49" i="80"/>
  <c r="V26" i="80"/>
  <c r="V39" i="80"/>
  <c r="V31" i="80"/>
  <c r="V47" i="80"/>
  <c r="V40" i="80"/>
  <c r="V34" i="80"/>
  <c r="V32" i="80"/>
  <c r="V27" i="80"/>
  <c r="T20" i="80"/>
  <c r="V37" i="80"/>
  <c r="V57" i="80"/>
  <c r="D55" i="78"/>
  <c r="J20" i="69"/>
  <c r="H60" i="69"/>
  <c r="Z16" i="67"/>
  <c r="T45" i="67"/>
  <c r="Z88" i="63"/>
  <c r="D44" i="61"/>
  <c r="L16" i="61"/>
  <c r="N16" i="59"/>
  <c r="H53" i="59"/>
  <c r="D65" i="58"/>
  <c r="L16" i="58"/>
  <c r="Z85" i="51"/>
  <c r="X85" i="51"/>
  <c r="N104" i="42"/>
  <c r="T81" i="45"/>
  <c r="V21" i="45"/>
  <c r="T102" i="27"/>
  <c r="Z49" i="27"/>
  <c r="J82" i="21"/>
  <c r="J76" i="21"/>
  <c r="J70" i="21"/>
  <c r="J58" i="21"/>
  <c r="J48" i="21"/>
  <c r="J83" i="21"/>
  <c r="J77" i="21"/>
  <c r="J59" i="21"/>
  <c r="J49" i="21"/>
  <c r="J41" i="21"/>
  <c r="J84" i="21"/>
  <c r="J60" i="21"/>
  <c r="J50" i="21"/>
  <c r="J71" i="21"/>
  <c r="J61" i="21"/>
  <c r="J51" i="21"/>
  <c r="J86" i="21"/>
  <c r="J78" i="21"/>
  <c r="J62" i="21"/>
  <c r="J42" i="21"/>
  <c r="J90" i="21"/>
  <c r="J72" i="21"/>
  <c r="J64" i="21"/>
  <c r="J52" i="21"/>
  <c r="J66" i="21"/>
  <c r="J54" i="21"/>
  <c r="J73" i="21"/>
  <c r="J67" i="21"/>
  <c r="J55" i="21"/>
  <c r="J45" i="21"/>
  <c r="J80" i="21"/>
  <c r="J74" i="21"/>
  <c r="J68" i="21"/>
  <c r="J56" i="21"/>
  <c r="J46" i="21"/>
  <c r="J40" i="21"/>
  <c r="J65" i="21"/>
  <c r="J63" i="21"/>
  <c r="J47" i="21"/>
  <c r="J39" i="21"/>
  <c r="J33" i="21"/>
  <c r="J30" i="21"/>
  <c r="J22" i="21"/>
  <c r="J43" i="21"/>
  <c r="J75" i="21"/>
  <c r="J36" i="21"/>
  <c r="J81" i="21"/>
  <c r="J79" i="21"/>
  <c r="J57" i="21"/>
  <c r="H26" i="21"/>
  <c r="J34" i="21"/>
  <c r="J31" i="21"/>
  <c r="J23" i="21"/>
  <c r="J44" i="21"/>
  <c r="J37" i="21"/>
  <c r="J28" i="21"/>
  <c r="J69" i="21"/>
  <c r="J53" i="21"/>
  <c r="J38" i="21"/>
  <c r="J32" i="21"/>
  <c r="J29" i="21"/>
  <c r="J35" i="21"/>
  <c r="J24" i="21"/>
  <c r="D223" i="15"/>
  <c r="H27" i="110"/>
  <c r="N18" i="110"/>
  <c r="X18" i="49"/>
  <c r="P27" i="49"/>
  <c r="D27" i="47"/>
  <c r="L18" i="47"/>
  <c r="T27" i="31"/>
  <c r="Z18" i="31"/>
  <c r="L18" i="31"/>
  <c r="D27" i="31"/>
  <c r="X18" i="26"/>
  <c r="P27" i="26"/>
  <c r="X18" i="25"/>
  <c r="P27" i="25"/>
  <c r="L18" i="13"/>
  <c r="D27" i="13"/>
  <c r="H27" i="17"/>
  <c r="N18" i="17"/>
  <c r="X18" i="7"/>
  <c r="P27" i="7"/>
  <c r="L18" i="16"/>
  <c r="D27" i="16"/>
  <c r="X18" i="10"/>
  <c r="P27" i="10"/>
  <c r="X18" i="4"/>
  <c r="P27" i="4"/>
  <c r="H27" i="4"/>
  <c r="N18" i="4"/>
  <c r="J57" i="101"/>
  <c r="J64" i="101"/>
  <c r="J52" i="101"/>
  <c r="J42" i="101"/>
  <c r="J43" i="101"/>
  <c r="J35" i="101"/>
  <c r="J59" i="101"/>
  <c r="J44" i="101"/>
  <c r="J30" i="101"/>
  <c r="J26" i="101"/>
  <c r="J16" i="101"/>
  <c r="J60" i="101"/>
  <c r="J53" i="101"/>
  <c r="J45" i="101"/>
  <c r="J17" i="101"/>
  <c r="J54" i="101"/>
  <c r="J46" i="101"/>
  <c r="J36" i="101"/>
  <c r="J55" i="101"/>
  <c r="J47" i="101"/>
  <c r="J31" i="101"/>
  <c r="J27" i="101"/>
  <c r="J56" i="101"/>
  <c r="J48" i="101"/>
  <c r="J32" i="101"/>
  <c r="J18" i="101"/>
  <c r="J49" i="101"/>
  <c r="J37" i="101"/>
  <c r="J33" i="101"/>
  <c r="J23" i="101"/>
  <c r="J38" i="101"/>
  <c r="J28" i="101"/>
  <c r="J24" i="101"/>
  <c r="J22" i="101"/>
  <c r="J20" i="101"/>
  <c r="J50" i="101"/>
  <c r="J40" i="101"/>
  <c r="J34" i="101"/>
  <c r="J39" i="101"/>
  <c r="J41" i="101"/>
  <c r="H20" i="101"/>
  <c r="J25" i="101"/>
  <c r="J51" i="101"/>
  <c r="J29" i="101"/>
  <c r="P22" i="98"/>
  <c r="X16" i="98"/>
  <c r="X20" i="94"/>
  <c r="Z20" i="94" s="1"/>
  <c r="P63" i="94"/>
  <c r="D59" i="93"/>
  <c r="L20" i="93"/>
  <c r="V82" i="84"/>
  <c r="V95" i="84"/>
  <c r="V93" i="84"/>
  <c r="V85" i="84"/>
  <c r="V77" i="84"/>
  <c r="V65" i="84"/>
  <c r="V57" i="84"/>
  <c r="V53" i="84"/>
  <c r="V49" i="84"/>
  <c r="V84" i="84"/>
  <c r="V76" i="84"/>
  <c r="V64" i="84"/>
  <c r="V48" i="84"/>
  <c r="V79" i="84"/>
  <c r="V67" i="84"/>
  <c r="V59" i="84"/>
  <c r="V99" i="84"/>
  <c r="V69" i="84"/>
  <c r="V90" i="84"/>
  <c r="V70" i="84"/>
  <c r="V80" i="84"/>
  <c r="V92" i="84"/>
  <c r="V83" i="84"/>
  <c r="V74" i="84"/>
  <c r="V68" i="84"/>
  <c r="V54" i="84"/>
  <c r="V44" i="84"/>
  <c r="V40" i="84"/>
  <c r="V36" i="84"/>
  <c r="V86" i="84"/>
  <c r="V58" i="84"/>
  <c r="T46" i="84"/>
  <c r="V75" i="84"/>
  <c r="V72" i="84"/>
  <c r="V61" i="84"/>
  <c r="V89" i="84"/>
  <c r="V78" i="84"/>
  <c r="V55" i="84"/>
  <c r="V52" i="84"/>
  <c r="V41" i="84"/>
  <c r="V37" i="84"/>
  <c r="V33" i="84"/>
  <c r="V81" i="84"/>
  <c r="V66" i="84"/>
  <c r="V87" i="84"/>
  <c r="V73" i="84"/>
  <c r="V62" i="84"/>
  <c r="V42" i="84"/>
  <c r="V38" i="84"/>
  <c r="V34" i="84"/>
  <c r="V63" i="84"/>
  <c r="V88" i="84"/>
  <c r="V60" i="84"/>
  <c r="V43" i="84"/>
  <c r="V39" i="84"/>
  <c r="V35" i="84"/>
  <c r="V51" i="84"/>
  <c r="V91" i="84"/>
  <c r="V50" i="84"/>
  <c r="V71" i="84"/>
  <c r="V56" i="84"/>
  <c r="J58" i="83"/>
  <c r="J50" i="83"/>
  <c r="J40" i="83"/>
  <c r="J28" i="83"/>
  <c r="J24" i="83"/>
  <c r="J22" i="83"/>
  <c r="J60" i="83"/>
  <c r="J61" i="83"/>
  <c r="J53" i="83"/>
  <c r="J62" i="83"/>
  <c r="J54" i="83"/>
  <c r="J44" i="83"/>
  <c r="J30" i="83"/>
  <c r="J26" i="83"/>
  <c r="J16" i="83"/>
  <c r="J39" i="83"/>
  <c r="J29" i="83"/>
  <c r="J23" i="83"/>
  <c r="J59" i="83"/>
  <c r="J56" i="83"/>
  <c r="J47" i="83"/>
  <c r="J32" i="83"/>
  <c r="N12" i="83"/>
  <c r="J35" i="83"/>
  <c r="J51" i="83"/>
  <c r="J43" i="83"/>
  <c r="J27" i="83"/>
  <c r="J17" i="83"/>
  <c r="J52" i="83"/>
  <c r="J48" i="83"/>
  <c r="J33" i="83"/>
  <c r="J63" i="83"/>
  <c r="J57" i="83"/>
  <c r="J41" i="83"/>
  <c r="J36" i="83"/>
  <c r="J69" i="83"/>
  <c r="J45" i="83"/>
  <c r="J37" i="83"/>
  <c r="J55" i="83"/>
  <c r="J34" i="83"/>
  <c r="J31" i="83"/>
  <c r="J18" i="83"/>
  <c r="J38" i="83"/>
  <c r="J65" i="83"/>
  <c r="J49" i="83"/>
  <c r="J42" i="83"/>
  <c r="H20" i="83"/>
  <c r="J20" i="83" s="1"/>
  <c r="J25" i="83"/>
  <c r="J46" i="83"/>
  <c r="N23" i="78"/>
  <c r="H51" i="78"/>
  <c r="F57" i="73"/>
  <c r="F56" i="73"/>
  <c r="F44" i="73"/>
  <c r="F42" i="73"/>
  <c r="F37" i="73"/>
  <c r="F33" i="73"/>
  <c r="D42" i="73"/>
  <c r="L12" i="73"/>
  <c r="N12" i="73" s="1"/>
  <c r="F59" i="73"/>
  <c r="F58" i="73"/>
  <c r="F51" i="73"/>
  <c r="F47" i="73"/>
  <c r="F63" i="73"/>
  <c r="F61" i="73"/>
  <c r="F52" i="73"/>
  <c r="F48" i="73"/>
  <c r="F49" i="73"/>
  <c r="F70" i="73"/>
  <c r="F67" i="73"/>
  <c r="F40" i="73"/>
  <c r="F45" i="73"/>
  <c r="F34" i="73"/>
  <c r="F32" i="73"/>
  <c r="F39" i="73"/>
  <c r="F55" i="73"/>
  <c r="F50" i="73"/>
  <c r="F46" i="73"/>
  <c r="F35" i="73"/>
  <c r="F30" i="73"/>
  <c r="F53" i="73"/>
  <c r="F31" i="73"/>
  <c r="F65" i="73"/>
  <c r="F36" i="73"/>
  <c r="F38" i="73"/>
  <c r="F54" i="73"/>
  <c r="H67" i="75"/>
  <c r="V58" i="69"/>
  <c r="V56" i="69"/>
  <c r="V48" i="69"/>
  <c r="V36" i="69"/>
  <c r="V32" i="69"/>
  <c r="Z12" i="69"/>
  <c r="V50" i="69"/>
  <c r="V38" i="69"/>
  <c r="V22" i="69"/>
  <c r="V18" i="69"/>
  <c r="V41" i="69"/>
  <c r="V33" i="69"/>
  <c r="V62" i="69"/>
  <c r="V52" i="69"/>
  <c r="V51" i="69"/>
  <c r="V43" i="69"/>
  <c r="V55" i="69"/>
  <c r="V47" i="69"/>
  <c r="V35" i="69"/>
  <c r="V53" i="69"/>
  <c r="V37" i="69"/>
  <c r="V34" i="69"/>
  <c r="V29" i="69"/>
  <c r="V25" i="69"/>
  <c r="V23" i="69"/>
  <c r="V17" i="69"/>
  <c r="V49" i="69"/>
  <c r="V46" i="69"/>
  <c r="V31" i="69"/>
  <c r="V27" i="69"/>
  <c r="V40" i="69"/>
  <c r="V44" i="69"/>
  <c r="V54" i="69"/>
  <c r="V45" i="69"/>
  <c r="V28" i="69"/>
  <c r="V24" i="69"/>
  <c r="V30" i="69"/>
  <c r="V26" i="69"/>
  <c r="T20" i="69"/>
  <c r="V20" i="69" s="1"/>
  <c r="V39" i="69"/>
  <c r="V16" i="69"/>
  <c r="V42" i="69"/>
  <c r="P44" i="61"/>
  <c r="X16" i="61"/>
  <c r="H79" i="68"/>
  <c r="L79" i="68" s="1"/>
  <c r="N44" i="68"/>
  <c r="P92" i="63"/>
  <c r="X16" i="63"/>
  <c r="N16" i="61"/>
  <c r="H44" i="61"/>
  <c r="D109" i="42"/>
  <c r="T26" i="54"/>
  <c r="Z22" i="54"/>
  <c r="Z98" i="27"/>
  <c r="F70" i="30"/>
  <c r="F63" i="30"/>
  <c r="F59" i="30"/>
  <c r="F55" i="30"/>
  <c r="F51" i="30"/>
  <c r="F126" i="30"/>
  <c r="F125" i="30"/>
  <c r="F110" i="30"/>
  <c r="F102" i="30"/>
  <c r="F101" i="30"/>
  <c r="F90" i="30"/>
  <c r="F89" i="30"/>
  <c r="F82" i="30"/>
  <c r="D68" i="30"/>
  <c r="F130" i="30"/>
  <c r="F117" i="30"/>
  <c r="F77" i="30"/>
  <c r="F73" i="30"/>
  <c r="F134" i="30"/>
  <c r="F129" i="30"/>
  <c r="F104" i="30"/>
  <c r="F103" i="30"/>
  <c r="F92" i="30"/>
  <c r="F91" i="30"/>
  <c r="F64" i="30"/>
  <c r="F60" i="30"/>
  <c r="F56" i="30"/>
  <c r="F52" i="30"/>
  <c r="F128" i="30"/>
  <c r="F111" i="30"/>
  <c r="F83" i="30"/>
  <c r="F118" i="30"/>
  <c r="F106" i="30"/>
  <c r="F105" i="30"/>
  <c r="F94" i="30"/>
  <c r="F93" i="30"/>
  <c r="F78" i="30"/>
  <c r="F74" i="30"/>
  <c r="F113" i="30"/>
  <c r="F112" i="30"/>
  <c r="F120" i="30"/>
  <c r="F119" i="30"/>
  <c r="F96" i="30"/>
  <c r="F95" i="30"/>
  <c r="F84" i="30"/>
  <c r="F115" i="30"/>
  <c r="F114" i="30"/>
  <c r="F107" i="30"/>
  <c r="F79" i="30"/>
  <c r="F75" i="30"/>
  <c r="F122" i="30"/>
  <c r="F121" i="30"/>
  <c r="F98" i="30"/>
  <c r="F97" i="30"/>
  <c r="F86" i="30"/>
  <c r="F85" i="30"/>
  <c r="F66" i="30"/>
  <c r="F62" i="30"/>
  <c r="F58" i="30"/>
  <c r="F54" i="30"/>
  <c r="F50" i="30"/>
  <c r="F49" i="30"/>
  <c r="F109" i="30"/>
  <c r="F108" i="30"/>
  <c r="F81" i="30"/>
  <c r="F80" i="30"/>
  <c r="F57" i="30"/>
  <c r="F124" i="30"/>
  <c r="F88" i="30"/>
  <c r="F76" i="30"/>
  <c r="F71" i="30"/>
  <c r="F100" i="30"/>
  <c r="F61" i="30"/>
  <c r="F87" i="30"/>
  <c r="F72" i="30"/>
  <c r="F65" i="30"/>
  <c r="F53" i="30"/>
  <c r="L12" i="30"/>
  <c r="N12" i="30" s="1"/>
  <c r="F123" i="30"/>
  <c r="F99" i="30"/>
  <c r="F116" i="30"/>
  <c r="J244" i="18"/>
  <c r="J228" i="18"/>
  <c r="J212" i="18"/>
  <c r="J196" i="18"/>
  <c r="J186" i="18"/>
  <c r="J178" i="18"/>
  <c r="J160" i="18"/>
  <c r="J156" i="18"/>
  <c r="J243" i="18"/>
  <c r="J235" i="18"/>
  <c r="J223" i="18"/>
  <c r="J197" i="18"/>
  <c r="J187" i="18"/>
  <c r="J179" i="18"/>
  <c r="J242" i="18"/>
  <c r="J236" i="18"/>
  <c r="J218" i="18"/>
  <c r="J206" i="18"/>
  <c r="J198" i="18"/>
  <c r="J188" i="18"/>
  <c r="J170" i="18"/>
  <c r="J166" i="18"/>
  <c r="J241" i="18"/>
  <c r="J237" i="18"/>
  <c r="J229" i="18"/>
  <c r="J219" i="18"/>
  <c r="J213" i="18"/>
  <c r="J207" i="18"/>
  <c r="J199" i="18"/>
  <c r="J189" i="18"/>
  <c r="J161" i="18"/>
  <c r="J157" i="18"/>
  <c r="J240" i="18"/>
  <c r="J230" i="18"/>
  <c r="J224" i="18"/>
  <c r="J220" i="18"/>
  <c r="J208" i="18"/>
  <c r="J200" i="18"/>
  <c r="J190" i="18"/>
  <c r="J180" i="18"/>
  <c r="J148" i="18"/>
  <c r="J144" i="18"/>
  <c r="J140" i="18"/>
  <c r="J136" i="18"/>
  <c r="J132" i="18"/>
  <c r="J128" i="18"/>
  <c r="J124" i="18"/>
  <c r="J120" i="18"/>
  <c r="J116" i="18"/>
  <c r="J112" i="18"/>
  <c r="J108" i="18"/>
  <c r="J239" i="18"/>
  <c r="J231" i="18"/>
  <c r="J201" i="18"/>
  <c r="J191" i="18"/>
  <c r="J181" i="18"/>
  <c r="J171" i="18"/>
  <c r="J167" i="18"/>
  <c r="J153" i="18"/>
  <c r="J232" i="18"/>
  <c r="J214" i="18"/>
  <c r="J202" i="18"/>
  <c r="J182" i="18"/>
  <c r="J233" i="18"/>
  <c r="J225" i="18"/>
  <c r="J221" i="18"/>
  <c r="J209" i="18"/>
  <c r="J203" i="18"/>
  <c r="J173" i="18"/>
  <c r="J204" i="18"/>
  <c r="J192" i="18"/>
  <c r="J174" i="18"/>
  <c r="J168" i="18"/>
  <c r="J247" i="18"/>
  <c r="J215" i="18"/>
  <c r="J193" i="18"/>
  <c r="J183" i="18"/>
  <c r="J175" i="18"/>
  <c r="J163" i="18"/>
  <c r="J159" i="18"/>
  <c r="J155" i="18"/>
  <c r="J246" i="18"/>
  <c r="J234" i="18"/>
  <c r="J226" i="18"/>
  <c r="J222" i="18"/>
  <c r="J216" i="18"/>
  <c r="J210" i="18"/>
  <c r="J194" i="18"/>
  <c r="J184" i="18"/>
  <c r="J176" i="18"/>
  <c r="J164" i="18"/>
  <c r="J146" i="18"/>
  <c r="J142" i="18"/>
  <c r="J138" i="18"/>
  <c r="J134" i="18"/>
  <c r="J130" i="18"/>
  <c r="J126" i="18"/>
  <c r="J122" i="18"/>
  <c r="J118" i="18"/>
  <c r="J114" i="18"/>
  <c r="J110" i="18"/>
  <c r="J106" i="18"/>
  <c r="J251" i="18"/>
  <c r="J245" i="18"/>
  <c r="J227" i="18"/>
  <c r="J217" i="18"/>
  <c r="J211" i="18"/>
  <c r="J205" i="18"/>
  <c r="J195" i="18"/>
  <c r="J185" i="18"/>
  <c r="J177" i="18"/>
  <c r="J169" i="18"/>
  <c r="J165" i="18"/>
  <c r="J154" i="18"/>
  <c r="J137" i="18"/>
  <c r="J135" i="18"/>
  <c r="J172" i="18"/>
  <c r="J152" i="18"/>
  <c r="J133" i="18"/>
  <c r="J131" i="18"/>
  <c r="J158" i="18"/>
  <c r="J127" i="18"/>
  <c r="J123" i="18"/>
  <c r="J119" i="18"/>
  <c r="J115" i="18"/>
  <c r="J111" i="18"/>
  <c r="J107" i="18"/>
  <c r="J129" i="18"/>
  <c r="J125" i="18"/>
  <c r="J121" i="18"/>
  <c r="J117" i="18"/>
  <c r="J113" i="18"/>
  <c r="J109" i="18"/>
  <c r="J105" i="18"/>
  <c r="J162" i="18"/>
  <c r="J150" i="18"/>
  <c r="N12" i="18"/>
  <c r="H150" i="18"/>
  <c r="J147" i="18"/>
  <c r="J104" i="18"/>
  <c r="J145" i="18"/>
  <c r="J143" i="18"/>
  <c r="J139" i="18"/>
  <c r="J141" i="18"/>
  <c r="P92" i="9"/>
  <c r="L18" i="110"/>
  <c r="D27" i="110"/>
  <c r="T27" i="52"/>
  <c r="Z18" i="52"/>
  <c r="X18" i="52"/>
  <c r="P27" i="52"/>
  <c r="X18" i="35"/>
  <c r="P27" i="35"/>
  <c r="X18" i="34"/>
  <c r="P27" i="34"/>
  <c r="L18" i="35"/>
  <c r="D27" i="35"/>
  <c r="X18" i="37"/>
  <c r="P27" i="37"/>
  <c r="H27" i="35"/>
  <c r="N18" i="35"/>
  <c r="X18" i="23"/>
  <c r="P27" i="23"/>
  <c r="H27" i="22"/>
  <c r="N18" i="22"/>
  <c r="T27" i="14"/>
  <c r="Z18" i="14"/>
  <c r="X18" i="16"/>
  <c r="P27" i="16"/>
  <c r="D27" i="8"/>
  <c r="L18" i="8"/>
  <c r="H27" i="5"/>
  <c r="N18" i="5"/>
  <c r="L31" i="108"/>
  <c r="R62" i="103"/>
  <c r="R58" i="103"/>
  <c r="R51" i="103"/>
  <c r="R50" i="103"/>
  <c r="R30" i="103"/>
  <c r="R26" i="103"/>
  <c r="R75" i="103"/>
  <c r="R53" i="103"/>
  <c r="R52" i="103"/>
  <c r="R41" i="103"/>
  <c r="R40" i="103"/>
  <c r="R36" i="103"/>
  <c r="R64" i="103"/>
  <c r="R63" i="103"/>
  <c r="R59" i="103"/>
  <c r="R31" i="103"/>
  <c r="R27" i="103"/>
  <c r="R54" i="103"/>
  <c r="R43" i="103"/>
  <c r="R42" i="103"/>
  <c r="R18" i="103"/>
  <c r="R66" i="103"/>
  <c r="R65" i="103"/>
  <c r="R37" i="103"/>
  <c r="R60" i="103"/>
  <c r="R45" i="103"/>
  <c r="R44" i="103"/>
  <c r="R32" i="103"/>
  <c r="R28" i="103"/>
  <c r="R68" i="103"/>
  <c r="R67" i="103"/>
  <c r="R55" i="103"/>
  <c r="R47" i="103"/>
  <c r="R46" i="103"/>
  <c r="R38" i="103"/>
  <c r="R23" i="103"/>
  <c r="R21" i="103"/>
  <c r="R69" i="103"/>
  <c r="R61" i="103"/>
  <c r="R34" i="103"/>
  <c r="R33" i="103"/>
  <c r="R29" i="103"/>
  <c r="R25" i="103"/>
  <c r="P21" i="103"/>
  <c r="R71" i="103"/>
  <c r="R57" i="103"/>
  <c r="R56" i="103"/>
  <c r="R49" i="103"/>
  <c r="R48" i="103"/>
  <c r="R35" i="103"/>
  <c r="R24" i="103"/>
  <c r="X12" i="103"/>
  <c r="Z12" i="103" s="1"/>
  <c r="R39" i="103"/>
  <c r="R17" i="103"/>
  <c r="R19" i="103"/>
  <c r="N59" i="101"/>
  <c r="D62" i="101"/>
  <c r="Z22" i="98"/>
  <c r="T26" i="98"/>
  <c r="V19" i="92"/>
  <c r="P72" i="97"/>
  <c r="H79" i="91"/>
  <c r="L79" i="91" s="1"/>
  <c r="N16" i="91"/>
  <c r="R74" i="87"/>
  <c r="R72" i="87"/>
  <c r="R76" i="87"/>
  <c r="R69" i="87"/>
  <c r="R62" i="87"/>
  <c r="R39" i="87"/>
  <c r="R38" i="87"/>
  <c r="R30" i="87"/>
  <c r="R26" i="87"/>
  <c r="R57" i="87"/>
  <c r="R50" i="87"/>
  <c r="R49" i="87"/>
  <c r="R17" i="87"/>
  <c r="R41" i="87"/>
  <c r="R40" i="87"/>
  <c r="X12" i="87"/>
  <c r="R78" i="87"/>
  <c r="R63" i="87"/>
  <c r="R51" i="87"/>
  <c r="R32" i="87"/>
  <c r="R31" i="87"/>
  <c r="R27" i="87"/>
  <c r="R70" i="87"/>
  <c r="R59" i="87"/>
  <c r="R58" i="87"/>
  <c r="R42" i="87"/>
  <c r="R23" i="87"/>
  <c r="R18" i="87"/>
  <c r="R81" i="87"/>
  <c r="R33" i="87"/>
  <c r="R22" i="87"/>
  <c r="R20" i="87"/>
  <c r="R65" i="87"/>
  <c r="R64" i="87"/>
  <c r="R60" i="87"/>
  <c r="R53" i="87"/>
  <c r="R52" i="87"/>
  <c r="R28" i="87"/>
  <c r="R24" i="87"/>
  <c r="R67" i="87"/>
  <c r="R66" i="87"/>
  <c r="R55" i="87"/>
  <c r="R54" i="87"/>
  <c r="R35" i="87"/>
  <c r="R34" i="87"/>
  <c r="R56" i="87"/>
  <c r="R37" i="87"/>
  <c r="R36" i="87"/>
  <c r="R47" i="87"/>
  <c r="R45" i="87"/>
  <c r="R43" i="87"/>
  <c r="P20" i="87"/>
  <c r="R44" i="87"/>
  <c r="R48" i="87"/>
  <c r="R46" i="87"/>
  <c r="R25" i="87"/>
  <c r="R16" i="87"/>
  <c r="R68" i="87"/>
  <c r="R29" i="87"/>
  <c r="R61" i="87"/>
  <c r="J88" i="84"/>
  <c r="J89" i="84"/>
  <c r="J81" i="84"/>
  <c r="J71" i="84"/>
  <c r="J61" i="84"/>
  <c r="J90" i="84"/>
  <c r="J72" i="84"/>
  <c r="J56" i="84"/>
  <c r="J52" i="84"/>
  <c r="J91" i="84"/>
  <c r="J73" i="84"/>
  <c r="J93" i="84"/>
  <c r="J83" i="84"/>
  <c r="J75" i="84"/>
  <c r="J86" i="84"/>
  <c r="J78" i="84"/>
  <c r="J66" i="84"/>
  <c r="J63" i="84"/>
  <c r="J50" i="84"/>
  <c r="J82" i="84"/>
  <c r="J77" i="84"/>
  <c r="J60" i="84"/>
  <c r="J43" i="84"/>
  <c r="J39" i="84"/>
  <c r="J35" i="84"/>
  <c r="J95" i="84"/>
  <c r="J80" i="84"/>
  <c r="J64" i="84"/>
  <c r="J51" i="84"/>
  <c r="J99" i="84"/>
  <c r="J92" i="84"/>
  <c r="J74" i="84"/>
  <c r="J68" i="84"/>
  <c r="J57" i="84"/>
  <c r="J65" i="84"/>
  <c r="J69" i="84"/>
  <c r="J58" i="84"/>
  <c r="J46" i="84"/>
  <c r="J84" i="84"/>
  <c r="J55" i="84"/>
  <c r="J87" i="84"/>
  <c r="J76" i="84"/>
  <c r="J62" i="84"/>
  <c r="J33" i="84"/>
  <c r="H46" i="84"/>
  <c r="J79" i="84"/>
  <c r="J49" i="84"/>
  <c r="J53" i="84"/>
  <c r="J85" i="84"/>
  <c r="J59" i="84"/>
  <c r="J44" i="84"/>
  <c r="J42" i="84"/>
  <c r="J40" i="84"/>
  <c r="J38" i="84"/>
  <c r="J36" i="84"/>
  <c r="J34" i="84"/>
  <c r="J70" i="84"/>
  <c r="J48" i="84"/>
  <c r="J67" i="84"/>
  <c r="J54" i="84"/>
  <c r="J41" i="84"/>
  <c r="J37" i="84"/>
  <c r="P30" i="85"/>
  <c r="L16" i="81"/>
  <c r="D22" i="81"/>
  <c r="J54" i="80"/>
  <c r="J48" i="80"/>
  <c r="J36" i="80"/>
  <c r="J30" i="80"/>
  <c r="J26" i="80"/>
  <c r="J16" i="80"/>
  <c r="J38" i="80"/>
  <c r="N12" i="80"/>
  <c r="J55" i="80"/>
  <c r="J57" i="80"/>
  <c r="J41" i="80"/>
  <c r="J33" i="80"/>
  <c r="J23" i="80"/>
  <c r="J58" i="80"/>
  <c r="J42" i="80"/>
  <c r="J28" i="80"/>
  <c r="J24" i="80"/>
  <c r="J22" i="80"/>
  <c r="J52" i="80"/>
  <c r="J44" i="80"/>
  <c r="J34" i="80"/>
  <c r="J61" i="80"/>
  <c r="J45" i="80"/>
  <c r="J40" i="80"/>
  <c r="J32" i="80"/>
  <c r="J50" i="80"/>
  <c r="J27" i="80"/>
  <c r="H20" i="80"/>
  <c r="J53" i="80"/>
  <c r="J37" i="80"/>
  <c r="J25" i="80"/>
  <c r="J43" i="80"/>
  <c r="J17" i="80"/>
  <c r="J46" i="80"/>
  <c r="J35" i="80"/>
  <c r="J65" i="80"/>
  <c r="J56" i="80"/>
  <c r="J51" i="80"/>
  <c r="J18" i="80"/>
  <c r="J29" i="80"/>
  <c r="J39" i="80"/>
  <c r="J31" i="80"/>
  <c r="J59" i="80"/>
  <c r="J47" i="80"/>
  <c r="J49" i="80"/>
  <c r="T67" i="83"/>
  <c r="Z20" i="83"/>
  <c r="V54" i="75"/>
  <c r="V46" i="75"/>
  <c r="V38" i="75"/>
  <c r="V61" i="75"/>
  <c r="V45" i="75"/>
  <c r="V37" i="75"/>
  <c r="V33" i="75"/>
  <c r="V29" i="75"/>
  <c r="V60" i="75"/>
  <c r="V56" i="75"/>
  <c r="V48" i="75"/>
  <c r="V28" i="75"/>
  <c r="V24" i="75"/>
  <c r="V65" i="75"/>
  <c r="V47" i="75"/>
  <c r="V39" i="75"/>
  <c r="T26" i="75"/>
  <c r="V26" i="75" s="1"/>
  <c r="V64" i="75"/>
  <c r="V62" i="75"/>
  <c r="V34" i="75"/>
  <c r="V30" i="75"/>
  <c r="V57" i="75"/>
  <c r="V49" i="75"/>
  <c r="V40" i="75"/>
  <c r="Z12" i="75"/>
  <c r="V51" i="75"/>
  <c r="V35" i="75"/>
  <c r="V31" i="75"/>
  <c r="V58" i="75"/>
  <c r="V50" i="75"/>
  <c r="V42" i="75"/>
  <c r="V69" i="75"/>
  <c r="V53" i="75"/>
  <c r="V41" i="75"/>
  <c r="V43" i="75"/>
  <c r="V32" i="75"/>
  <c r="V55" i="75"/>
  <c r="V44" i="75"/>
  <c r="V59" i="75"/>
  <c r="V36" i="75"/>
  <c r="V52" i="75"/>
  <c r="R86" i="68"/>
  <c r="R83" i="68"/>
  <c r="R71" i="68"/>
  <c r="R70" i="68"/>
  <c r="R54" i="68"/>
  <c r="R50" i="68"/>
  <c r="R64" i="68"/>
  <c r="R63" i="68"/>
  <c r="R56" i="68"/>
  <c r="R55" i="68"/>
  <c r="R51" i="68"/>
  <c r="R74" i="68"/>
  <c r="R73" i="68"/>
  <c r="R69" i="68"/>
  <c r="R52" i="68"/>
  <c r="R33" i="68"/>
  <c r="X12" i="68"/>
  <c r="Z12" i="68" s="1"/>
  <c r="R42" i="68"/>
  <c r="R38" i="68"/>
  <c r="R34" i="68"/>
  <c r="R81" i="68"/>
  <c r="R75" i="68"/>
  <c r="R59" i="68"/>
  <c r="R44" i="68"/>
  <c r="R66" i="68"/>
  <c r="R65" i="68"/>
  <c r="R60" i="68"/>
  <c r="R53" i="68"/>
  <c r="R47" i="68"/>
  <c r="R46" i="68"/>
  <c r="P44" i="68"/>
  <c r="R39" i="68"/>
  <c r="R35" i="68"/>
  <c r="R77" i="68"/>
  <c r="R61" i="68"/>
  <c r="R57" i="68"/>
  <c r="R48" i="68"/>
  <c r="R68" i="68"/>
  <c r="R67" i="68"/>
  <c r="R40" i="68"/>
  <c r="R36" i="68"/>
  <c r="R72" i="68"/>
  <c r="R62" i="68"/>
  <c r="R41" i="68"/>
  <c r="R79" i="68"/>
  <c r="R49" i="68"/>
  <c r="R37" i="68"/>
  <c r="R58" i="68"/>
  <c r="R103" i="70"/>
  <c r="R78" i="70"/>
  <c r="R77" i="70"/>
  <c r="R57" i="70"/>
  <c r="R53" i="70"/>
  <c r="R89" i="70"/>
  <c r="R88" i="70"/>
  <c r="R44" i="70"/>
  <c r="R40" i="70"/>
  <c r="R36" i="70"/>
  <c r="R80" i="70"/>
  <c r="R79" i="70"/>
  <c r="R68" i="70"/>
  <c r="R67" i="70"/>
  <c r="R63" i="70"/>
  <c r="R90" i="70"/>
  <c r="R58" i="70"/>
  <c r="R54" i="70"/>
  <c r="R82" i="70"/>
  <c r="R81" i="70"/>
  <c r="R70" i="70"/>
  <c r="R69" i="70"/>
  <c r="R45" i="70"/>
  <c r="R41" i="70"/>
  <c r="R37" i="70"/>
  <c r="R64" i="70"/>
  <c r="X12" i="70"/>
  <c r="Z12" i="70" s="1"/>
  <c r="R51" i="70"/>
  <c r="R94" i="70"/>
  <c r="R93" i="70"/>
  <c r="R86" i="70"/>
  <c r="R99" i="70"/>
  <c r="R61" i="70"/>
  <c r="R60" i="70"/>
  <c r="R56" i="70"/>
  <c r="R52" i="70"/>
  <c r="P48" i="70"/>
  <c r="R84" i="70"/>
  <c r="R72" i="70"/>
  <c r="R65" i="70"/>
  <c r="R50" i="70"/>
  <c r="R92" i="70"/>
  <c r="R46" i="70"/>
  <c r="R75" i="70"/>
  <c r="R42" i="70"/>
  <c r="R97" i="70"/>
  <c r="R38" i="70"/>
  <c r="R34" i="70"/>
  <c r="R62" i="70"/>
  <c r="R87" i="70"/>
  <c r="R73" i="70"/>
  <c r="R85" i="70"/>
  <c r="R66" i="70"/>
  <c r="R83" i="70"/>
  <c r="R76" i="70"/>
  <c r="R71" i="70"/>
  <c r="R55" i="70"/>
  <c r="R48" i="70"/>
  <c r="R43" i="70"/>
  <c r="R98" i="70"/>
  <c r="R95" i="70"/>
  <c r="R91" i="70"/>
  <c r="R74" i="70"/>
  <c r="R39" i="70"/>
  <c r="R35" i="70"/>
  <c r="R59" i="70"/>
  <c r="T63" i="56"/>
  <c r="Z16" i="56"/>
  <c r="H69" i="58"/>
  <c r="R86" i="51"/>
  <c r="R83" i="51"/>
  <c r="R76" i="51"/>
  <c r="R75" i="51"/>
  <c r="R55" i="51"/>
  <c r="R51" i="51"/>
  <c r="R92" i="51"/>
  <c r="R85" i="51"/>
  <c r="R67" i="51"/>
  <c r="R66" i="51"/>
  <c r="R42" i="51"/>
  <c r="R38" i="51"/>
  <c r="R78" i="51"/>
  <c r="R77" i="51"/>
  <c r="R61" i="51"/>
  <c r="R34" i="51"/>
  <c r="R69" i="51"/>
  <c r="R68" i="51"/>
  <c r="R56" i="51"/>
  <c r="R52" i="51"/>
  <c r="R79" i="51"/>
  <c r="R43" i="51"/>
  <c r="R39" i="51"/>
  <c r="R35" i="51"/>
  <c r="R71" i="51"/>
  <c r="R70" i="51"/>
  <c r="R62" i="51"/>
  <c r="R63" i="51"/>
  <c r="R48" i="51"/>
  <c r="R59" i="51"/>
  <c r="R58" i="51"/>
  <c r="R54" i="51"/>
  <c r="R50" i="51"/>
  <c r="P46" i="51"/>
  <c r="R36" i="51"/>
  <c r="R60" i="51"/>
  <c r="R80" i="51"/>
  <c r="R49" i="51"/>
  <c r="R88" i="51"/>
  <c r="R73" i="51"/>
  <c r="R64" i="51"/>
  <c r="R53" i="51"/>
  <c r="R41" i="51"/>
  <c r="R37" i="51"/>
  <c r="X12" i="51"/>
  <c r="R57" i="51"/>
  <c r="R81" i="51"/>
  <c r="R74" i="51"/>
  <c r="R65" i="51"/>
  <c r="R87" i="51"/>
  <c r="R72" i="51"/>
  <c r="R40" i="51"/>
  <c r="R82" i="51"/>
  <c r="R44" i="51"/>
  <c r="V47" i="48"/>
  <c r="X114" i="39"/>
  <c r="Z114" i="39" s="1"/>
  <c r="F47" i="48"/>
  <c r="R104" i="42"/>
  <c r="N98" i="27"/>
  <c r="H102" i="27"/>
  <c r="N49" i="27"/>
  <c r="F98" i="27"/>
  <c r="P88" i="21"/>
  <c r="X26" i="21"/>
  <c r="Z259" i="3"/>
  <c r="H26" i="6"/>
  <c r="N22" i="6"/>
  <c r="V259" i="3"/>
  <c r="H27" i="112"/>
  <c r="N18" i="112"/>
  <c r="T27" i="50"/>
  <c r="Z18" i="50"/>
  <c r="X18" i="50"/>
  <c r="P27" i="50"/>
  <c r="T27" i="49"/>
  <c r="Z18" i="49"/>
  <c r="T27" i="43"/>
  <c r="Z18" i="43"/>
  <c r="H27" i="31"/>
  <c r="N18" i="31"/>
  <c r="T27" i="29"/>
  <c r="Z18" i="29"/>
  <c r="L18" i="28"/>
  <c r="D27" i="28"/>
  <c r="T27" i="20"/>
  <c r="Z18" i="20"/>
  <c r="T27" i="16"/>
  <c r="Z18" i="16"/>
  <c r="H27" i="13"/>
  <c r="N18" i="13"/>
  <c r="H27" i="8"/>
  <c r="N18" i="8"/>
  <c r="H27" i="10"/>
  <c r="N18" i="10"/>
  <c r="Z16" i="104"/>
  <c r="T31" i="104"/>
  <c r="X59" i="101"/>
  <c r="Z59" i="101" s="1"/>
  <c r="H74" i="105"/>
  <c r="V20" i="101"/>
  <c r="F71" i="95"/>
  <c r="F87" i="95"/>
  <c r="F84" i="95"/>
  <c r="F61" i="95"/>
  <c r="F76" i="95"/>
  <c r="F75" i="95"/>
  <c r="F70" i="95"/>
  <c r="F58" i="95"/>
  <c r="F64" i="95"/>
  <c r="F44" i="95"/>
  <c r="F43" i="95"/>
  <c r="F80" i="95"/>
  <c r="F54" i="95"/>
  <c r="F35" i="95"/>
  <c r="F73" i="95"/>
  <c r="F68" i="95"/>
  <c r="F62" i="95"/>
  <c r="F55" i="95"/>
  <c r="F30" i="95"/>
  <c r="F26" i="95"/>
  <c r="F59" i="95"/>
  <c r="F45" i="95"/>
  <c r="F17" i="95"/>
  <c r="F16" i="95"/>
  <c r="F65" i="95"/>
  <c r="F56" i="95"/>
  <c r="F36" i="95"/>
  <c r="L12" i="95"/>
  <c r="N12" i="95" s="1"/>
  <c r="F74" i="95"/>
  <c r="F60" i="95"/>
  <c r="F47" i="95"/>
  <c r="F46" i="95"/>
  <c r="F31" i="95"/>
  <c r="F27" i="95"/>
  <c r="F69" i="95"/>
  <c r="F57" i="95"/>
  <c r="F38" i="95"/>
  <c r="F37" i="95"/>
  <c r="F18" i="95"/>
  <c r="F66" i="95"/>
  <c r="F49" i="95"/>
  <c r="F48" i="95"/>
  <c r="F33" i="95"/>
  <c r="F32" i="95"/>
  <c r="F82" i="95"/>
  <c r="F63" i="95"/>
  <c r="F40" i="95"/>
  <c r="F39" i="95"/>
  <c r="F28" i="95"/>
  <c r="F24" i="95"/>
  <c r="F23" i="95"/>
  <c r="F72" i="95"/>
  <c r="F42" i="95"/>
  <c r="F41" i="95"/>
  <c r="F34" i="95"/>
  <c r="D20" i="95"/>
  <c r="F50" i="95"/>
  <c r="F78" i="95"/>
  <c r="F22" i="95"/>
  <c r="F53" i="95"/>
  <c r="F51" i="95"/>
  <c r="F29" i="95"/>
  <c r="F67" i="95"/>
  <c r="F20" i="95"/>
  <c r="F25" i="95"/>
  <c r="F52" i="95"/>
  <c r="L75" i="91"/>
  <c r="J59" i="92"/>
  <c r="J61" i="92"/>
  <c r="J55" i="92"/>
  <c r="J45" i="92"/>
  <c r="J31" i="92"/>
  <c r="J17" i="92"/>
  <c r="J56" i="92"/>
  <c r="J63" i="92"/>
  <c r="J47" i="92"/>
  <c r="J27" i="92"/>
  <c r="J23" i="92"/>
  <c r="J67" i="92"/>
  <c r="J57" i="92"/>
  <c r="J49" i="92"/>
  <c r="J58" i="92"/>
  <c r="J52" i="92"/>
  <c r="J40" i="92"/>
  <c r="J34" i="92"/>
  <c r="J43" i="92"/>
  <c r="H19" i="92"/>
  <c r="J19" i="92" s="1"/>
  <c r="J36" i="92"/>
  <c r="J30" i="92"/>
  <c r="J21" i="92"/>
  <c r="J50" i="92"/>
  <c r="J25" i="92"/>
  <c r="J22" i="92"/>
  <c r="J48" i="92"/>
  <c r="J44" i="92"/>
  <c r="J53" i="92"/>
  <c r="J28" i="92"/>
  <c r="J37" i="92"/>
  <c r="J51" i="92"/>
  <c r="J41" i="92"/>
  <c r="J16" i="92"/>
  <c r="J32" i="92"/>
  <c r="J26" i="92"/>
  <c r="J35" i="92"/>
  <c r="J29" i="92"/>
  <c r="J60" i="92"/>
  <c r="J46" i="92"/>
  <c r="J42" i="92"/>
  <c r="J38" i="92"/>
  <c r="J33" i="92"/>
  <c r="J24" i="92"/>
  <c r="J54" i="92"/>
  <c r="J39" i="92"/>
  <c r="D26" i="85"/>
  <c r="L18" i="85"/>
  <c r="V76" i="87"/>
  <c r="V57" i="87"/>
  <c r="V49" i="87"/>
  <c r="V41" i="87"/>
  <c r="V17" i="87"/>
  <c r="V40" i="87"/>
  <c r="V32" i="87"/>
  <c r="Z12" i="87"/>
  <c r="V63" i="87"/>
  <c r="V59" i="87"/>
  <c r="V51" i="87"/>
  <c r="V31" i="87"/>
  <c r="V27" i="87"/>
  <c r="V23" i="87"/>
  <c r="V70" i="87"/>
  <c r="V58" i="87"/>
  <c r="V42" i="87"/>
  <c r="V22" i="87"/>
  <c r="V18" i="87"/>
  <c r="V65" i="87"/>
  <c r="V53" i="87"/>
  <c r="V33" i="87"/>
  <c r="T20" i="87"/>
  <c r="V20" i="87" s="1"/>
  <c r="V72" i="87"/>
  <c r="V64" i="87"/>
  <c r="V60" i="87"/>
  <c r="V52" i="87"/>
  <c r="V44" i="87"/>
  <c r="V28" i="87"/>
  <c r="V24" i="87"/>
  <c r="V67" i="87"/>
  <c r="V55" i="87"/>
  <c r="V43" i="87"/>
  <c r="V35" i="87"/>
  <c r="V66" i="87"/>
  <c r="V54" i="87"/>
  <c r="V46" i="87"/>
  <c r="V61" i="87"/>
  <c r="V45" i="87"/>
  <c r="V37" i="87"/>
  <c r="V29" i="87"/>
  <c r="V25" i="87"/>
  <c r="V69" i="87"/>
  <c r="V68" i="87"/>
  <c r="V47" i="87"/>
  <c r="V39" i="87"/>
  <c r="V26" i="87"/>
  <c r="V34" i="87"/>
  <c r="V48" i="87"/>
  <c r="V36" i="87"/>
  <c r="V16" i="87"/>
  <c r="V38" i="87"/>
  <c r="V50" i="87"/>
  <c r="V30" i="87"/>
  <c r="V62" i="87"/>
  <c r="V56" i="87"/>
  <c r="X18" i="85"/>
  <c r="Z18" i="85" s="1"/>
  <c r="P67" i="83"/>
  <c r="X20" i="83"/>
  <c r="V27" i="82"/>
  <c r="P51" i="78"/>
  <c r="X85" i="76"/>
  <c r="D45" i="67"/>
  <c r="L16" i="67"/>
  <c r="J58" i="51"/>
  <c r="J54" i="51"/>
  <c r="J50" i="51"/>
  <c r="J48" i="51"/>
  <c r="J81" i="51"/>
  <c r="J73" i="51"/>
  <c r="J59" i="51"/>
  <c r="H46" i="51"/>
  <c r="J41" i="51"/>
  <c r="J37" i="51"/>
  <c r="J88" i="51"/>
  <c r="J82" i="51"/>
  <c r="J74" i="51"/>
  <c r="J64" i="51"/>
  <c r="J60" i="51"/>
  <c r="J87" i="51"/>
  <c r="J83" i="51"/>
  <c r="J75" i="51"/>
  <c r="J65" i="51"/>
  <c r="J55" i="51"/>
  <c r="J51" i="51"/>
  <c r="J92" i="51"/>
  <c r="J86" i="51"/>
  <c r="J76" i="51"/>
  <c r="J66" i="51"/>
  <c r="J42" i="51"/>
  <c r="J38" i="51"/>
  <c r="J85" i="51"/>
  <c r="J77" i="51"/>
  <c r="J67" i="51"/>
  <c r="J61" i="51"/>
  <c r="J70" i="51"/>
  <c r="J62" i="51"/>
  <c r="J71" i="51"/>
  <c r="J57" i="51"/>
  <c r="J53" i="51"/>
  <c r="J79" i="51"/>
  <c r="J52" i="51"/>
  <c r="J72" i="51"/>
  <c r="J56" i="51"/>
  <c r="J44" i="51"/>
  <c r="J40" i="51"/>
  <c r="J68" i="51"/>
  <c r="J36" i="51"/>
  <c r="J34" i="51"/>
  <c r="J80" i="51"/>
  <c r="J49" i="51"/>
  <c r="J78" i="51"/>
  <c r="J69" i="51"/>
  <c r="J43" i="51"/>
  <c r="J39" i="51"/>
  <c r="J63" i="51"/>
  <c r="J35" i="51"/>
  <c r="H63" i="56"/>
  <c r="N16" i="56"/>
  <c r="V49" i="27"/>
  <c r="D102" i="27"/>
  <c r="L49" i="27"/>
  <c r="F126" i="15"/>
  <c r="N215" i="15"/>
  <c r="J215" i="15"/>
  <c r="J207" i="15"/>
  <c r="J177" i="15"/>
  <c r="J167" i="15"/>
  <c r="J157" i="15"/>
  <c r="J147" i="15"/>
  <c r="J143" i="15"/>
  <c r="J129" i="15"/>
  <c r="J208" i="15"/>
  <c r="J190" i="15"/>
  <c r="J178" i="15"/>
  <c r="J158" i="15"/>
  <c r="J148" i="15"/>
  <c r="J138" i="15"/>
  <c r="J134" i="15"/>
  <c r="J130" i="15"/>
  <c r="J128" i="15"/>
  <c r="J88" i="15"/>
  <c r="J209" i="15"/>
  <c r="J201" i="15"/>
  <c r="J197" i="15"/>
  <c r="J185" i="15"/>
  <c r="J179" i="15"/>
  <c r="J149" i="15"/>
  <c r="H126" i="15"/>
  <c r="L126" i="15" s="1"/>
  <c r="J121" i="15"/>
  <c r="J117" i="15"/>
  <c r="J113" i="15"/>
  <c r="J109" i="15"/>
  <c r="J105" i="15"/>
  <c r="J101" i="15"/>
  <c r="J97" i="15"/>
  <c r="J93" i="15"/>
  <c r="J89" i="15"/>
  <c r="J180" i="15"/>
  <c r="J168" i="15"/>
  <c r="J150" i="15"/>
  <c r="J144" i="15"/>
  <c r="N12" i="15"/>
  <c r="J191" i="15"/>
  <c r="J169" i="15"/>
  <c r="J159" i="15"/>
  <c r="J151" i="15"/>
  <c r="J139" i="15"/>
  <c r="J135" i="15"/>
  <c r="J131" i="15"/>
  <c r="J210" i="15"/>
  <c r="J202" i="15"/>
  <c r="J198" i="15"/>
  <c r="J192" i="15"/>
  <c r="J186" i="15"/>
  <c r="J170" i="15"/>
  <c r="J160" i="15"/>
  <c r="J152" i="15"/>
  <c r="J140" i="15"/>
  <c r="J122" i="15"/>
  <c r="J118" i="15"/>
  <c r="J114" i="15"/>
  <c r="J110" i="15"/>
  <c r="J106" i="15"/>
  <c r="J102" i="15"/>
  <c r="J98" i="15"/>
  <c r="J94" i="15"/>
  <c r="J90" i="15"/>
  <c r="J221" i="15"/>
  <c r="J203" i="15"/>
  <c r="J193" i="15"/>
  <c r="J187" i="15"/>
  <c r="J181" i="15"/>
  <c r="J171" i="15"/>
  <c r="J161" i="15"/>
  <c r="J153" i="15"/>
  <c r="J145" i="15"/>
  <c r="J141" i="15"/>
  <c r="J220" i="15"/>
  <c r="J204" i="15"/>
  <c r="J188" i="15"/>
  <c r="J172" i="15"/>
  <c r="J162" i="15"/>
  <c r="J154" i="15"/>
  <c r="J136" i="15"/>
  <c r="J132" i="15"/>
  <c r="J225" i="15"/>
  <c r="J219" i="15"/>
  <c r="J211" i="15"/>
  <c r="J199" i="15"/>
  <c r="J173" i="15"/>
  <c r="J163" i="15"/>
  <c r="J155" i="15"/>
  <c r="J123" i="15"/>
  <c r="J119" i="15"/>
  <c r="J115" i="15"/>
  <c r="J111" i="15"/>
  <c r="J107" i="15"/>
  <c r="J103" i="15"/>
  <c r="J99" i="15"/>
  <c r="J95" i="15"/>
  <c r="J91" i="15"/>
  <c r="J218" i="15"/>
  <c r="J212" i="15"/>
  <c r="J194" i="15"/>
  <c r="J182" i="15"/>
  <c r="J174" i="15"/>
  <c r="J164" i="15"/>
  <c r="J146" i="15"/>
  <c r="J142" i="15"/>
  <c r="J217" i="15"/>
  <c r="J213" i="15"/>
  <c r="J205" i="15"/>
  <c r="J195" i="15"/>
  <c r="J189" i="15"/>
  <c r="J183" i="15"/>
  <c r="J175" i="15"/>
  <c r="J165" i="15"/>
  <c r="J137" i="15"/>
  <c r="J133" i="15"/>
  <c r="J108" i="15"/>
  <c r="J176" i="15"/>
  <c r="J156" i="15"/>
  <c r="J166" i="15"/>
  <c r="J124" i="15"/>
  <c r="J112" i="15"/>
  <c r="J100" i="15"/>
  <c r="J196" i="15"/>
  <c r="J92" i="15"/>
  <c r="J184" i="15"/>
  <c r="J116" i="15"/>
  <c r="J104" i="15"/>
  <c r="J206" i="15"/>
  <c r="J200" i="15"/>
  <c r="J216" i="15"/>
  <c r="J120" i="15"/>
  <c r="J96" i="15"/>
  <c r="D231" i="12"/>
  <c r="R180" i="15"/>
  <c r="R169" i="15"/>
  <c r="R168" i="15"/>
  <c r="R144" i="15"/>
  <c r="X12" i="15"/>
  <c r="Z12" i="15" s="1"/>
  <c r="R192" i="15"/>
  <c r="R191" i="15"/>
  <c r="R160" i="15"/>
  <c r="R159" i="15"/>
  <c r="R152" i="15"/>
  <c r="R151" i="15"/>
  <c r="R140" i="15"/>
  <c r="R139" i="15"/>
  <c r="R135" i="15"/>
  <c r="R131" i="15"/>
  <c r="R221" i="15"/>
  <c r="R210" i="15"/>
  <c r="R203" i="15"/>
  <c r="R202" i="15"/>
  <c r="R198" i="15"/>
  <c r="R187" i="15"/>
  <c r="R186" i="15"/>
  <c r="R171" i="15"/>
  <c r="R170" i="15"/>
  <c r="R122" i="15"/>
  <c r="R118" i="15"/>
  <c r="R114" i="15"/>
  <c r="R110" i="15"/>
  <c r="R106" i="15"/>
  <c r="R102" i="15"/>
  <c r="R98" i="15"/>
  <c r="R94" i="15"/>
  <c r="R90" i="15"/>
  <c r="R220" i="15"/>
  <c r="R193" i="15"/>
  <c r="R181" i="15"/>
  <c r="R162" i="15"/>
  <c r="R161" i="15"/>
  <c r="R154" i="15"/>
  <c r="R153" i="15"/>
  <c r="R145" i="15"/>
  <c r="R141" i="15"/>
  <c r="R219" i="15"/>
  <c r="R204" i="15"/>
  <c r="R188" i="15"/>
  <c r="R173" i="15"/>
  <c r="R172" i="15"/>
  <c r="R136" i="15"/>
  <c r="R132" i="15"/>
  <c r="R225" i="15"/>
  <c r="R218" i="15"/>
  <c r="R212" i="15"/>
  <c r="R211" i="15"/>
  <c r="R199" i="15"/>
  <c r="R164" i="15"/>
  <c r="R163" i="15"/>
  <c r="R155" i="15"/>
  <c r="R123" i="15"/>
  <c r="R119" i="15"/>
  <c r="R115" i="15"/>
  <c r="R111" i="15"/>
  <c r="R107" i="15"/>
  <c r="R103" i="15"/>
  <c r="R99" i="15"/>
  <c r="R95" i="15"/>
  <c r="R91" i="15"/>
  <c r="R217" i="15"/>
  <c r="R195" i="15"/>
  <c r="R194" i="15"/>
  <c r="R183" i="15"/>
  <c r="R182" i="15"/>
  <c r="R175" i="15"/>
  <c r="R174" i="15"/>
  <c r="R146" i="15"/>
  <c r="R142" i="15"/>
  <c r="R216" i="15"/>
  <c r="R213" i="15"/>
  <c r="R206" i="15"/>
  <c r="R205" i="15"/>
  <c r="R189" i="15"/>
  <c r="R166" i="15"/>
  <c r="R165" i="15"/>
  <c r="R137" i="15"/>
  <c r="R133" i="15"/>
  <c r="R215" i="15"/>
  <c r="R200" i="15"/>
  <c r="R196" i="15"/>
  <c r="R184" i="15"/>
  <c r="R177" i="15"/>
  <c r="R176" i="15"/>
  <c r="R157" i="15"/>
  <c r="R156" i="15"/>
  <c r="R129" i="15"/>
  <c r="R124" i="15"/>
  <c r="R120" i="15"/>
  <c r="R116" i="15"/>
  <c r="R112" i="15"/>
  <c r="R108" i="15"/>
  <c r="R104" i="15"/>
  <c r="R100" i="15"/>
  <c r="R96" i="15"/>
  <c r="R92" i="15"/>
  <c r="R208" i="15"/>
  <c r="R207" i="15"/>
  <c r="R167" i="15"/>
  <c r="R148" i="15"/>
  <c r="R147" i="15"/>
  <c r="R143" i="15"/>
  <c r="R128" i="15"/>
  <c r="R126" i="15"/>
  <c r="R88" i="15"/>
  <c r="R190" i="15"/>
  <c r="R179" i="15"/>
  <c r="R178" i="15"/>
  <c r="R158" i="15"/>
  <c r="R138" i="15"/>
  <c r="R134" i="15"/>
  <c r="R130" i="15"/>
  <c r="P126" i="15"/>
  <c r="R185" i="15"/>
  <c r="R117" i="15"/>
  <c r="R93" i="15"/>
  <c r="R201" i="15"/>
  <c r="R105" i="15"/>
  <c r="R149" i="15"/>
  <c r="R121" i="15"/>
  <c r="R209" i="15"/>
  <c r="R150" i="15"/>
  <c r="R109" i="15"/>
  <c r="R97" i="15"/>
  <c r="R89" i="15"/>
  <c r="R113" i="15"/>
  <c r="R101" i="15"/>
  <c r="R197" i="15"/>
  <c r="D22" i="6"/>
  <c r="L16" i="6"/>
  <c r="P271" i="3"/>
  <c r="X162" i="3"/>
  <c r="Z162" i="3" s="1"/>
  <c r="L18" i="111"/>
  <c r="D27" i="111"/>
  <c r="N18" i="53"/>
  <c r="H27" i="53"/>
  <c r="D27" i="50"/>
  <c r="L18" i="50"/>
  <c r="H27" i="47"/>
  <c r="N18" i="47"/>
  <c r="X18" i="40"/>
  <c r="P27" i="40"/>
  <c r="T27" i="35"/>
  <c r="Z18" i="35"/>
  <c r="Z18" i="38"/>
  <c r="T27" i="38"/>
  <c r="L18" i="38"/>
  <c r="D27" i="38"/>
  <c r="T27" i="34"/>
  <c r="Z18" i="34"/>
  <c r="H27" i="29"/>
  <c r="N18" i="29"/>
  <c r="L18" i="20"/>
  <c r="D27" i="20"/>
  <c r="T27" i="13"/>
  <c r="Z18" i="13"/>
  <c r="T27" i="7"/>
  <c r="Z18" i="7"/>
  <c r="H27" i="7"/>
  <c r="N18" i="7"/>
  <c r="X18" i="5"/>
  <c r="P27" i="5"/>
  <c r="L18" i="5"/>
  <c r="D27" i="5"/>
  <c r="T70" i="107"/>
  <c r="Z20" i="107"/>
  <c r="F38" i="107"/>
  <c r="F34" i="107"/>
  <c r="F33" i="107"/>
  <c r="D20" i="107"/>
  <c r="F74" i="107"/>
  <c r="F61" i="107"/>
  <c r="F57" i="107"/>
  <c r="F56" i="107"/>
  <c r="F49" i="107"/>
  <c r="F48" i="107"/>
  <c r="F29" i="107"/>
  <c r="F25" i="107"/>
  <c r="F68" i="107"/>
  <c r="F62" i="107"/>
  <c r="F51" i="107"/>
  <c r="F50" i="107"/>
  <c r="F39" i="107"/>
  <c r="F35" i="107"/>
  <c r="F70" i="107"/>
  <c r="F58" i="107"/>
  <c r="F30" i="107"/>
  <c r="F26" i="107"/>
  <c r="F77" i="107"/>
  <c r="F53" i="107"/>
  <c r="F52" i="107"/>
  <c r="F41" i="107"/>
  <c r="F40" i="107"/>
  <c r="F17" i="107"/>
  <c r="F16" i="107"/>
  <c r="F63" i="107"/>
  <c r="F36" i="107"/>
  <c r="L12" i="107"/>
  <c r="N12" i="107" s="1"/>
  <c r="F64" i="107"/>
  <c r="F59" i="107"/>
  <c r="F43" i="107"/>
  <c r="F42" i="107"/>
  <c r="F31" i="107"/>
  <c r="F27" i="107"/>
  <c r="F54" i="107"/>
  <c r="F18" i="107"/>
  <c r="F72" i="107"/>
  <c r="F45" i="107"/>
  <c r="F44" i="107"/>
  <c r="F37" i="107"/>
  <c r="F66" i="107"/>
  <c r="F65" i="107"/>
  <c r="F60" i="107"/>
  <c r="F32" i="107"/>
  <c r="F28" i="107"/>
  <c r="F24" i="107"/>
  <c r="F23" i="107"/>
  <c r="F47" i="107"/>
  <c r="F22" i="107"/>
  <c r="F55" i="107"/>
  <c r="F20" i="107"/>
  <c r="F46" i="107"/>
  <c r="D46" i="102"/>
  <c r="X19" i="100"/>
  <c r="Z19" i="100" s="1"/>
  <c r="P42" i="100"/>
  <c r="N39" i="99"/>
  <c r="X16" i="104"/>
  <c r="P31" i="104"/>
  <c r="D57" i="109"/>
  <c r="L16" i="98"/>
  <c r="D22" i="98"/>
  <c r="V59" i="101"/>
  <c r="T67" i="94"/>
  <c r="V63" i="94"/>
  <c r="T80" i="95"/>
  <c r="Z20" i="95"/>
  <c r="X20" i="95"/>
  <c r="P80" i="95"/>
  <c r="H59" i="93"/>
  <c r="N20" i="93"/>
  <c r="J20" i="94"/>
  <c r="X19" i="92"/>
  <c r="Z19" i="92" s="1"/>
  <c r="R54" i="93"/>
  <c r="R53" i="93"/>
  <c r="R46" i="93"/>
  <c r="R45" i="93"/>
  <c r="R55" i="93"/>
  <c r="R59" i="93"/>
  <c r="R57" i="93"/>
  <c r="R61" i="93"/>
  <c r="R66" i="93"/>
  <c r="R63" i="93"/>
  <c r="R52" i="93"/>
  <c r="R42" i="93"/>
  <c r="R36" i="93"/>
  <c r="R35" i="93"/>
  <c r="R16" i="93"/>
  <c r="R30" i="93"/>
  <c r="R26" i="93"/>
  <c r="R50" i="93"/>
  <c r="R38" i="93"/>
  <c r="R37" i="93"/>
  <c r="R17" i="93"/>
  <c r="R43" i="93"/>
  <c r="X12" i="93"/>
  <c r="Z12" i="93" s="1"/>
  <c r="R47" i="93"/>
  <c r="R39" i="93"/>
  <c r="R32" i="93"/>
  <c r="R31" i="93"/>
  <c r="R27" i="93"/>
  <c r="R51" i="93"/>
  <c r="R48" i="93"/>
  <c r="R44" i="93"/>
  <c r="R40" i="93"/>
  <c r="R23" i="93"/>
  <c r="R18" i="93"/>
  <c r="R33" i="93"/>
  <c r="R22" i="93"/>
  <c r="R20" i="93"/>
  <c r="R28" i="93"/>
  <c r="R24" i="93"/>
  <c r="P20" i="93"/>
  <c r="R49" i="93"/>
  <c r="R34" i="93"/>
  <c r="R41" i="93"/>
  <c r="R25" i="93"/>
  <c r="R29" i="93"/>
  <c r="D58" i="88"/>
  <c r="L54" i="88"/>
  <c r="N18" i="88"/>
  <c r="H54" i="88"/>
  <c r="F87" i="84"/>
  <c r="F70" i="84"/>
  <c r="F69" i="84"/>
  <c r="F89" i="84"/>
  <c r="F88" i="84"/>
  <c r="F81" i="84"/>
  <c r="F61" i="84"/>
  <c r="F72" i="84"/>
  <c r="F71" i="84"/>
  <c r="F56" i="84"/>
  <c r="F52" i="84"/>
  <c r="F82" i="84"/>
  <c r="F74" i="84"/>
  <c r="F73" i="84"/>
  <c r="F99" i="84"/>
  <c r="F53" i="84"/>
  <c r="F42" i="84"/>
  <c r="F38" i="84"/>
  <c r="F34" i="84"/>
  <c r="F33" i="84"/>
  <c r="F85" i="84"/>
  <c r="F67" i="84"/>
  <c r="F50" i="84"/>
  <c r="F91" i="84"/>
  <c r="F63" i="84"/>
  <c r="F77" i="84"/>
  <c r="F60" i="84"/>
  <c r="F43" i="84"/>
  <c r="F39" i="84"/>
  <c r="F35" i="84"/>
  <c r="F80" i="84"/>
  <c r="F64" i="84"/>
  <c r="F51" i="84"/>
  <c r="F95" i="84"/>
  <c r="F86" i="84"/>
  <c r="F68" i="84"/>
  <c r="F92" i="84"/>
  <c r="F83" i="84"/>
  <c r="F54" i="84"/>
  <c r="F44" i="84"/>
  <c r="F40" i="84"/>
  <c r="F36" i="84"/>
  <c r="F78" i="84"/>
  <c r="F75" i="84"/>
  <c r="F65" i="84"/>
  <c r="F93" i="84"/>
  <c r="F66" i="84"/>
  <c r="F59" i="84"/>
  <c r="F48" i="84"/>
  <c r="D46" i="84"/>
  <c r="F84" i="84"/>
  <c r="F41" i="84"/>
  <c r="F37" i="84"/>
  <c r="F46" i="84"/>
  <c r="F90" i="84"/>
  <c r="F62" i="84"/>
  <c r="F79" i="84"/>
  <c r="F49" i="84"/>
  <c r="F55" i="84"/>
  <c r="F57" i="84"/>
  <c r="F76" i="84"/>
  <c r="F58" i="84"/>
  <c r="L12" i="84"/>
  <c r="N12" i="84" s="1"/>
  <c r="P58" i="88"/>
  <c r="V49" i="78"/>
  <c r="V43" i="78"/>
  <c r="V35" i="78"/>
  <c r="V48" i="78"/>
  <c r="V30" i="78"/>
  <c r="V26" i="78"/>
  <c r="V47" i="78"/>
  <c r="V45" i="78"/>
  <c r="V37" i="78"/>
  <c r="V25" i="78"/>
  <c r="V23" i="78"/>
  <c r="V21" i="78"/>
  <c r="V17" i="78"/>
  <c r="V36" i="78"/>
  <c r="T23" i="78"/>
  <c r="Z12" i="78"/>
  <c r="V53" i="78"/>
  <c r="V39" i="78"/>
  <c r="V31" i="78"/>
  <c r="V27" i="78"/>
  <c r="V19" i="78"/>
  <c r="V41" i="78"/>
  <c r="V33" i="78"/>
  <c r="V29" i="78"/>
  <c r="V44" i="78"/>
  <c r="V42" i="78"/>
  <c r="V34" i="78"/>
  <c r="V20" i="78"/>
  <c r="V40" i="78"/>
  <c r="V38" i="78"/>
  <c r="V28" i="78"/>
  <c r="V32" i="78"/>
  <c r="V18" i="78"/>
  <c r="D58" i="79"/>
  <c r="L20" i="79"/>
  <c r="P22" i="81"/>
  <c r="X16" i="81"/>
  <c r="V97" i="74"/>
  <c r="V81" i="74"/>
  <c r="V61" i="74"/>
  <c r="V57" i="74"/>
  <c r="V53" i="74"/>
  <c r="V49" i="74"/>
  <c r="V100" i="74"/>
  <c r="V92" i="74"/>
  <c r="V80" i="74"/>
  <c r="V76" i="74"/>
  <c r="Z12" i="74"/>
  <c r="V105" i="74"/>
  <c r="V99" i="74"/>
  <c r="V83" i="74"/>
  <c r="V75" i="74"/>
  <c r="V71" i="74"/>
  <c r="V67" i="74"/>
  <c r="V104" i="74"/>
  <c r="V94" i="74"/>
  <c r="V82" i="74"/>
  <c r="V66" i="74"/>
  <c r="V62" i="74"/>
  <c r="V58" i="74"/>
  <c r="V54" i="74"/>
  <c r="V50" i="74"/>
  <c r="V103" i="74"/>
  <c r="V101" i="74"/>
  <c r="V93" i="74"/>
  <c r="V85" i="74"/>
  <c r="V77" i="74"/>
  <c r="T64" i="74"/>
  <c r="V64" i="74" s="1"/>
  <c r="V84" i="74"/>
  <c r="V72" i="74"/>
  <c r="V68" i="74"/>
  <c r="V109" i="74"/>
  <c r="V86" i="74"/>
  <c r="V89" i="74"/>
  <c r="V73" i="74"/>
  <c r="V69" i="74"/>
  <c r="V96" i="74"/>
  <c r="V88" i="74"/>
  <c r="V60" i="74"/>
  <c r="V56" i="74"/>
  <c r="V52" i="74"/>
  <c r="V48" i="74"/>
  <c r="V91" i="74"/>
  <c r="V70" i="74"/>
  <c r="V87" i="74"/>
  <c r="V78" i="74"/>
  <c r="V74" i="74"/>
  <c r="V95" i="74"/>
  <c r="V59" i="74"/>
  <c r="V55" i="74"/>
  <c r="V51" i="74"/>
  <c r="V79" i="74"/>
  <c r="V98" i="74"/>
  <c r="V90" i="74"/>
  <c r="P60" i="69"/>
  <c r="X20" i="69"/>
  <c r="L16" i="59"/>
  <c r="D53" i="59"/>
  <c r="H92" i="63"/>
  <c r="N16" i="63"/>
  <c r="P81" i="45"/>
  <c r="X21" i="45"/>
  <c r="Z21" i="45" s="1"/>
  <c r="R21" i="45"/>
  <c r="J104" i="42"/>
  <c r="J96" i="42"/>
  <c r="J72" i="42"/>
  <c r="J62" i="42"/>
  <c r="J97" i="42"/>
  <c r="J98" i="42"/>
  <c r="J90" i="42"/>
  <c r="J86" i="42"/>
  <c r="J74" i="42"/>
  <c r="J80" i="42"/>
  <c r="J66" i="42"/>
  <c r="J76" i="42"/>
  <c r="J68" i="42"/>
  <c r="J100" i="42"/>
  <c r="J92" i="42"/>
  <c r="J88" i="42"/>
  <c r="J82" i="42"/>
  <c r="J70" i="42"/>
  <c r="J106" i="42"/>
  <c r="J102" i="42"/>
  <c r="J94" i="42"/>
  <c r="J84" i="42"/>
  <c r="J78" i="42"/>
  <c r="J91" i="42"/>
  <c r="J81" i="42"/>
  <c r="J77" i="42"/>
  <c r="J60" i="42"/>
  <c r="J52" i="42"/>
  <c r="J40" i="42"/>
  <c r="H27" i="42"/>
  <c r="L27" i="42" s="1"/>
  <c r="J79" i="42"/>
  <c r="J61" i="42"/>
  <c r="J53" i="42"/>
  <c r="J45" i="42"/>
  <c r="J41" i="42"/>
  <c r="J101" i="42"/>
  <c r="J75" i="42"/>
  <c r="J65" i="42"/>
  <c r="J54" i="42"/>
  <c r="J36" i="42"/>
  <c r="J32" i="42"/>
  <c r="J73" i="42"/>
  <c r="J55" i="42"/>
  <c r="J107" i="42"/>
  <c r="J99" i="42"/>
  <c r="J46" i="42"/>
  <c r="J42" i="42"/>
  <c r="J95" i="42"/>
  <c r="J71" i="42"/>
  <c r="J37" i="42"/>
  <c r="J33" i="42"/>
  <c r="J23" i="42"/>
  <c r="J111" i="42"/>
  <c r="J69" i="42"/>
  <c r="J56" i="42"/>
  <c r="J63" i="42"/>
  <c r="J47" i="42"/>
  <c r="J43" i="42"/>
  <c r="J105" i="42"/>
  <c r="J48" i="42"/>
  <c r="J38" i="42"/>
  <c r="J34" i="42"/>
  <c r="J93" i="42"/>
  <c r="J67" i="42"/>
  <c r="J64" i="42"/>
  <c r="J57" i="42"/>
  <c r="J49" i="42"/>
  <c r="J25" i="42"/>
  <c r="J85" i="42"/>
  <c r="J58" i="42"/>
  <c r="J50" i="42"/>
  <c r="J44" i="42"/>
  <c r="J30" i="42"/>
  <c r="J24" i="42"/>
  <c r="J31" i="42"/>
  <c r="L12" i="42"/>
  <c r="N12" i="42" s="1"/>
  <c r="J83" i="42"/>
  <c r="J39" i="42"/>
  <c r="J27" i="42"/>
  <c r="J59" i="42"/>
  <c r="J87" i="42"/>
  <c r="J51" i="42"/>
  <c r="J35" i="42"/>
  <c r="J89" i="42"/>
  <c r="J29" i="42"/>
  <c r="V80" i="42"/>
  <c r="V76" i="42"/>
  <c r="V68" i="42"/>
  <c r="V99" i="42"/>
  <c r="V91" i="42"/>
  <c r="V87" i="42"/>
  <c r="V82" i="42"/>
  <c r="V70" i="42"/>
  <c r="V107" i="42"/>
  <c r="V101" i="42"/>
  <c r="V93" i="42"/>
  <c r="V81" i="42"/>
  <c r="V77" i="42"/>
  <c r="V69" i="42"/>
  <c r="V106" i="42"/>
  <c r="V100" i="42"/>
  <c r="V92" i="42"/>
  <c r="V88" i="42"/>
  <c r="V84" i="42"/>
  <c r="V104" i="42"/>
  <c r="V102" i="42"/>
  <c r="V94" i="42"/>
  <c r="V78" i="42"/>
  <c r="V96" i="42"/>
  <c r="V72" i="42"/>
  <c r="V64" i="42"/>
  <c r="V98" i="42"/>
  <c r="V90" i="42"/>
  <c r="V86" i="42"/>
  <c r="V74" i="42"/>
  <c r="V66" i="42"/>
  <c r="V97" i="42"/>
  <c r="V95" i="42"/>
  <c r="V62" i="42"/>
  <c r="V46" i="42"/>
  <c r="V42" i="42"/>
  <c r="V37" i="42"/>
  <c r="V33" i="42"/>
  <c r="V71" i="42"/>
  <c r="V56" i="42"/>
  <c r="V48" i="42"/>
  <c r="V24" i="42"/>
  <c r="V111" i="42"/>
  <c r="V105" i="42"/>
  <c r="V47" i="42"/>
  <c r="V43" i="42"/>
  <c r="V63" i="42"/>
  <c r="V58" i="42"/>
  <c r="V50" i="42"/>
  <c r="V38" i="42"/>
  <c r="V34" i="42"/>
  <c r="V30" i="42"/>
  <c r="V67" i="42"/>
  <c r="V57" i="42"/>
  <c r="V49" i="42"/>
  <c r="V29" i="42"/>
  <c r="V25" i="42"/>
  <c r="V60" i="42"/>
  <c r="V52" i="42"/>
  <c r="V44" i="42"/>
  <c r="V40" i="42"/>
  <c r="V85" i="42"/>
  <c r="V59" i="42"/>
  <c r="V51" i="42"/>
  <c r="V39" i="42"/>
  <c r="V35" i="42"/>
  <c r="V31" i="42"/>
  <c r="V89" i="42"/>
  <c r="V83" i="42"/>
  <c r="V54" i="42"/>
  <c r="V53" i="42"/>
  <c r="V45" i="42"/>
  <c r="V41" i="42"/>
  <c r="V79" i="42"/>
  <c r="V73" i="42"/>
  <c r="V61" i="42"/>
  <c r="V36" i="42"/>
  <c r="V32" i="42"/>
  <c r="Z12" i="42"/>
  <c r="T27" i="42"/>
  <c r="V23" i="42"/>
  <c r="V75" i="42"/>
  <c r="V65" i="42"/>
  <c r="V55" i="42"/>
  <c r="F121" i="39"/>
  <c r="F116" i="39"/>
  <c r="F99" i="39"/>
  <c r="F95" i="39"/>
  <c r="F94" i="39"/>
  <c r="F71" i="39"/>
  <c r="F70" i="39"/>
  <c r="F43" i="39"/>
  <c r="F39" i="39"/>
  <c r="F114" i="39"/>
  <c r="F89" i="39"/>
  <c r="F73" i="39"/>
  <c r="F72" i="39"/>
  <c r="F53" i="39"/>
  <c r="F49" i="39"/>
  <c r="F108" i="39"/>
  <c r="F107" i="39"/>
  <c r="F100" i="39"/>
  <c r="F96" i="39"/>
  <c r="F84" i="39"/>
  <c r="F83" i="39"/>
  <c r="F44" i="39"/>
  <c r="F40" i="39"/>
  <c r="F75" i="39"/>
  <c r="F74" i="39"/>
  <c r="F63" i="39"/>
  <c r="F55" i="39"/>
  <c r="F54" i="39"/>
  <c r="F31" i="39"/>
  <c r="F90" i="39"/>
  <c r="F50" i="39"/>
  <c r="F91" i="39"/>
  <c r="F87" i="39"/>
  <c r="F86" i="39"/>
  <c r="F79" i="39"/>
  <c r="F78" i="39"/>
  <c r="F67" i="39"/>
  <c r="F66" i="39"/>
  <c r="F59" i="39"/>
  <c r="F58" i="39"/>
  <c r="F51" i="39"/>
  <c r="F47" i="39"/>
  <c r="F46" i="39"/>
  <c r="F110" i="39"/>
  <c r="F102" i="39"/>
  <c r="F98" i="39"/>
  <c r="F42" i="39"/>
  <c r="F38" i="39"/>
  <c r="F93" i="39"/>
  <c r="F92" i="39"/>
  <c r="F81" i="39"/>
  <c r="F80" i="39"/>
  <c r="F104" i="39"/>
  <c r="F97" i="39"/>
  <c r="F52" i="39"/>
  <c r="F30" i="39"/>
  <c r="F64" i="39"/>
  <c r="F62" i="39"/>
  <c r="D33" i="39"/>
  <c r="F88" i="39"/>
  <c r="F82" i="39"/>
  <c r="F48" i="39"/>
  <c r="L12" i="39"/>
  <c r="F109" i="39"/>
  <c r="F76" i="39"/>
  <c r="F69" i="39"/>
  <c r="F60" i="39"/>
  <c r="F37" i="39"/>
  <c r="F111" i="39"/>
  <c r="F105" i="39"/>
  <c r="F101" i="39"/>
  <c r="F56" i="39"/>
  <c r="F103" i="39"/>
  <c r="F41" i="39"/>
  <c r="F35" i="39"/>
  <c r="F85" i="39"/>
  <c r="F65" i="39"/>
  <c r="F61" i="39"/>
  <c r="F29" i="39"/>
  <c r="F117" i="39"/>
  <c r="F106" i="39"/>
  <c r="F77" i="39"/>
  <c r="F45" i="39"/>
  <c r="F36" i="39"/>
  <c r="F112" i="39"/>
  <c r="F57" i="39"/>
  <c r="F115" i="39"/>
  <c r="F68" i="39"/>
  <c r="N33" i="33"/>
  <c r="H76" i="33"/>
  <c r="R112" i="30"/>
  <c r="R111" i="30"/>
  <c r="R83" i="30"/>
  <c r="R119" i="30"/>
  <c r="R118" i="30"/>
  <c r="R106" i="30"/>
  <c r="R95" i="30"/>
  <c r="R94" i="30"/>
  <c r="R78" i="30"/>
  <c r="R74" i="30"/>
  <c r="R114" i="30"/>
  <c r="R113" i="30"/>
  <c r="R65" i="30"/>
  <c r="R61" i="30"/>
  <c r="R57" i="30"/>
  <c r="R53" i="30"/>
  <c r="R121" i="30"/>
  <c r="R120" i="30"/>
  <c r="R97" i="30"/>
  <c r="R96" i="30"/>
  <c r="R85" i="30"/>
  <c r="R84" i="30"/>
  <c r="R49" i="30"/>
  <c r="X12" i="30"/>
  <c r="Z12" i="30" s="1"/>
  <c r="R115" i="30"/>
  <c r="R108" i="30"/>
  <c r="R107" i="30"/>
  <c r="R80" i="30"/>
  <c r="R79" i="30"/>
  <c r="R75" i="30"/>
  <c r="R123" i="30"/>
  <c r="R122" i="30"/>
  <c r="R99" i="30"/>
  <c r="R98" i="30"/>
  <c r="R87" i="30"/>
  <c r="R86" i="30"/>
  <c r="R71" i="30"/>
  <c r="R66" i="30"/>
  <c r="R62" i="30"/>
  <c r="R58" i="30"/>
  <c r="R54" i="30"/>
  <c r="R50" i="30"/>
  <c r="R109" i="30"/>
  <c r="R81" i="30"/>
  <c r="R125" i="30"/>
  <c r="R124" i="30"/>
  <c r="R116" i="30"/>
  <c r="R101" i="30"/>
  <c r="R100" i="30"/>
  <c r="R89" i="30"/>
  <c r="R88" i="30"/>
  <c r="R76" i="30"/>
  <c r="R72" i="30"/>
  <c r="P68" i="30"/>
  <c r="R130" i="30"/>
  <c r="R63" i="30"/>
  <c r="R59" i="30"/>
  <c r="R55" i="30"/>
  <c r="R51" i="30"/>
  <c r="R129" i="30"/>
  <c r="R126" i="30"/>
  <c r="R110" i="30"/>
  <c r="R103" i="30"/>
  <c r="R102" i="30"/>
  <c r="R91" i="30"/>
  <c r="R90" i="30"/>
  <c r="R82" i="30"/>
  <c r="R128" i="30"/>
  <c r="R117" i="30"/>
  <c r="R77" i="30"/>
  <c r="R73" i="30"/>
  <c r="R64" i="30"/>
  <c r="R52" i="30"/>
  <c r="R92" i="30"/>
  <c r="R104" i="30"/>
  <c r="R56" i="30"/>
  <c r="R134" i="30"/>
  <c r="R93" i="30"/>
  <c r="R70" i="30"/>
  <c r="R60" i="30"/>
  <c r="R105" i="30"/>
  <c r="R68" i="30"/>
  <c r="R33" i="33"/>
  <c r="R49" i="27"/>
  <c r="X56" i="24"/>
  <c r="Z56" i="24" s="1"/>
  <c r="P91" i="24"/>
  <c r="N239" i="18"/>
  <c r="T271" i="3"/>
  <c r="D271" i="3"/>
  <c r="L162" i="3"/>
  <c r="N162" i="3" s="1"/>
  <c r="J162" i="3"/>
  <c r="X18" i="53"/>
  <c r="P27" i="53"/>
  <c r="H27" i="44"/>
  <c r="N18" i="44"/>
  <c r="P27" i="47"/>
  <c r="X18" i="47"/>
  <c r="H27" i="46"/>
  <c r="N18" i="46"/>
  <c r="T27" i="41"/>
  <c r="Z18" i="41"/>
  <c r="T27" i="40"/>
  <c r="Z18" i="40"/>
  <c r="T27" i="25"/>
  <c r="Z18" i="25"/>
  <c r="H27" i="25"/>
  <c r="N18" i="25"/>
  <c r="Z18" i="32"/>
  <c r="T27" i="32"/>
  <c r="X18" i="19"/>
  <c r="P27" i="19"/>
  <c r="L18" i="17"/>
  <c r="D27" i="17"/>
  <c r="L18" i="7"/>
  <c r="D27" i="7"/>
  <c r="H27" i="11"/>
  <c r="N18" i="11"/>
  <c r="N17" i="109"/>
  <c r="H50" i="109"/>
  <c r="D74" i="105"/>
  <c r="L21" i="105"/>
  <c r="N21" i="105" s="1"/>
  <c r="H73" i="103"/>
  <c r="D42" i="100"/>
  <c r="L19" i="100"/>
  <c r="N19" i="100" s="1"/>
  <c r="X42" i="99"/>
  <c r="P46" i="99"/>
  <c r="F53" i="92"/>
  <c r="F52" i="92"/>
  <c r="F54" i="92"/>
  <c r="F30" i="92"/>
  <c r="F26" i="92"/>
  <c r="F61" i="92"/>
  <c r="F60" i="92"/>
  <c r="F56" i="92"/>
  <c r="F55" i="92"/>
  <c r="F36" i="92"/>
  <c r="F32" i="92"/>
  <c r="F31" i="92"/>
  <c r="F65" i="92"/>
  <c r="F63" i="92"/>
  <c r="F67" i="92"/>
  <c r="F57" i="92"/>
  <c r="F51" i="92"/>
  <c r="F50" i="92"/>
  <c r="F39" i="92"/>
  <c r="F38" i="92"/>
  <c r="F69" i="92"/>
  <c r="F33" i="92"/>
  <c r="F27" i="92"/>
  <c r="F47" i="92"/>
  <c r="F43" i="92"/>
  <c r="F19" i="92"/>
  <c r="D19" i="92"/>
  <c r="F25" i="92"/>
  <c r="F21" i="92"/>
  <c r="F22" i="92"/>
  <c r="F59" i="92"/>
  <c r="F48" i="92"/>
  <c r="F44" i="92"/>
  <c r="F40" i="92"/>
  <c r="F34" i="92"/>
  <c r="F28" i="92"/>
  <c r="F37" i="92"/>
  <c r="F23" i="92"/>
  <c r="L12" i="92"/>
  <c r="N12" i="92" s="1"/>
  <c r="F45" i="92"/>
  <c r="F41" i="92"/>
  <c r="F49" i="92"/>
  <c r="F16" i="92"/>
  <c r="F72" i="92"/>
  <c r="F35" i="92"/>
  <c r="F29" i="92"/>
  <c r="F17" i="92"/>
  <c r="F58" i="92"/>
  <c r="F24" i="92"/>
  <c r="F42" i="92"/>
  <c r="F46" i="92"/>
  <c r="T54" i="88"/>
  <c r="X54" i="88" s="1"/>
  <c r="Z18" i="88"/>
  <c r="R17" i="82"/>
  <c r="X12" i="82"/>
  <c r="Z12" i="82" s="1"/>
  <c r="R18" i="82"/>
  <c r="R25" i="82"/>
  <c r="R23" i="82"/>
  <c r="P21" i="82"/>
  <c r="R29" i="82"/>
  <c r="R19" i="82"/>
  <c r="T26" i="81"/>
  <c r="Z22" i="81"/>
  <c r="H58" i="79"/>
  <c r="N20" i="79"/>
  <c r="P65" i="58"/>
  <c r="X16" i="58"/>
  <c r="Z16" i="60"/>
  <c r="T44" i="60"/>
  <c r="X47" i="48"/>
  <c r="Z47" i="48" s="1"/>
  <c r="D50" i="48"/>
  <c r="L17" i="48"/>
  <c r="F17" i="48"/>
  <c r="P109" i="42"/>
  <c r="X27" i="42"/>
  <c r="J114" i="39"/>
  <c r="J106" i="39"/>
  <c r="J82" i="39"/>
  <c r="J72" i="39"/>
  <c r="J62" i="39"/>
  <c r="J30" i="39"/>
  <c r="J108" i="39"/>
  <c r="J100" i="39"/>
  <c r="J96" i="39"/>
  <c r="J84" i="39"/>
  <c r="J74" i="39"/>
  <c r="J54" i="39"/>
  <c r="J44" i="39"/>
  <c r="J40" i="39"/>
  <c r="J75" i="39"/>
  <c r="J63" i="39"/>
  <c r="J55" i="39"/>
  <c r="J31" i="39"/>
  <c r="J90" i="39"/>
  <c r="J76" i="39"/>
  <c r="J64" i="39"/>
  <c r="J56" i="39"/>
  <c r="J50" i="39"/>
  <c r="J36" i="39"/>
  <c r="J109" i="39"/>
  <c r="J101" i="39"/>
  <c r="J97" i="39"/>
  <c r="J85" i="39"/>
  <c r="J77" i="39"/>
  <c r="J65" i="39"/>
  <c r="J57" i="39"/>
  <c r="J45" i="39"/>
  <c r="J41" i="39"/>
  <c r="J37" i="39"/>
  <c r="J35" i="39"/>
  <c r="J33" i="39"/>
  <c r="J91" i="39"/>
  <c r="J87" i="39"/>
  <c r="J110" i="39"/>
  <c r="J102" i="39"/>
  <c r="J98" i="39"/>
  <c r="J92" i="39"/>
  <c r="J80" i="39"/>
  <c r="J68" i="39"/>
  <c r="J60" i="39"/>
  <c r="J42" i="39"/>
  <c r="J38" i="39"/>
  <c r="J117" i="39"/>
  <c r="J111" i="39"/>
  <c r="J103" i="39"/>
  <c r="J93" i="39"/>
  <c r="J81" i="39"/>
  <c r="J69" i="39"/>
  <c r="J61" i="39"/>
  <c r="J116" i="39"/>
  <c r="J112" i="39"/>
  <c r="J104" i="39"/>
  <c r="J94" i="39"/>
  <c r="J88" i="39"/>
  <c r="J121" i="39"/>
  <c r="J78" i="39"/>
  <c r="J73" i="39"/>
  <c r="J48" i="39"/>
  <c r="J46" i="39"/>
  <c r="N12" i="39"/>
  <c r="J107" i="39"/>
  <c r="J105" i="39"/>
  <c r="J99" i="39"/>
  <c r="J71" i="39"/>
  <c r="J58" i="39"/>
  <c r="J53" i="39"/>
  <c r="J67" i="39"/>
  <c r="J51" i="39"/>
  <c r="J49" i="39"/>
  <c r="J39" i="39"/>
  <c r="J29" i="39"/>
  <c r="J89" i="39"/>
  <c r="J83" i="39"/>
  <c r="J70" i="39"/>
  <c r="J47" i="39"/>
  <c r="J79" i="39"/>
  <c r="J43" i="39"/>
  <c r="J115" i="39"/>
  <c r="J59" i="39"/>
  <c r="J86" i="39"/>
  <c r="J95" i="39"/>
  <c r="J66" i="39"/>
  <c r="J52" i="39"/>
  <c r="H33" i="39"/>
  <c r="Z71" i="33"/>
  <c r="F33" i="33"/>
  <c r="V78" i="33"/>
  <c r="V64" i="33"/>
  <c r="V56" i="33"/>
  <c r="V47" i="33"/>
  <c r="V65" i="33"/>
  <c r="V66" i="33"/>
  <c r="V62" i="33"/>
  <c r="V50" i="33"/>
  <c r="V74" i="33"/>
  <c r="V63" i="33"/>
  <c r="V51" i="33"/>
  <c r="V43" i="33"/>
  <c r="V38" i="33"/>
  <c r="V69" i="33"/>
  <c r="V59" i="33"/>
  <c r="V31" i="33"/>
  <c r="V27" i="33"/>
  <c r="V60" i="33"/>
  <c r="V41" i="33"/>
  <c r="V36" i="33"/>
  <c r="V35" i="33"/>
  <c r="T33" i="33"/>
  <c r="V52" i="33"/>
  <c r="V44" i="33"/>
  <c r="V39" i="33"/>
  <c r="V28" i="33"/>
  <c r="V71" i="33"/>
  <c r="V67" i="33"/>
  <c r="V68" i="33"/>
  <c r="V61" i="33"/>
  <c r="V57" i="33"/>
  <c r="V53" i="33"/>
  <c r="V49" i="33"/>
  <c r="V45" i="33"/>
  <c r="V72" i="33"/>
  <c r="V58" i="33"/>
  <c r="V48" i="33"/>
  <c r="V42" i="33"/>
  <c r="V29" i="33"/>
  <c r="V37" i="33"/>
  <c r="Z12" i="33"/>
  <c r="V73" i="33"/>
  <c r="V40" i="33"/>
  <c r="V54" i="33"/>
  <c r="V30" i="33"/>
  <c r="V55" i="33"/>
  <c r="V46" i="33"/>
  <c r="X12" i="33"/>
  <c r="T223" i="15"/>
  <c r="J199" i="12"/>
  <c r="J195" i="12"/>
  <c r="J179" i="12"/>
  <c r="J169" i="12"/>
  <c r="J151" i="12"/>
  <c r="J147" i="12"/>
  <c r="J218" i="12"/>
  <c r="J210" i="12"/>
  <c r="J206" i="12"/>
  <c r="J200" i="12"/>
  <c r="J180" i="12"/>
  <c r="J170" i="12"/>
  <c r="J229" i="12"/>
  <c r="J211" i="12"/>
  <c r="J201" i="12"/>
  <c r="J189" i="12"/>
  <c r="J181" i="12"/>
  <c r="J171" i="12"/>
  <c r="J161" i="12"/>
  <c r="J129" i="12"/>
  <c r="J125" i="12"/>
  <c r="J121" i="12"/>
  <c r="J117" i="12"/>
  <c r="J113" i="12"/>
  <c r="J109" i="12"/>
  <c r="J105" i="12"/>
  <c r="J101" i="12"/>
  <c r="J97" i="12"/>
  <c r="J93" i="12"/>
  <c r="J228" i="12"/>
  <c r="J212" i="12"/>
  <c r="J196" i="12"/>
  <c r="J190" i="12"/>
  <c r="J182" i="12"/>
  <c r="J172" i="12"/>
  <c r="J162" i="12"/>
  <c r="J152" i="12"/>
  <c r="J148" i="12"/>
  <c r="J134" i="12"/>
  <c r="J233" i="12"/>
  <c r="J227" i="12"/>
  <c r="J219" i="12"/>
  <c r="J207" i="12"/>
  <c r="J191" i="12"/>
  <c r="J183" i="12"/>
  <c r="J163" i="12"/>
  <c r="J153" i="12"/>
  <c r="J143" i="12"/>
  <c r="J139" i="12"/>
  <c r="J135" i="12"/>
  <c r="J133" i="12"/>
  <c r="J226" i="12"/>
  <c r="J220" i="12"/>
  <c r="J225" i="12"/>
  <c r="J221" i="12"/>
  <c r="J213" i="12"/>
  <c r="J203" i="12"/>
  <c r="J197" i="12"/>
  <c r="J185" i="12"/>
  <c r="J173" i="12"/>
  <c r="J155" i="12"/>
  <c r="J149" i="12"/>
  <c r="J224" i="12"/>
  <c r="J214" i="12"/>
  <c r="J208" i="12"/>
  <c r="J204" i="12"/>
  <c r="J192" i="12"/>
  <c r="J186" i="12"/>
  <c r="J174" i="12"/>
  <c r="J223" i="12"/>
  <c r="J215" i="12"/>
  <c r="J187" i="12"/>
  <c r="J175" i="12"/>
  <c r="J165" i="12"/>
  <c r="J157" i="12"/>
  <c r="J145" i="12"/>
  <c r="J127" i="12"/>
  <c r="J123" i="12"/>
  <c r="J119" i="12"/>
  <c r="J115" i="12"/>
  <c r="J111" i="12"/>
  <c r="J107" i="12"/>
  <c r="J103" i="12"/>
  <c r="J99" i="12"/>
  <c r="J95" i="12"/>
  <c r="J216" i="12"/>
  <c r="J198" i="12"/>
  <c r="J176" i="12"/>
  <c r="J166" i="12"/>
  <c r="J158" i="12"/>
  <c r="J150" i="12"/>
  <c r="J146" i="12"/>
  <c r="J217" i="12"/>
  <c r="J209" i="12"/>
  <c r="J205" i="12"/>
  <c r="J193" i="12"/>
  <c r="J177" i="12"/>
  <c r="J167" i="12"/>
  <c r="J159" i="12"/>
  <c r="J141" i="12"/>
  <c r="J137" i="12"/>
  <c r="J91" i="12"/>
  <c r="J184" i="12"/>
  <c r="J96" i="12"/>
  <c r="J202" i="12"/>
  <c r="J164" i="12"/>
  <c r="J98" i="12"/>
  <c r="J194" i="12"/>
  <c r="J178" i="12"/>
  <c r="J168" i="12"/>
  <c r="J100" i="12"/>
  <c r="J156" i="12"/>
  <c r="J104" i="12"/>
  <c r="J102" i="12"/>
  <c r="J188" i="12"/>
  <c r="J160" i="12"/>
  <c r="J154" i="12"/>
  <c r="J108" i="12"/>
  <c r="J106" i="12"/>
  <c r="J112" i="12"/>
  <c r="J110" i="12"/>
  <c r="J120" i="12"/>
  <c r="J118" i="12"/>
  <c r="J116" i="12"/>
  <c r="J114" i="12"/>
  <c r="J144" i="12"/>
  <c r="J142" i="12"/>
  <c r="J140" i="12"/>
  <c r="J138" i="12"/>
  <c r="J136" i="12"/>
  <c r="J124" i="12"/>
  <c r="J122" i="12"/>
  <c r="H131" i="12"/>
  <c r="J128" i="12"/>
  <c r="J126" i="12"/>
  <c r="J92" i="12"/>
  <c r="L12" i="12"/>
  <c r="N12" i="12" s="1"/>
  <c r="J94" i="12"/>
  <c r="T27" i="111"/>
  <c r="Z18" i="111"/>
  <c r="T27" i="110"/>
  <c r="Z18" i="110"/>
  <c r="H27" i="50"/>
  <c r="N18" i="50"/>
  <c r="L18" i="52"/>
  <c r="D27" i="52"/>
  <c r="T27" i="44"/>
  <c r="Z18" i="44"/>
  <c r="D27" i="37"/>
  <c r="L18" i="37"/>
  <c r="X18" i="31"/>
  <c r="P27" i="31"/>
  <c r="L18" i="23"/>
  <c r="D27" i="23"/>
  <c r="L18" i="19"/>
  <c r="D27" i="19"/>
  <c r="X18" i="17"/>
  <c r="P27" i="17"/>
  <c r="T27" i="8"/>
  <c r="Z18" i="8"/>
  <c r="N31" i="108"/>
  <c r="T74" i="105"/>
  <c r="H70" i="107"/>
  <c r="L16" i="104"/>
  <c r="D31" i="104"/>
  <c r="X16" i="99"/>
  <c r="R20" i="94"/>
  <c r="F63" i="94"/>
  <c r="Z75" i="91"/>
  <c r="N75" i="91"/>
  <c r="R92" i="84"/>
  <c r="R91" i="84"/>
  <c r="R83" i="84"/>
  <c r="R82" i="84"/>
  <c r="R75" i="84"/>
  <c r="R74" i="84"/>
  <c r="R63" i="84"/>
  <c r="R62" i="84"/>
  <c r="R93" i="84"/>
  <c r="R58" i="84"/>
  <c r="R57" i="84"/>
  <c r="R53" i="84"/>
  <c r="R95" i="84"/>
  <c r="R85" i="84"/>
  <c r="R84" i="84"/>
  <c r="R77" i="84"/>
  <c r="R76" i="84"/>
  <c r="R65" i="84"/>
  <c r="R64" i="84"/>
  <c r="R49" i="84"/>
  <c r="R86" i="84"/>
  <c r="R79" i="84"/>
  <c r="R78" i="84"/>
  <c r="R88" i="84"/>
  <c r="R87" i="84"/>
  <c r="R51" i="84"/>
  <c r="R99" i="84"/>
  <c r="R80" i="84"/>
  <c r="R68" i="84"/>
  <c r="R54" i="84"/>
  <c r="R44" i="84"/>
  <c r="R40" i="84"/>
  <c r="R36" i="84"/>
  <c r="R69" i="84"/>
  <c r="R46" i="84"/>
  <c r="R72" i="84"/>
  <c r="R61" i="84"/>
  <c r="R48" i="84"/>
  <c r="P46" i="84"/>
  <c r="R89" i="84"/>
  <c r="R81" i="84"/>
  <c r="R59" i="84"/>
  <c r="R33" i="84"/>
  <c r="X12" i="84"/>
  <c r="Z12" i="84" s="1"/>
  <c r="R90" i="84"/>
  <c r="R66" i="84"/>
  <c r="R70" i="84"/>
  <c r="R67" i="84"/>
  <c r="R56" i="84"/>
  <c r="R42" i="84"/>
  <c r="R38" i="84"/>
  <c r="R34" i="84"/>
  <c r="R55" i="84"/>
  <c r="R52" i="84"/>
  <c r="R50" i="84"/>
  <c r="R43" i="84"/>
  <c r="R41" i="84"/>
  <c r="R39" i="84"/>
  <c r="R37" i="84"/>
  <c r="R35" i="84"/>
  <c r="R60" i="84"/>
  <c r="R71" i="84"/>
  <c r="R73" i="84"/>
  <c r="P58" i="79"/>
  <c r="X20" i="79"/>
  <c r="J87" i="74"/>
  <c r="J73" i="74"/>
  <c r="J69" i="74"/>
  <c r="J96" i="74"/>
  <c r="J88" i="74"/>
  <c r="J60" i="74"/>
  <c r="J56" i="74"/>
  <c r="J52" i="74"/>
  <c r="J89" i="74"/>
  <c r="J79" i="74"/>
  <c r="J90" i="74"/>
  <c r="J74" i="74"/>
  <c r="J70" i="74"/>
  <c r="J48" i="74"/>
  <c r="J97" i="74"/>
  <c r="J91" i="74"/>
  <c r="J61" i="74"/>
  <c r="J57" i="74"/>
  <c r="J53" i="74"/>
  <c r="J49" i="74"/>
  <c r="J98" i="74"/>
  <c r="J92" i="74"/>
  <c r="J80" i="74"/>
  <c r="N12" i="74"/>
  <c r="J99" i="74"/>
  <c r="J100" i="74"/>
  <c r="J105" i="74"/>
  <c r="J101" i="74"/>
  <c r="J93" i="74"/>
  <c r="J83" i="74"/>
  <c r="J77" i="74"/>
  <c r="J67" i="74"/>
  <c r="J104" i="74"/>
  <c r="J94" i="74"/>
  <c r="J84" i="74"/>
  <c r="J72" i="74"/>
  <c r="J68" i="74"/>
  <c r="J66" i="74"/>
  <c r="J86" i="74"/>
  <c r="J82" i="74"/>
  <c r="J62" i="74"/>
  <c r="J58" i="74"/>
  <c r="J54" i="74"/>
  <c r="J50" i="74"/>
  <c r="J76" i="74"/>
  <c r="J103" i="74"/>
  <c r="J85" i="74"/>
  <c r="J78" i="74"/>
  <c r="J95" i="74"/>
  <c r="J81" i="74"/>
  <c r="J59" i="74"/>
  <c r="J55" i="74"/>
  <c r="J51" i="74"/>
  <c r="J71" i="74"/>
  <c r="H64" i="74"/>
  <c r="J75" i="74"/>
  <c r="J109" i="74"/>
  <c r="H64" i="72"/>
  <c r="N23" i="72"/>
  <c r="J94" i="70"/>
  <c r="J86" i="70"/>
  <c r="J74" i="70"/>
  <c r="J60" i="70"/>
  <c r="J56" i="70"/>
  <c r="J52" i="70"/>
  <c r="J50" i="70"/>
  <c r="J48" i="70"/>
  <c r="J34" i="70"/>
  <c r="J99" i="70"/>
  <c r="J95" i="70"/>
  <c r="J87" i="70"/>
  <c r="J75" i="70"/>
  <c r="J61" i="70"/>
  <c r="H48" i="70"/>
  <c r="J43" i="70"/>
  <c r="J39" i="70"/>
  <c r="J35" i="70"/>
  <c r="J98" i="70"/>
  <c r="J76" i="70"/>
  <c r="J66" i="70"/>
  <c r="J62" i="70"/>
  <c r="J103" i="70"/>
  <c r="J97" i="70"/>
  <c r="J77" i="70"/>
  <c r="J57" i="70"/>
  <c r="J53" i="70"/>
  <c r="J88" i="70"/>
  <c r="J78" i="70"/>
  <c r="J44" i="70"/>
  <c r="J40" i="70"/>
  <c r="J36" i="70"/>
  <c r="J89" i="70"/>
  <c r="J79" i="70"/>
  <c r="J67" i="70"/>
  <c r="J63" i="70"/>
  <c r="J81" i="70"/>
  <c r="J69" i="70"/>
  <c r="J91" i="70"/>
  <c r="J83" i="70"/>
  <c r="J71" i="70"/>
  <c r="J59" i="70"/>
  <c r="J55" i="70"/>
  <c r="J41" i="70"/>
  <c r="J37" i="70"/>
  <c r="J65" i="70"/>
  <c r="J84" i="70"/>
  <c r="J72" i="70"/>
  <c r="J54" i="70"/>
  <c r="J92" i="70"/>
  <c r="J90" i="70"/>
  <c r="J82" i="70"/>
  <c r="J70" i="70"/>
  <c r="N12" i="70"/>
  <c r="J46" i="70"/>
  <c r="J80" i="70"/>
  <c r="J68" i="70"/>
  <c r="J58" i="70"/>
  <c r="J42" i="70"/>
  <c r="J64" i="70"/>
  <c r="J51" i="70"/>
  <c r="J38" i="70"/>
  <c r="J85" i="70"/>
  <c r="J73" i="70"/>
  <c r="J45" i="70"/>
  <c r="J93" i="70"/>
  <c r="D92" i="63"/>
  <c r="L16" i="63"/>
  <c r="T79" i="68"/>
  <c r="V44" i="68"/>
  <c r="V88" i="70"/>
  <c r="V80" i="70"/>
  <c r="V68" i="70"/>
  <c r="V44" i="70"/>
  <c r="V40" i="70"/>
  <c r="V36" i="70"/>
  <c r="V79" i="70"/>
  <c r="V67" i="70"/>
  <c r="V63" i="70"/>
  <c r="V90" i="70"/>
  <c r="V82" i="70"/>
  <c r="V70" i="70"/>
  <c r="V58" i="70"/>
  <c r="V54" i="70"/>
  <c r="V81" i="70"/>
  <c r="V69" i="70"/>
  <c r="V45" i="70"/>
  <c r="V41" i="70"/>
  <c r="V37" i="70"/>
  <c r="V92" i="70"/>
  <c r="V84" i="70"/>
  <c r="V72" i="70"/>
  <c r="V64" i="70"/>
  <c r="V91" i="70"/>
  <c r="V83" i="70"/>
  <c r="V71" i="70"/>
  <c r="V59" i="70"/>
  <c r="V55" i="70"/>
  <c r="V51" i="70"/>
  <c r="V99" i="70"/>
  <c r="V93" i="70"/>
  <c r="V85" i="70"/>
  <c r="V73" i="70"/>
  <c r="V65" i="70"/>
  <c r="V61" i="70"/>
  <c r="T48" i="70"/>
  <c r="V98" i="70"/>
  <c r="V97" i="70"/>
  <c r="V95" i="70"/>
  <c r="V87" i="70"/>
  <c r="V75" i="70"/>
  <c r="V43" i="70"/>
  <c r="V39" i="70"/>
  <c r="V35" i="70"/>
  <c r="V52" i="70"/>
  <c r="V94" i="70"/>
  <c r="V77" i="70"/>
  <c r="V46" i="70"/>
  <c r="V42" i="70"/>
  <c r="V34" i="70"/>
  <c r="V56" i="70"/>
  <c r="V38" i="70"/>
  <c r="V62" i="70"/>
  <c r="V78" i="70"/>
  <c r="V103" i="70"/>
  <c r="V76" i="70"/>
  <c r="V66" i="70"/>
  <c r="V60" i="70"/>
  <c r="V53" i="70"/>
  <c r="V89" i="70"/>
  <c r="V74" i="70"/>
  <c r="V48" i="70"/>
  <c r="V57" i="70"/>
  <c r="V86" i="70"/>
  <c r="V50" i="70"/>
  <c r="P22" i="54"/>
  <c r="X16" i="54"/>
  <c r="L16" i="54"/>
  <c r="D22" i="54"/>
  <c r="H35" i="55"/>
  <c r="T62" i="57"/>
  <c r="P28" i="55"/>
  <c r="X16" i="55"/>
  <c r="T91" i="24"/>
  <c r="F70" i="24"/>
  <c r="D56" i="24"/>
  <c r="F81" i="24"/>
  <c r="F80" i="24"/>
  <c r="F65" i="24"/>
  <c r="F61" i="24"/>
  <c r="F91" i="24"/>
  <c r="F89" i="24"/>
  <c r="F52" i="24"/>
  <c r="F48" i="24"/>
  <c r="F44" i="24"/>
  <c r="F93" i="24"/>
  <c r="F71" i="24"/>
  <c r="F82" i="24"/>
  <c r="F66" i="24"/>
  <c r="F62" i="24"/>
  <c r="F73" i="24"/>
  <c r="F72" i="24"/>
  <c r="F53" i="24"/>
  <c r="F49" i="24"/>
  <c r="F45" i="24"/>
  <c r="F98" i="24"/>
  <c r="F95" i="24"/>
  <c r="F84" i="24"/>
  <c r="F83" i="24"/>
  <c r="L12" i="24"/>
  <c r="N12" i="24" s="1"/>
  <c r="F75" i="24"/>
  <c r="F74" i="24"/>
  <c r="F67" i="24"/>
  <c r="F63" i="24"/>
  <c r="F54" i="24"/>
  <c r="F50" i="24"/>
  <c r="F46" i="24"/>
  <c r="F42" i="24"/>
  <c r="F41" i="24"/>
  <c r="F85" i="24"/>
  <c r="F77" i="24"/>
  <c r="F76" i="24"/>
  <c r="F69" i="24"/>
  <c r="F68" i="24"/>
  <c r="F64" i="24"/>
  <c r="F60" i="24"/>
  <c r="F59" i="24"/>
  <c r="F58" i="24"/>
  <c r="F79" i="24"/>
  <c r="F47" i="24"/>
  <c r="F56" i="24"/>
  <c r="F86" i="24"/>
  <c r="F87" i="24"/>
  <c r="F51" i="24"/>
  <c r="F43" i="24"/>
  <c r="F78" i="24"/>
  <c r="V232" i="18"/>
  <c r="V224" i="18"/>
  <c r="V220" i="18"/>
  <c r="V208" i="18"/>
  <c r="V200" i="18"/>
  <c r="V180" i="18"/>
  <c r="V172" i="18"/>
  <c r="V152" i="18"/>
  <c r="V148" i="18"/>
  <c r="V144" i="18"/>
  <c r="V140" i="18"/>
  <c r="V136" i="18"/>
  <c r="V132" i="18"/>
  <c r="V128" i="18"/>
  <c r="V124" i="18"/>
  <c r="V120" i="18"/>
  <c r="V116" i="18"/>
  <c r="V112" i="18"/>
  <c r="V108" i="18"/>
  <c r="V104" i="18"/>
  <c r="V231" i="18"/>
  <c r="V203" i="18"/>
  <c r="V191" i="18"/>
  <c r="V171" i="18"/>
  <c r="V167" i="18"/>
  <c r="V214" i="18"/>
  <c r="V202" i="18"/>
  <c r="V182" i="18"/>
  <c r="V174" i="18"/>
  <c r="V247" i="18"/>
  <c r="V233" i="18"/>
  <c r="V225" i="18"/>
  <c r="V221" i="18"/>
  <c r="V209" i="18"/>
  <c r="V193" i="18"/>
  <c r="V173" i="18"/>
  <c r="V246" i="18"/>
  <c r="V216" i="18"/>
  <c r="V204" i="18"/>
  <c r="V192" i="18"/>
  <c r="V184" i="18"/>
  <c r="V176" i="18"/>
  <c r="V168" i="18"/>
  <c r="V164" i="18"/>
  <c r="V245" i="18"/>
  <c r="V227" i="18"/>
  <c r="V215" i="18"/>
  <c r="V211" i="18"/>
  <c r="V195" i="18"/>
  <c r="V183" i="18"/>
  <c r="V175" i="18"/>
  <c r="V163" i="18"/>
  <c r="V159" i="18"/>
  <c r="V155" i="18"/>
  <c r="V244" i="18"/>
  <c r="V234" i="18"/>
  <c r="V226" i="18"/>
  <c r="V222" i="18"/>
  <c r="V210" i="18"/>
  <c r="V194" i="18"/>
  <c r="V186" i="18"/>
  <c r="V178" i="18"/>
  <c r="V251" i="18"/>
  <c r="V243" i="18"/>
  <c r="V217" i="18"/>
  <c r="V205" i="18"/>
  <c r="V197" i="18"/>
  <c r="V185" i="18"/>
  <c r="V177" i="18"/>
  <c r="V242" i="18"/>
  <c r="V236" i="18"/>
  <c r="V228" i="18"/>
  <c r="V212" i="18"/>
  <c r="V196" i="18"/>
  <c r="V188" i="18"/>
  <c r="V160" i="18"/>
  <c r="V156" i="18"/>
  <c r="V241" i="18"/>
  <c r="V235" i="18"/>
  <c r="V223" i="18"/>
  <c r="V219" i="18"/>
  <c r="V207" i="18"/>
  <c r="V199" i="18"/>
  <c r="V187" i="18"/>
  <c r="V179" i="18"/>
  <c r="V240" i="18"/>
  <c r="V230" i="18"/>
  <c r="V218" i="18"/>
  <c r="V206" i="18"/>
  <c r="V198" i="18"/>
  <c r="V190" i="18"/>
  <c r="V170" i="18"/>
  <c r="V166" i="18"/>
  <c r="V239" i="18"/>
  <c r="V237" i="18"/>
  <c r="V229" i="18"/>
  <c r="V213" i="18"/>
  <c r="V201" i="18"/>
  <c r="V189" i="18"/>
  <c r="V181" i="18"/>
  <c r="V161" i="18"/>
  <c r="V157" i="18"/>
  <c r="V153" i="18"/>
  <c r="V158" i="18"/>
  <c r="V129" i="18"/>
  <c r="V127" i="18"/>
  <c r="V123" i="18"/>
  <c r="V119" i="18"/>
  <c r="V115" i="18"/>
  <c r="V111" i="18"/>
  <c r="V107" i="18"/>
  <c r="V146" i="18"/>
  <c r="V125" i="18"/>
  <c r="V121" i="18"/>
  <c r="V117" i="18"/>
  <c r="V113" i="18"/>
  <c r="V109" i="18"/>
  <c r="V105" i="18"/>
  <c r="V169" i="18"/>
  <c r="V162" i="18"/>
  <c r="V142" i="18"/>
  <c r="V138" i="18"/>
  <c r="Z12" i="18"/>
  <c r="T150" i="18"/>
  <c r="V150" i="18" s="1"/>
  <c r="V134" i="18"/>
  <c r="V147" i="18"/>
  <c r="V143" i="18"/>
  <c r="V130" i="18"/>
  <c r="V145" i="18"/>
  <c r="V139" i="18"/>
  <c r="V126" i="18"/>
  <c r="V122" i="18"/>
  <c r="V118" i="18"/>
  <c r="V114" i="18"/>
  <c r="V110" i="18"/>
  <c r="V106" i="18"/>
  <c r="V165" i="18"/>
  <c r="V154" i="18"/>
  <c r="V141" i="18"/>
  <c r="V135" i="18"/>
  <c r="V137" i="18"/>
  <c r="V131" i="18"/>
  <c r="V133" i="18"/>
  <c r="Z215" i="15"/>
  <c r="Z223" i="12"/>
  <c r="N16" i="9"/>
  <c r="H88" i="9"/>
  <c r="X18" i="111"/>
  <c r="P27" i="111"/>
  <c r="H27" i="111"/>
  <c r="N18" i="111"/>
  <c r="T27" i="53"/>
  <c r="Z18" i="53"/>
  <c r="L18" i="49"/>
  <c r="D27" i="49"/>
  <c r="X18" i="46"/>
  <c r="P27" i="46"/>
  <c r="X18" i="41"/>
  <c r="P27" i="41"/>
  <c r="H27" i="28"/>
  <c r="N18" i="28"/>
  <c r="X18" i="14"/>
  <c r="P27" i="14"/>
  <c r="H27" i="14"/>
  <c r="N18" i="14"/>
  <c r="H27" i="16"/>
  <c r="N18" i="16"/>
  <c r="L18" i="4"/>
  <c r="D27" i="4"/>
  <c r="T27" i="10"/>
  <c r="Z18" i="10"/>
  <c r="T27" i="5"/>
  <c r="Z18" i="5"/>
  <c r="P50" i="109"/>
  <c r="X17" i="109"/>
  <c r="Z17" i="109" s="1"/>
  <c r="V21" i="105"/>
  <c r="T50" i="109"/>
  <c r="L12" i="101"/>
  <c r="N12" i="101" s="1"/>
  <c r="P46" i="102"/>
  <c r="N16" i="102"/>
  <c r="H42" i="102"/>
  <c r="L42" i="102" s="1"/>
  <c r="L16" i="102"/>
  <c r="Z39" i="100"/>
  <c r="V39" i="100"/>
  <c r="N18" i="85"/>
  <c r="H26" i="85"/>
  <c r="J18" i="85"/>
  <c r="H22" i="81"/>
  <c r="N16" i="81"/>
  <c r="H27" i="82"/>
  <c r="J23" i="78"/>
  <c r="F64" i="75"/>
  <c r="F35" i="75"/>
  <c r="F31" i="75"/>
  <c r="F69" i="75"/>
  <c r="F58" i="75"/>
  <c r="F50" i="75"/>
  <c r="F41" i="75"/>
  <c r="F52" i="75"/>
  <c r="F51" i="75"/>
  <c r="F36" i="75"/>
  <c r="F32" i="75"/>
  <c r="F59" i="75"/>
  <c r="F43" i="75"/>
  <c r="F42" i="75"/>
  <c r="F54" i="75"/>
  <c r="F53" i="75"/>
  <c r="F45" i="75"/>
  <c r="F44" i="75"/>
  <c r="F37" i="75"/>
  <c r="F33" i="75"/>
  <c r="F60" i="75"/>
  <c r="F56" i="75"/>
  <c r="F55" i="75"/>
  <c r="F47" i="75"/>
  <c r="F46" i="75"/>
  <c r="F39" i="75"/>
  <c r="F38" i="75"/>
  <c r="F62" i="75"/>
  <c r="F61" i="75"/>
  <c r="F34" i="75"/>
  <c r="F30" i="75"/>
  <c r="F29" i="75"/>
  <c r="F40" i="75"/>
  <c r="F28" i="75"/>
  <c r="L12" i="75"/>
  <c r="N12" i="75" s="1"/>
  <c r="D26" i="75"/>
  <c r="F26" i="75" s="1"/>
  <c r="F49" i="75"/>
  <c r="F24" i="75"/>
  <c r="F57" i="75"/>
  <c r="F65" i="75"/>
  <c r="F48" i="75"/>
  <c r="V79" i="76"/>
  <c r="V71" i="76"/>
  <c r="V43" i="76"/>
  <c r="V39" i="76"/>
  <c r="V35" i="76"/>
  <c r="V70" i="76"/>
  <c r="V62" i="76"/>
  <c r="V57" i="76"/>
  <c r="V80" i="76"/>
  <c r="V72" i="76"/>
  <c r="V63" i="76"/>
  <c r="V59" i="76"/>
  <c r="V87" i="76"/>
  <c r="V81" i="76"/>
  <c r="V73" i="76"/>
  <c r="V65" i="76"/>
  <c r="V41" i="76"/>
  <c r="V37" i="76"/>
  <c r="V85" i="76"/>
  <c r="V83" i="76"/>
  <c r="V75" i="76"/>
  <c r="V67" i="76"/>
  <c r="V55" i="76"/>
  <c r="V51" i="76"/>
  <c r="V77" i="76"/>
  <c r="V69" i="76"/>
  <c r="V61" i="76"/>
  <c r="Z12" i="76"/>
  <c r="V66" i="76"/>
  <c r="V56" i="76"/>
  <c r="V49" i="76"/>
  <c r="V92" i="76"/>
  <c r="V68" i="76"/>
  <c r="V64" i="76"/>
  <c r="V60" i="76"/>
  <c r="V58" i="76"/>
  <c r="V44" i="76"/>
  <c r="V86" i="76"/>
  <c r="V76" i="76"/>
  <c r="V53" i="76"/>
  <c r="V42" i="76"/>
  <c r="V40" i="76"/>
  <c r="V38" i="76"/>
  <c r="V36" i="76"/>
  <c r="V74" i="76"/>
  <c r="V50" i="76"/>
  <c r="V46" i="76"/>
  <c r="V34" i="76"/>
  <c r="V82" i="76"/>
  <c r="T46" i="76"/>
  <c r="V88" i="76"/>
  <c r="V52" i="76"/>
  <c r="V54" i="76"/>
  <c r="V48" i="76"/>
  <c r="V78" i="76"/>
  <c r="J26" i="75"/>
  <c r="T92" i="63"/>
  <c r="D28" i="55"/>
  <c r="L16" i="55"/>
  <c r="P63" i="56"/>
  <c r="X16" i="56"/>
  <c r="F63" i="51"/>
  <c r="F58" i="51"/>
  <c r="F54" i="51"/>
  <c r="F50" i="51"/>
  <c r="F49" i="51"/>
  <c r="F81" i="51"/>
  <c r="F73" i="51"/>
  <c r="F48" i="51"/>
  <c r="F41" i="51"/>
  <c r="F37" i="51"/>
  <c r="F64" i="51"/>
  <c r="F60" i="51"/>
  <c r="F59" i="51"/>
  <c r="D46" i="51"/>
  <c r="F46" i="51" s="1"/>
  <c r="L12" i="51"/>
  <c r="N12" i="51" s="1"/>
  <c r="F88" i="51"/>
  <c r="F83" i="51"/>
  <c r="F82" i="51"/>
  <c r="F75" i="51"/>
  <c r="F74" i="51"/>
  <c r="F55" i="51"/>
  <c r="F51" i="51"/>
  <c r="F92" i="51"/>
  <c r="F87" i="51"/>
  <c r="F66" i="51"/>
  <c r="F65" i="51"/>
  <c r="F42" i="51"/>
  <c r="F38" i="51"/>
  <c r="F79" i="51"/>
  <c r="F78" i="51"/>
  <c r="F43" i="51"/>
  <c r="F39" i="51"/>
  <c r="F35" i="51"/>
  <c r="F34" i="51"/>
  <c r="F70" i="51"/>
  <c r="F69" i="51"/>
  <c r="F62" i="51"/>
  <c r="F52" i="51"/>
  <c r="F85" i="51"/>
  <c r="F77" i="51"/>
  <c r="F72" i="51"/>
  <c r="F56" i="51"/>
  <c r="F44" i="51"/>
  <c r="F40" i="51"/>
  <c r="F68" i="51"/>
  <c r="F36" i="51"/>
  <c r="F80" i="51"/>
  <c r="F53" i="51"/>
  <c r="F86" i="51"/>
  <c r="F76" i="51"/>
  <c r="F61" i="51"/>
  <c r="F57" i="51"/>
  <c r="F67" i="51"/>
  <c r="F71" i="51"/>
  <c r="N22" i="54"/>
  <c r="H26" i="54"/>
  <c r="V92" i="51"/>
  <c r="V78" i="51"/>
  <c r="V66" i="51"/>
  <c r="V42" i="51"/>
  <c r="V38" i="51"/>
  <c r="V34" i="51"/>
  <c r="V77" i="51"/>
  <c r="V69" i="51"/>
  <c r="V61" i="51"/>
  <c r="V68" i="51"/>
  <c r="V56" i="51"/>
  <c r="V52" i="51"/>
  <c r="V79" i="51"/>
  <c r="V71" i="51"/>
  <c r="V43" i="51"/>
  <c r="V39" i="51"/>
  <c r="V35" i="51"/>
  <c r="V70" i="51"/>
  <c r="V62" i="51"/>
  <c r="V57" i="51"/>
  <c r="V53" i="51"/>
  <c r="V49" i="51"/>
  <c r="V88" i="51"/>
  <c r="V82" i="51"/>
  <c r="V74" i="51"/>
  <c r="V58" i="51"/>
  <c r="V54" i="51"/>
  <c r="V50" i="51"/>
  <c r="V87" i="51"/>
  <c r="V81" i="51"/>
  <c r="V73" i="51"/>
  <c r="V65" i="51"/>
  <c r="V41" i="51"/>
  <c r="V37" i="51"/>
  <c r="V85" i="51"/>
  <c r="V60" i="51"/>
  <c r="V80" i="51"/>
  <c r="V75" i="51"/>
  <c r="V64" i="51"/>
  <c r="V86" i="51"/>
  <c r="V83" i="51"/>
  <c r="V76" i="51"/>
  <c r="V51" i="51"/>
  <c r="Z12" i="51"/>
  <c r="V59" i="51"/>
  <c r="T46" i="51"/>
  <c r="V46" i="51" s="1"/>
  <c r="V55" i="51"/>
  <c r="V67" i="51"/>
  <c r="V63" i="51"/>
  <c r="V72" i="51"/>
  <c r="V44" i="51"/>
  <c r="V40" i="51"/>
  <c r="V36" i="51"/>
  <c r="V48" i="51"/>
  <c r="H50" i="48"/>
  <c r="N17" i="48"/>
  <c r="F27" i="42"/>
  <c r="Z128" i="30"/>
  <c r="H91" i="24"/>
  <c r="V215" i="15"/>
  <c r="X215" i="15"/>
  <c r="Z16" i="9"/>
  <c r="T88" i="9"/>
  <c r="Z16" i="6"/>
  <c r="T22" i="6"/>
  <c r="T27" i="112"/>
  <c r="Z18" i="112"/>
  <c r="D27" i="112"/>
  <c r="L18" i="112"/>
  <c r="X18" i="43"/>
  <c r="P27" i="43"/>
  <c r="L18" i="32"/>
  <c r="D27" i="32"/>
  <c r="L18" i="34"/>
  <c r="D27" i="34"/>
  <c r="D27" i="29"/>
  <c r="L18" i="29"/>
  <c r="T27" i="22"/>
  <c r="Z18" i="22"/>
  <c r="H27" i="20"/>
  <c r="N18" i="20"/>
  <c r="D27" i="11"/>
  <c r="L18" i="11"/>
  <c r="T27" i="4"/>
  <c r="Z18" i="4"/>
  <c r="D65" i="92" l="1"/>
  <c r="L19" i="92"/>
  <c r="P31" i="47"/>
  <c r="X27" i="47"/>
  <c r="P95" i="9"/>
  <c r="P31" i="26"/>
  <c r="X27" i="26"/>
  <c r="L27" i="10"/>
  <c r="D31" i="10"/>
  <c r="P86" i="91"/>
  <c r="X83" i="91"/>
  <c r="D73" i="103"/>
  <c r="L21" i="103"/>
  <c r="N21" i="103" s="1"/>
  <c r="T30" i="85"/>
  <c r="V26" i="85"/>
  <c r="L27" i="32"/>
  <c r="D31" i="32"/>
  <c r="N50" i="48"/>
  <c r="H54" i="48"/>
  <c r="J50" i="48"/>
  <c r="P67" i="56"/>
  <c r="X63" i="56"/>
  <c r="T90" i="76"/>
  <c r="L27" i="49"/>
  <c r="D31" i="49"/>
  <c r="T78" i="105"/>
  <c r="V74" i="105"/>
  <c r="T227" i="15"/>
  <c r="V223" i="15"/>
  <c r="P69" i="58"/>
  <c r="X65" i="58"/>
  <c r="Z65" i="58" s="1"/>
  <c r="X81" i="45"/>
  <c r="Z81" i="45" s="1"/>
  <c r="P85" i="45"/>
  <c r="R81" i="45"/>
  <c r="Z23" i="78"/>
  <c r="T51" i="78"/>
  <c r="H58" i="88"/>
  <c r="N54" i="88"/>
  <c r="T31" i="13"/>
  <c r="Z27" i="13"/>
  <c r="T31" i="35"/>
  <c r="Z27" i="35"/>
  <c r="X271" i="3"/>
  <c r="P275" i="3"/>
  <c r="R271" i="3"/>
  <c r="N27" i="10"/>
  <c r="H31" i="10"/>
  <c r="Z27" i="29"/>
  <c r="T31" i="29"/>
  <c r="N27" i="112"/>
  <c r="H31" i="112"/>
  <c r="X46" i="51"/>
  <c r="Z46" i="51" s="1"/>
  <c r="P90" i="51"/>
  <c r="X48" i="70"/>
  <c r="P101" i="70"/>
  <c r="X27" i="34"/>
  <c r="P31" i="34"/>
  <c r="Z26" i="54"/>
  <c r="T31" i="54"/>
  <c r="H55" i="78"/>
  <c r="J51" i="78"/>
  <c r="L44" i="61"/>
  <c r="D48" i="61"/>
  <c r="Z27" i="23"/>
  <c r="T31" i="23"/>
  <c r="P67" i="73"/>
  <c r="P31" i="20"/>
  <c r="X27" i="20"/>
  <c r="L64" i="74"/>
  <c r="D107" i="74"/>
  <c r="D78" i="87"/>
  <c r="L74" i="87"/>
  <c r="X27" i="44"/>
  <c r="P31" i="44"/>
  <c r="P63" i="80"/>
  <c r="X20" i="80"/>
  <c r="H90" i="51"/>
  <c r="H63" i="80"/>
  <c r="X27" i="10"/>
  <c r="P31" i="10"/>
  <c r="P48" i="60"/>
  <c r="X44" i="60"/>
  <c r="T46" i="102"/>
  <c r="N27" i="23"/>
  <c r="H31" i="23"/>
  <c r="X27" i="110"/>
  <c r="P31" i="110"/>
  <c r="T119" i="39"/>
  <c r="Z33" i="39"/>
  <c r="Z27" i="4"/>
  <c r="T31" i="4"/>
  <c r="H31" i="16"/>
  <c r="N27" i="16"/>
  <c r="X28" i="55"/>
  <c r="P32" i="55"/>
  <c r="H107" i="74"/>
  <c r="N64" i="74"/>
  <c r="D31" i="37"/>
  <c r="L27" i="37"/>
  <c r="N27" i="25"/>
  <c r="H31" i="25"/>
  <c r="H31" i="44"/>
  <c r="N27" i="44"/>
  <c r="X22" i="81"/>
  <c r="P26" i="81"/>
  <c r="P46" i="100"/>
  <c r="X42" i="100"/>
  <c r="Z42" i="100" s="1"/>
  <c r="D31" i="20"/>
  <c r="L27" i="20"/>
  <c r="X27" i="40"/>
  <c r="P31" i="40"/>
  <c r="H223" i="15"/>
  <c r="L223" i="15" s="1"/>
  <c r="N126" i="15"/>
  <c r="P55" i="78"/>
  <c r="X51" i="78"/>
  <c r="T29" i="98"/>
  <c r="Z29" i="98" s="1"/>
  <c r="Z26" i="98"/>
  <c r="T31" i="14"/>
  <c r="Z27" i="14"/>
  <c r="D132" i="30"/>
  <c r="L68" i="30"/>
  <c r="N68" i="30" s="1"/>
  <c r="T97" i="84"/>
  <c r="D31" i="16"/>
  <c r="L27" i="16"/>
  <c r="L27" i="31"/>
  <c r="D31" i="31"/>
  <c r="Z27" i="28"/>
  <c r="T31" i="28"/>
  <c r="P49" i="67"/>
  <c r="X45" i="67"/>
  <c r="Z45" i="67" s="1"/>
  <c r="P31" i="8"/>
  <c r="X27" i="8"/>
  <c r="D62" i="57"/>
  <c r="L58" i="57"/>
  <c r="N58" i="57" s="1"/>
  <c r="X26" i="75"/>
  <c r="P67" i="75"/>
  <c r="T69" i="92"/>
  <c r="V65" i="92"/>
  <c r="N27" i="49"/>
  <c r="H31" i="49"/>
  <c r="Z27" i="47"/>
  <c r="T31" i="47"/>
  <c r="X27" i="112"/>
  <c r="P31" i="112"/>
  <c r="D86" i="68"/>
  <c r="D90" i="76"/>
  <c r="L46" i="76"/>
  <c r="H31" i="54"/>
  <c r="N26" i="54"/>
  <c r="D96" i="63"/>
  <c r="L92" i="63"/>
  <c r="N92" i="63" s="1"/>
  <c r="D119" i="39"/>
  <c r="L33" i="39"/>
  <c r="J20" i="80"/>
  <c r="X58" i="57"/>
  <c r="Z58" i="57" s="1"/>
  <c r="P62" i="57"/>
  <c r="T48" i="61"/>
  <c r="X102" i="27"/>
  <c r="P106" i="27"/>
  <c r="R102" i="27"/>
  <c r="P31" i="43"/>
  <c r="X27" i="43"/>
  <c r="D32" i="55"/>
  <c r="L28" i="55"/>
  <c r="N28" i="55" s="1"/>
  <c r="T54" i="109"/>
  <c r="V50" i="109"/>
  <c r="T65" i="57"/>
  <c r="P49" i="99"/>
  <c r="P31" i="53"/>
  <c r="X27" i="53"/>
  <c r="H109" i="42"/>
  <c r="N27" i="42"/>
  <c r="H96" i="63"/>
  <c r="T70" i="94"/>
  <c r="V67" i="94"/>
  <c r="T74" i="107"/>
  <c r="V70" i="107"/>
  <c r="D26" i="6"/>
  <c r="L22" i="6"/>
  <c r="X23" i="78"/>
  <c r="D30" i="85"/>
  <c r="L26" i="85"/>
  <c r="N27" i="8"/>
  <c r="H31" i="8"/>
  <c r="N27" i="31"/>
  <c r="H31" i="31"/>
  <c r="H72" i="58"/>
  <c r="X20" i="87"/>
  <c r="P74" i="87"/>
  <c r="P31" i="35"/>
  <c r="X27" i="35"/>
  <c r="F68" i="30"/>
  <c r="D113" i="42"/>
  <c r="L109" i="42"/>
  <c r="F109" i="42"/>
  <c r="D63" i="93"/>
  <c r="L59" i="93"/>
  <c r="H88" i="21"/>
  <c r="T49" i="67"/>
  <c r="N74" i="87"/>
  <c r="H78" i="87"/>
  <c r="J74" i="87"/>
  <c r="P31" i="32"/>
  <c r="X27" i="32"/>
  <c r="H31" i="38"/>
  <c r="N27" i="38"/>
  <c r="Z27" i="11"/>
  <c r="T31" i="11"/>
  <c r="T31" i="37"/>
  <c r="Z27" i="37"/>
  <c r="Z26" i="21"/>
  <c r="T88" i="21"/>
  <c r="X65" i="92"/>
  <c r="Z65" i="92" s="1"/>
  <c r="D46" i="99"/>
  <c r="L42" i="99"/>
  <c r="X46" i="102"/>
  <c r="P49" i="102"/>
  <c r="H71" i="75"/>
  <c r="J67" i="75"/>
  <c r="D227" i="15"/>
  <c r="F223" i="15"/>
  <c r="T63" i="80"/>
  <c r="Z20" i="80"/>
  <c r="N27" i="52"/>
  <c r="H31" i="52"/>
  <c r="L63" i="56"/>
  <c r="D67" i="56"/>
  <c r="D31" i="11"/>
  <c r="L27" i="11"/>
  <c r="H95" i="24"/>
  <c r="J91" i="24"/>
  <c r="T96" i="63"/>
  <c r="N27" i="14"/>
  <c r="H31" i="14"/>
  <c r="T31" i="53"/>
  <c r="Z27" i="53"/>
  <c r="Z27" i="8"/>
  <c r="T31" i="8"/>
  <c r="T31" i="44"/>
  <c r="Z27" i="44"/>
  <c r="Z33" i="33"/>
  <c r="T76" i="33"/>
  <c r="H31" i="11"/>
  <c r="N27" i="11"/>
  <c r="T31" i="25"/>
  <c r="Z27" i="25"/>
  <c r="H80" i="33"/>
  <c r="J76" i="33"/>
  <c r="F33" i="39"/>
  <c r="D57" i="59"/>
  <c r="L53" i="59"/>
  <c r="Z64" i="74"/>
  <c r="T107" i="74"/>
  <c r="D62" i="79"/>
  <c r="L58" i="79"/>
  <c r="D31" i="5"/>
  <c r="L27" i="5"/>
  <c r="J46" i="51"/>
  <c r="N26" i="6"/>
  <c r="H31" i="6"/>
  <c r="H31" i="22"/>
  <c r="N27" i="22"/>
  <c r="H48" i="61"/>
  <c r="N44" i="61"/>
  <c r="P67" i="94"/>
  <c r="X63" i="94"/>
  <c r="Z63" i="94" s="1"/>
  <c r="R63" i="94"/>
  <c r="P31" i="7"/>
  <c r="X27" i="7"/>
  <c r="T85" i="45"/>
  <c r="V81" i="45"/>
  <c r="D31" i="40"/>
  <c r="L27" i="40"/>
  <c r="P60" i="59"/>
  <c r="D72" i="97"/>
  <c r="L68" i="97"/>
  <c r="N27" i="19"/>
  <c r="H31" i="19"/>
  <c r="D31" i="22"/>
  <c r="L27" i="22"/>
  <c r="H275" i="3"/>
  <c r="J271" i="3"/>
  <c r="X150" i="18"/>
  <c r="P119" i="39"/>
  <c r="X33" i="39"/>
  <c r="F21" i="103"/>
  <c r="N27" i="43"/>
  <c r="H31" i="43"/>
  <c r="Z42" i="73"/>
  <c r="T63" i="73"/>
  <c r="Z53" i="59"/>
  <c r="T57" i="59"/>
  <c r="X57" i="59" s="1"/>
  <c r="X64" i="74"/>
  <c r="P107" i="74"/>
  <c r="P72" i="92"/>
  <c r="X69" i="92"/>
  <c r="H84" i="95"/>
  <c r="J80" i="95"/>
  <c r="H31" i="82"/>
  <c r="J27" i="82"/>
  <c r="P31" i="14"/>
  <c r="X27" i="14"/>
  <c r="X27" i="17"/>
  <c r="P31" i="17"/>
  <c r="L27" i="52"/>
  <c r="D31" i="52"/>
  <c r="X109" i="42"/>
  <c r="P113" i="42"/>
  <c r="R109" i="42"/>
  <c r="H62" i="79"/>
  <c r="N58" i="79"/>
  <c r="J58" i="79"/>
  <c r="L27" i="7"/>
  <c r="D31" i="7"/>
  <c r="P61" i="88"/>
  <c r="D61" i="88"/>
  <c r="L58" i="88"/>
  <c r="D26" i="98"/>
  <c r="L22" i="98"/>
  <c r="D49" i="102"/>
  <c r="H31" i="29"/>
  <c r="N27" i="29"/>
  <c r="H31" i="47"/>
  <c r="N27" i="47"/>
  <c r="N27" i="13"/>
  <c r="H31" i="13"/>
  <c r="Z27" i="43"/>
  <c r="T31" i="43"/>
  <c r="Z63" i="56"/>
  <c r="T67" i="56"/>
  <c r="T71" i="83"/>
  <c r="V67" i="83"/>
  <c r="X27" i="23"/>
  <c r="P31" i="23"/>
  <c r="X27" i="52"/>
  <c r="P31" i="52"/>
  <c r="Z20" i="69"/>
  <c r="T60" i="69"/>
  <c r="H67" i="83"/>
  <c r="T31" i="31"/>
  <c r="Z27" i="31"/>
  <c r="H67" i="94"/>
  <c r="J63" i="94"/>
  <c r="Z27" i="19"/>
  <c r="T31" i="19"/>
  <c r="D68" i="72"/>
  <c r="L64" i="72"/>
  <c r="X27" i="38"/>
  <c r="P31" i="38"/>
  <c r="Z83" i="91"/>
  <c r="T86" i="91"/>
  <c r="X27" i="28"/>
  <c r="P31" i="28"/>
  <c r="T231" i="12"/>
  <c r="V131" i="12"/>
  <c r="P253" i="18"/>
  <c r="R249" i="18"/>
  <c r="D85" i="45"/>
  <c r="F81" i="45"/>
  <c r="P74" i="105"/>
  <c r="X21" i="105"/>
  <c r="Z21" i="105" s="1"/>
  <c r="Z27" i="17"/>
  <c r="T31" i="17"/>
  <c r="N27" i="40"/>
  <c r="H31" i="40"/>
  <c r="P26" i="6"/>
  <c r="X22" i="6"/>
  <c r="Z27" i="111"/>
  <c r="T31" i="111"/>
  <c r="H31" i="20"/>
  <c r="N27" i="20"/>
  <c r="D31" i="112"/>
  <c r="L27" i="112"/>
  <c r="X50" i="109"/>
  <c r="Z50" i="109" s="1"/>
  <c r="P54" i="109"/>
  <c r="R50" i="109"/>
  <c r="H31" i="111"/>
  <c r="N27" i="111"/>
  <c r="D91" i="24"/>
  <c r="L56" i="24"/>
  <c r="N56" i="24" s="1"/>
  <c r="Z48" i="70"/>
  <c r="T101" i="70"/>
  <c r="H101" i="70"/>
  <c r="L101" i="70" s="1"/>
  <c r="P62" i="79"/>
  <c r="H231" i="12"/>
  <c r="J131" i="12"/>
  <c r="L42" i="100"/>
  <c r="N42" i="100" s="1"/>
  <c r="D46" i="100"/>
  <c r="T31" i="40"/>
  <c r="Z27" i="40"/>
  <c r="T109" i="42"/>
  <c r="Z27" i="42"/>
  <c r="H63" i="93"/>
  <c r="N59" i="93"/>
  <c r="J59" i="93"/>
  <c r="X27" i="5"/>
  <c r="P31" i="5"/>
  <c r="D80" i="95"/>
  <c r="L20" i="95"/>
  <c r="N20" i="95" s="1"/>
  <c r="H78" i="105"/>
  <c r="N74" i="105"/>
  <c r="J74" i="105"/>
  <c r="R46" i="51"/>
  <c r="H97" i="84"/>
  <c r="D66" i="101"/>
  <c r="L42" i="73"/>
  <c r="D63" i="73"/>
  <c r="J26" i="21"/>
  <c r="H64" i="69"/>
  <c r="J60" i="69"/>
  <c r="V20" i="80"/>
  <c r="H31" i="41"/>
  <c r="N27" i="41"/>
  <c r="P90" i="76"/>
  <c r="X46" i="76"/>
  <c r="Z46" i="76" s="1"/>
  <c r="P80" i="33"/>
  <c r="X76" i="33"/>
  <c r="R76" i="33"/>
  <c r="L27" i="26"/>
  <c r="D31" i="26"/>
  <c r="L27" i="41"/>
  <c r="D31" i="41"/>
  <c r="H63" i="73"/>
  <c r="N42" i="73"/>
  <c r="H46" i="100"/>
  <c r="J42" i="100"/>
  <c r="V33" i="39"/>
  <c r="Z42" i="99"/>
  <c r="T46" i="99"/>
  <c r="X27" i="111"/>
  <c r="P31" i="111"/>
  <c r="D26" i="54"/>
  <c r="L22" i="54"/>
  <c r="J64" i="74"/>
  <c r="L27" i="19"/>
  <c r="D31" i="19"/>
  <c r="T29" i="81"/>
  <c r="Z29" i="81" s="1"/>
  <c r="Z26" i="81"/>
  <c r="D31" i="17"/>
  <c r="L27" i="17"/>
  <c r="D275" i="3"/>
  <c r="L271" i="3"/>
  <c r="N271" i="3" s="1"/>
  <c r="F271" i="3"/>
  <c r="P84" i="95"/>
  <c r="X80" i="95"/>
  <c r="T31" i="34"/>
  <c r="Z27" i="34"/>
  <c r="L27" i="50"/>
  <c r="D31" i="50"/>
  <c r="P223" i="15"/>
  <c r="X126" i="15"/>
  <c r="Z126" i="15" s="1"/>
  <c r="D106" i="27"/>
  <c r="L102" i="27"/>
  <c r="F102" i="27"/>
  <c r="Z27" i="16"/>
  <c r="T31" i="16"/>
  <c r="T31" i="49"/>
  <c r="Z27" i="49"/>
  <c r="P92" i="21"/>
  <c r="X88" i="21"/>
  <c r="L22" i="81"/>
  <c r="D26" i="81"/>
  <c r="H249" i="18"/>
  <c r="P96" i="63"/>
  <c r="X92" i="63"/>
  <c r="Z92" i="63" s="1"/>
  <c r="P26" i="98"/>
  <c r="X22" i="98"/>
  <c r="N27" i="17"/>
  <c r="H31" i="17"/>
  <c r="D31" i="47"/>
  <c r="L27" i="47"/>
  <c r="D70" i="94"/>
  <c r="F67" i="94"/>
  <c r="L27" i="44"/>
  <c r="D31" i="44"/>
  <c r="T58" i="79"/>
  <c r="Z20" i="79"/>
  <c r="Z27" i="26"/>
  <c r="T31" i="26"/>
  <c r="Z27" i="46"/>
  <c r="T31" i="46"/>
  <c r="P66" i="101"/>
  <c r="X62" i="101"/>
  <c r="L27" i="43"/>
  <c r="D31" i="43"/>
  <c r="X27" i="29"/>
  <c r="P31" i="29"/>
  <c r="X33" i="33"/>
  <c r="P54" i="48"/>
  <c r="X50" i="48"/>
  <c r="Z50" i="48" s="1"/>
  <c r="R50" i="48"/>
  <c r="D67" i="83"/>
  <c r="L20" i="83"/>
  <c r="N20" i="83" s="1"/>
  <c r="V26" i="21"/>
  <c r="L48" i="70"/>
  <c r="N48" i="70" s="1"/>
  <c r="D27" i="82"/>
  <c r="L21" i="82"/>
  <c r="N21" i="82" s="1"/>
  <c r="X35" i="108"/>
  <c r="Z35" i="108" s="1"/>
  <c r="P39" i="108"/>
  <c r="D67" i="75"/>
  <c r="L26" i="75"/>
  <c r="N26" i="75" s="1"/>
  <c r="Z27" i="22"/>
  <c r="T31" i="22"/>
  <c r="Z27" i="112"/>
  <c r="T31" i="112"/>
  <c r="H26" i="81"/>
  <c r="N22" i="81"/>
  <c r="Z27" i="5"/>
  <c r="T31" i="5"/>
  <c r="N27" i="28"/>
  <c r="H31" i="28"/>
  <c r="T249" i="18"/>
  <c r="X249" i="18" s="1"/>
  <c r="Z150" i="18"/>
  <c r="T95" i="24"/>
  <c r="V91" i="24"/>
  <c r="X46" i="84"/>
  <c r="Z46" i="84" s="1"/>
  <c r="P97" i="84"/>
  <c r="D35" i="104"/>
  <c r="L31" i="104"/>
  <c r="N27" i="50"/>
  <c r="H31" i="50"/>
  <c r="V33" i="33"/>
  <c r="N33" i="39"/>
  <c r="H119" i="39"/>
  <c r="L50" i="48"/>
  <c r="D54" i="48"/>
  <c r="F50" i="48"/>
  <c r="H77" i="103"/>
  <c r="J73" i="103"/>
  <c r="Z27" i="41"/>
  <c r="T31" i="41"/>
  <c r="X68" i="30"/>
  <c r="Z68" i="30" s="1"/>
  <c r="P132" i="30"/>
  <c r="V27" i="42"/>
  <c r="F57" i="109"/>
  <c r="D31" i="38"/>
  <c r="L27" i="38"/>
  <c r="N27" i="53"/>
  <c r="H31" i="53"/>
  <c r="X67" i="83"/>
  <c r="Z67" i="83" s="1"/>
  <c r="P71" i="83"/>
  <c r="P31" i="50"/>
  <c r="X27" i="50"/>
  <c r="H83" i="91"/>
  <c r="N79" i="91"/>
  <c r="X21" i="103"/>
  <c r="Z21" i="103" s="1"/>
  <c r="P73" i="103"/>
  <c r="H31" i="5"/>
  <c r="N27" i="5"/>
  <c r="N27" i="35"/>
  <c r="H31" i="35"/>
  <c r="T31" i="52"/>
  <c r="Z27" i="52"/>
  <c r="V46" i="84"/>
  <c r="L27" i="13"/>
  <c r="D31" i="13"/>
  <c r="P31" i="49"/>
  <c r="X27" i="49"/>
  <c r="L51" i="78"/>
  <c r="N51" i="78" s="1"/>
  <c r="L63" i="94"/>
  <c r="N63" i="94" s="1"/>
  <c r="X27" i="22"/>
  <c r="P31" i="22"/>
  <c r="D31" i="46"/>
  <c r="L27" i="46"/>
  <c r="X131" i="12"/>
  <c r="Z131" i="12" s="1"/>
  <c r="P231" i="12"/>
  <c r="T64" i="72"/>
  <c r="R26" i="75"/>
  <c r="L83" i="91"/>
  <c r="D86" i="91"/>
  <c r="T63" i="93"/>
  <c r="V59" i="93"/>
  <c r="H72" i="97"/>
  <c r="N68" i="97"/>
  <c r="J68" i="97"/>
  <c r="D51" i="60"/>
  <c r="L48" i="60"/>
  <c r="D105" i="70"/>
  <c r="F101" i="70"/>
  <c r="H42" i="108"/>
  <c r="Z62" i="101"/>
  <c r="T66" i="101"/>
  <c r="V62" i="101"/>
  <c r="Z22" i="6"/>
  <c r="T26" i="6"/>
  <c r="D90" i="51"/>
  <c r="L46" i="51"/>
  <c r="N46" i="51" s="1"/>
  <c r="N42" i="102"/>
  <c r="H46" i="102"/>
  <c r="L46" i="102" s="1"/>
  <c r="P31" i="41"/>
  <c r="X27" i="41"/>
  <c r="H92" i="9"/>
  <c r="T83" i="68"/>
  <c r="V79" i="68"/>
  <c r="D31" i="23"/>
  <c r="L27" i="23"/>
  <c r="X27" i="19"/>
  <c r="P31" i="19"/>
  <c r="Z271" i="3"/>
  <c r="T275" i="3"/>
  <c r="V271" i="3"/>
  <c r="D97" i="84"/>
  <c r="L46" i="84"/>
  <c r="N46" i="84" s="1"/>
  <c r="X31" i="104"/>
  <c r="Z31" i="104" s="1"/>
  <c r="P35" i="104"/>
  <c r="N27" i="7"/>
  <c r="H31" i="7"/>
  <c r="L231" i="12"/>
  <c r="D235" i="12"/>
  <c r="F231" i="12"/>
  <c r="T35" i="104"/>
  <c r="Z27" i="20"/>
  <c r="T31" i="20"/>
  <c r="P33" i="85"/>
  <c r="X30" i="85"/>
  <c r="P31" i="37"/>
  <c r="X27" i="37"/>
  <c r="L27" i="110"/>
  <c r="D31" i="110"/>
  <c r="N79" i="68"/>
  <c r="H83" i="68"/>
  <c r="J79" i="68"/>
  <c r="H31" i="4"/>
  <c r="N27" i="4"/>
  <c r="L65" i="58"/>
  <c r="N65" i="58" s="1"/>
  <c r="D69" i="58"/>
  <c r="D58" i="78"/>
  <c r="L55" i="78"/>
  <c r="H26" i="98"/>
  <c r="N22" i="98"/>
  <c r="L88" i="9"/>
  <c r="N88" i="9" s="1"/>
  <c r="D92" i="9"/>
  <c r="H49" i="67"/>
  <c r="L76" i="33"/>
  <c r="N76" i="33" s="1"/>
  <c r="D80" i="33"/>
  <c r="F76" i="33"/>
  <c r="X27" i="11"/>
  <c r="P31" i="11"/>
  <c r="X27" i="13"/>
  <c r="P31" i="13"/>
  <c r="T132" i="30"/>
  <c r="V42" i="73"/>
  <c r="N27" i="26"/>
  <c r="H31" i="26"/>
  <c r="H31" i="37"/>
  <c r="N27" i="37"/>
  <c r="D88" i="21"/>
  <c r="L26" i="21"/>
  <c r="N26" i="21" s="1"/>
  <c r="P74" i="107"/>
  <c r="X70" i="107"/>
  <c r="Z70" i="107" s="1"/>
  <c r="T34" i="82"/>
  <c r="V31" i="82"/>
  <c r="D31" i="29"/>
  <c r="L27" i="29"/>
  <c r="T90" i="51"/>
  <c r="H30" i="85"/>
  <c r="N26" i="85"/>
  <c r="J26" i="85"/>
  <c r="Z27" i="10"/>
  <c r="T31" i="10"/>
  <c r="P26" i="54"/>
  <c r="X22" i="54"/>
  <c r="Z27" i="110"/>
  <c r="T31" i="110"/>
  <c r="T48" i="60"/>
  <c r="Z44" i="60"/>
  <c r="X21" i="82"/>
  <c r="Z21" i="82" s="1"/>
  <c r="P27" i="82"/>
  <c r="D78" i="105"/>
  <c r="L74" i="105"/>
  <c r="H31" i="46"/>
  <c r="N27" i="46"/>
  <c r="Z80" i="95"/>
  <c r="T84" i="95"/>
  <c r="V80" i="95"/>
  <c r="D70" i="107"/>
  <c r="L20" i="107"/>
  <c r="N20" i="107" s="1"/>
  <c r="Z27" i="38"/>
  <c r="T31" i="38"/>
  <c r="D31" i="111"/>
  <c r="L27" i="111"/>
  <c r="L131" i="12"/>
  <c r="N131" i="12" s="1"/>
  <c r="J126" i="15"/>
  <c r="N63" i="56"/>
  <c r="H67" i="56"/>
  <c r="L45" i="67"/>
  <c r="N45" i="67" s="1"/>
  <c r="D49" i="67"/>
  <c r="Z20" i="87"/>
  <c r="T74" i="87"/>
  <c r="N19" i="92"/>
  <c r="H65" i="92"/>
  <c r="L27" i="28"/>
  <c r="D31" i="28"/>
  <c r="N102" i="27"/>
  <c r="H106" i="27"/>
  <c r="J102" i="27"/>
  <c r="X44" i="68"/>
  <c r="Z44" i="68" s="1"/>
  <c r="P79" i="68"/>
  <c r="Z26" i="75"/>
  <c r="T67" i="75"/>
  <c r="X26" i="85"/>
  <c r="Z26" i="85" s="1"/>
  <c r="L27" i="8"/>
  <c r="D31" i="8"/>
  <c r="X27" i="4"/>
  <c r="P31" i="4"/>
  <c r="P31" i="25"/>
  <c r="X27" i="25"/>
  <c r="H57" i="59"/>
  <c r="N53" i="59"/>
  <c r="P64" i="72"/>
  <c r="X23" i="72"/>
  <c r="Z23" i="72" s="1"/>
  <c r="L27" i="25"/>
  <c r="D31" i="25"/>
  <c r="D249" i="18"/>
  <c r="L150" i="18"/>
  <c r="N150" i="18" s="1"/>
  <c r="T80" i="103"/>
  <c r="V77" i="103"/>
  <c r="H31" i="34"/>
  <c r="N27" i="34"/>
  <c r="T32" i="55"/>
  <c r="Z28" i="55"/>
  <c r="H90" i="76"/>
  <c r="N46" i="76"/>
  <c r="L27" i="53"/>
  <c r="D31" i="53"/>
  <c r="T72" i="58"/>
  <c r="R64" i="74"/>
  <c r="T68" i="97"/>
  <c r="X20" i="97"/>
  <c r="Z20" i="97" s="1"/>
  <c r="L27" i="34"/>
  <c r="D31" i="34"/>
  <c r="T92" i="9"/>
  <c r="X92" i="9" s="1"/>
  <c r="X42" i="102"/>
  <c r="Z42" i="102" s="1"/>
  <c r="D31" i="4"/>
  <c r="L27" i="4"/>
  <c r="X27" i="46"/>
  <c r="P31" i="46"/>
  <c r="N64" i="72"/>
  <c r="H68" i="72"/>
  <c r="J64" i="72"/>
  <c r="H74" i="107"/>
  <c r="J70" i="107"/>
  <c r="P31" i="31"/>
  <c r="X27" i="31"/>
  <c r="R21" i="82"/>
  <c r="Z54" i="88"/>
  <c r="T58" i="88"/>
  <c r="H54" i="109"/>
  <c r="N50" i="109"/>
  <c r="J50" i="109"/>
  <c r="L50" i="109"/>
  <c r="Z27" i="32"/>
  <c r="T31" i="32"/>
  <c r="P95" i="24"/>
  <c r="X91" i="24"/>
  <c r="Z91" i="24" s="1"/>
  <c r="X60" i="69"/>
  <c r="P64" i="69"/>
  <c r="X20" i="93"/>
  <c r="Z20" i="93" s="1"/>
  <c r="P59" i="93"/>
  <c r="T31" i="7"/>
  <c r="Z27" i="7"/>
  <c r="T31" i="50"/>
  <c r="Z27" i="50"/>
  <c r="P75" i="97"/>
  <c r="X27" i="16"/>
  <c r="P31" i="16"/>
  <c r="D31" i="35"/>
  <c r="L27" i="35"/>
  <c r="X88" i="9"/>
  <c r="Z88" i="9" s="1"/>
  <c r="P48" i="61"/>
  <c r="X44" i="61"/>
  <c r="Z44" i="61" s="1"/>
  <c r="H62" i="101"/>
  <c r="L62" i="101" s="1"/>
  <c r="L20" i="101"/>
  <c r="N20" i="101" s="1"/>
  <c r="H31" i="110"/>
  <c r="N27" i="110"/>
  <c r="T106" i="27"/>
  <c r="Z102" i="27"/>
  <c r="V102" i="27"/>
  <c r="H35" i="104"/>
  <c r="N31" i="104"/>
  <c r="T54" i="48"/>
  <c r="V50" i="48"/>
  <c r="D39" i="108"/>
  <c r="L35" i="108"/>
  <c r="N35" i="108" s="1"/>
  <c r="H132" i="30"/>
  <c r="D60" i="69"/>
  <c r="L20" i="69"/>
  <c r="N20" i="69" s="1"/>
  <c r="N48" i="60"/>
  <c r="H51" i="60"/>
  <c r="D63" i="80"/>
  <c r="L20" i="80"/>
  <c r="N20" i="80" s="1"/>
  <c r="L27" i="14"/>
  <c r="D31" i="14"/>
  <c r="R33" i="39"/>
  <c r="N27" i="32"/>
  <c r="H31" i="32"/>
  <c r="N21" i="45"/>
  <c r="H81" i="45"/>
  <c r="H46" i="99"/>
  <c r="N42" i="99"/>
  <c r="T49" i="100"/>
  <c r="V46" i="100"/>
  <c r="D74" i="107" l="1"/>
  <c r="L70" i="107"/>
  <c r="N70" i="107" s="1"/>
  <c r="Z31" i="5"/>
  <c r="T36" i="5"/>
  <c r="Z36" i="5" s="1"/>
  <c r="L31" i="19"/>
  <c r="D36" i="19"/>
  <c r="N31" i="8"/>
  <c r="H36" i="8"/>
  <c r="N36" i="8" s="1"/>
  <c r="L63" i="80"/>
  <c r="D67" i="80"/>
  <c r="D253" i="18"/>
  <c r="L249" i="18"/>
  <c r="F249" i="18"/>
  <c r="L88" i="21"/>
  <c r="D92" i="21"/>
  <c r="L90" i="51"/>
  <c r="N90" i="51" s="1"/>
  <c r="D94" i="51"/>
  <c r="F90" i="51"/>
  <c r="L51" i="60"/>
  <c r="P235" i="12"/>
  <c r="X231" i="12"/>
  <c r="R231" i="12"/>
  <c r="P36" i="50"/>
  <c r="X31" i="50"/>
  <c r="P136" i="30"/>
  <c r="X132" i="30"/>
  <c r="R132" i="30"/>
  <c r="N31" i="28"/>
  <c r="H36" i="28"/>
  <c r="N36" i="28" s="1"/>
  <c r="X39" i="108"/>
  <c r="Z39" i="108" s="1"/>
  <c r="P42" i="108"/>
  <c r="X42" i="108" s="1"/>
  <c r="Z42" i="108" s="1"/>
  <c r="Z31" i="46"/>
  <c r="T36" i="46"/>
  <c r="Z36" i="46" s="1"/>
  <c r="D36" i="47"/>
  <c r="L31" i="47"/>
  <c r="T49" i="99"/>
  <c r="Z109" i="42"/>
  <c r="T113" i="42"/>
  <c r="V109" i="42"/>
  <c r="T105" i="70"/>
  <c r="V101" i="70"/>
  <c r="Z31" i="17"/>
  <c r="T36" i="17"/>
  <c r="Z36" i="17" s="1"/>
  <c r="H36" i="47"/>
  <c r="N36" i="47" s="1"/>
  <c r="N31" i="47"/>
  <c r="P36" i="14"/>
  <c r="X31" i="14"/>
  <c r="L62" i="79"/>
  <c r="D65" i="79"/>
  <c r="H36" i="11"/>
  <c r="N36" i="11" s="1"/>
  <c r="N31" i="11"/>
  <c r="N31" i="52"/>
  <c r="H36" i="52"/>
  <c r="N36" i="52" s="1"/>
  <c r="N31" i="31"/>
  <c r="H36" i="31"/>
  <c r="N36" i="31" s="1"/>
  <c r="T77" i="107"/>
  <c r="V74" i="107"/>
  <c r="X49" i="99"/>
  <c r="L96" i="63"/>
  <c r="N96" i="63" s="1"/>
  <c r="D99" i="63"/>
  <c r="X31" i="40"/>
  <c r="P36" i="40"/>
  <c r="Z31" i="4"/>
  <c r="T36" i="4"/>
  <c r="Z36" i="4" s="1"/>
  <c r="X31" i="10"/>
  <c r="P36" i="10"/>
  <c r="Z31" i="23"/>
  <c r="T36" i="23"/>
  <c r="Z36" i="23" s="1"/>
  <c r="L31" i="10"/>
  <c r="D36" i="10"/>
  <c r="V49" i="100"/>
  <c r="N51" i="60"/>
  <c r="H38" i="104"/>
  <c r="T36" i="7"/>
  <c r="Z36" i="7" s="1"/>
  <c r="Z31" i="7"/>
  <c r="H94" i="76"/>
  <c r="J90" i="76"/>
  <c r="L31" i="25"/>
  <c r="D36" i="25"/>
  <c r="T78" i="87"/>
  <c r="V74" i="87"/>
  <c r="T51" i="60"/>
  <c r="X71" i="83"/>
  <c r="Z71" i="83" s="1"/>
  <c r="P74" i="83"/>
  <c r="X74" i="83" s="1"/>
  <c r="N31" i="50"/>
  <c r="H36" i="50"/>
  <c r="N36" i="50" s="1"/>
  <c r="N31" i="17"/>
  <c r="H36" i="17"/>
  <c r="N36" i="17" s="1"/>
  <c r="P95" i="21"/>
  <c r="D36" i="112"/>
  <c r="L31" i="112"/>
  <c r="X31" i="28"/>
  <c r="P36" i="28"/>
  <c r="H70" i="94"/>
  <c r="J67" i="94"/>
  <c r="T67" i="73"/>
  <c r="X67" i="73" s="1"/>
  <c r="V63" i="73"/>
  <c r="H280" i="3"/>
  <c r="J275" i="3"/>
  <c r="D36" i="40"/>
  <c r="L31" i="40"/>
  <c r="H36" i="22"/>
  <c r="N36" i="22" s="1"/>
  <c r="N31" i="22"/>
  <c r="Z107" i="74"/>
  <c r="T111" i="74"/>
  <c r="V107" i="74"/>
  <c r="T80" i="33"/>
  <c r="X80" i="33" s="1"/>
  <c r="Z76" i="33"/>
  <c r="V76" i="33"/>
  <c r="D66" i="93"/>
  <c r="L63" i="93"/>
  <c r="T36" i="47"/>
  <c r="Z36" i="47" s="1"/>
  <c r="Z31" i="47"/>
  <c r="D65" i="57"/>
  <c r="L65" i="57" s="1"/>
  <c r="N65" i="57" s="1"/>
  <c r="L62" i="57"/>
  <c r="N62" i="57" s="1"/>
  <c r="T101" i="84"/>
  <c r="V97" i="84"/>
  <c r="D81" i="87"/>
  <c r="L78" i="87"/>
  <c r="P94" i="51"/>
  <c r="X90" i="51"/>
  <c r="R90" i="51"/>
  <c r="X85" i="45"/>
  <c r="Z85" i="45" s="1"/>
  <c r="P88" i="45"/>
  <c r="R85" i="45"/>
  <c r="H57" i="48"/>
  <c r="J54" i="48"/>
  <c r="Z31" i="41"/>
  <c r="T36" i="41"/>
  <c r="Z36" i="41" s="1"/>
  <c r="P83" i="33"/>
  <c r="R80" i="33"/>
  <c r="H36" i="29"/>
  <c r="N36" i="29" s="1"/>
  <c r="N31" i="29"/>
  <c r="H49" i="99"/>
  <c r="N46" i="99"/>
  <c r="D36" i="35"/>
  <c r="L31" i="35"/>
  <c r="T72" i="97"/>
  <c r="V68" i="97"/>
  <c r="X68" i="97"/>
  <c r="Z68" i="97" s="1"/>
  <c r="T35" i="55"/>
  <c r="L49" i="67"/>
  <c r="D52" i="67"/>
  <c r="L52" i="67" s="1"/>
  <c r="N31" i="26"/>
  <c r="H36" i="26"/>
  <c r="N36" i="26" s="1"/>
  <c r="H75" i="97"/>
  <c r="J72" i="97"/>
  <c r="D36" i="46"/>
  <c r="L31" i="46"/>
  <c r="N31" i="35"/>
  <c r="H36" i="35"/>
  <c r="N36" i="35" s="1"/>
  <c r="N31" i="53"/>
  <c r="H36" i="53"/>
  <c r="N36" i="53" s="1"/>
  <c r="D31" i="82"/>
  <c r="L27" i="82"/>
  <c r="N27" i="82" s="1"/>
  <c r="F27" i="82"/>
  <c r="T36" i="49"/>
  <c r="Z36" i="49" s="1"/>
  <c r="Z31" i="49"/>
  <c r="H81" i="105"/>
  <c r="J78" i="105"/>
  <c r="L46" i="100"/>
  <c r="D49" i="100"/>
  <c r="N31" i="20"/>
  <c r="H36" i="20"/>
  <c r="N36" i="20" s="1"/>
  <c r="X74" i="105"/>
  <c r="Z74" i="105" s="1"/>
  <c r="P78" i="105"/>
  <c r="T36" i="31"/>
  <c r="Z36" i="31" s="1"/>
  <c r="Z31" i="31"/>
  <c r="N62" i="79"/>
  <c r="H65" i="79"/>
  <c r="J62" i="79"/>
  <c r="H34" i="82"/>
  <c r="J31" i="82"/>
  <c r="N31" i="43"/>
  <c r="H36" i="43"/>
  <c r="N36" i="43" s="1"/>
  <c r="D36" i="22"/>
  <c r="L31" i="22"/>
  <c r="T99" i="63"/>
  <c r="T67" i="80"/>
  <c r="V63" i="80"/>
  <c r="D49" i="99"/>
  <c r="L49" i="99" s="1"/>
  <c r="L46" i="99"/>
  <c r="X62" i="57"/>
  <c r="Z62" i="57" s="1"/>
  <c r="P65" i="57"/>
  <c r="X65" i="57" s="1"/>
  <c r="Z65" i="57" s="1"/>
  <c r="N31" i="49"/>
  <c r="H36" i="49"/>
  <c r="N36" i="49" s="1"/>
  <c r="P36" i="8"/>
  <c r="X31" i="8"/>
  <c r="D136" i="30"/>
  <c r="L132" i="30"/>
  <c r="F132" i="30"/>
  <c r="D36" i="20"/>
  <c r="L31" i="20"/>
  <c r="D36" i="37"/>
  <c r="L31" i="37"/>
  <c r="T123" i="39"/>
  <c r="V119" i="39"/>
  <c r="N31" i="112"/>
  <c r="H36" i="112"/>
  <c r="N36" i="112" s="1"/>
  <c r="L31" i="32"/>
  <c r="D36" i="32"/>
  <c r="P36" i="26"/>
  <c r="X31" i="26"/>
  <c r="X35" i="104"/>
  <c r="P38" i="104"/>
  <c r="T71" i="75"/>
  <c r="V67" i="75"/>
  <c r="P57" i="48"/>
  <c r="X54" i="48"/>
  <c r="R54" i="48"/>
  <c r="H85" i="45"/>
  <c r="L85" i="45" s="1"/>
  <c r="N81" i="45"/>
  <c r="J81" i="45"/>
  <c r="L60" i="69"/>
  <c r="N60" i="69" s="1"/>
  <c r="D64" i="69"/>
  <c r="T109" i="27"/>
  <c r="V106" i="27"/>
  <c r="X31" i="16"/>
  <c r="P36" i="16"/>
  <c r="P67" i="69"/>
  <c r="X31" i="46"/>
  <c r="P36" i="46"/>
  <c r="X64" i="72"/>
  <c r="Z64" i="72" s="1"/>
  <c r="P68" i="72"/>
  <c r="P83" i="68"/>
  <c r="X79" i="68"/>
  <c r="Z79" i="68" s="1"/>
  <c r="T87" i="95"/>
  <c r="V84" i="95"/>
  <c r="N49" i="67"/>
  <c r="H52" i="67"/>
  <c r="H86" i="68"/>
  <c r="N83" i="68"/>
  <c r="J83" i="68"/>
  <c r="T36" i="20"/>
  <c r="Z36" i="20" s="1"/>
  <c r="Z31" i="20"/>
  <c r="D101" i="84"/>
  <c r="L97" i="84"/>
  <c r="F97" i="84"/>
  <c r="T86" i="68"/>
  <c r="V83" i="68"/>
  <c r="T69" i="101"/>
  <c r="V66" i="101"/>
  <c r="X31" i="22"/>
  <c r="P36" i="22"/>
  <c r="D38" i="104"/>
  <c r="L38" i="104" s="1"/>
  <c r="L35" i="104"/>
  <c r="N35" i="104" s="1"/>
  <c r="X31" i="29"/>
  <c r="P36" i="29"/>
  <c r="P29" i="98"/>
  <c r="X29" i="98" s="1"/>
  <c r="X26" i="98"/>
  <c r="Z31" i="16"/>
  <c r="T36" i="16"/>
  <c r="Z36" i="16" s="1"/>
  <c r="P87" i="95"/>
  <c r="X87" i="95" s="1"/>
  <c r="X84" i="95"/>
  <c r="Z84" i="95" s="1"/>
  <c r="N46" i="100"/>
  <c r="H49" i="100"/>
  <c r="J46" i="100"/>
  <c r="D95" i="24"/>
  <c r="L91" i="24"/>
  <c r="N91" i="24" s="1"/>
  <c r="Z31" i="111"/>
  <c r="T36" i="111"/>
  <c r="Z36" i="111" s="1"/>
  <c r="T88" i="45"/>
  <c r="V85" i="45"/>
  <c r="L57" i="59"/>
  <c r="N57" i="59" s="1"/>
  <c r="D60" i="59"/>
  <c r="L60" i="59" s="1"/>
  <c r="T36" i="44"/>
  <c r="Z36" i="44" s="1"/>
  <c r="Z31" i="44"/>
  <c r="P36" i="32"/>
  <c r="X31" i="32"/>
  <c r="D116" i="42"/>
  <c r="F113" i="42"/>
  <c r="V70" i="94"/>
  <c r="Z54" i="109"/>
  <c r="T57" i="109"/>
  <c r="V54" i="109"/>
  <c r="N31" i="54"/>
  <c r="X31" i="110"/>
  <c r="P36" i="110"/>
  <c r="D83" i="33"/>
  <c r="L80" i="33"/>
  <c r="N80" i="33" s="1"/>
  <c r="F80" i="33"/>
  <c r="H36" i="4"/>
  <c r="N36" i="4" s="1"/>
  <c r="N31" i="4"/>
  <c r="X275" i="3"/>
  <c r="P280" i="3"/>
  <c r="R275" i="3"/>
  <c r="H36" i="34"/>
  <c r="N36" i="34" s="1"/>
  <c r="N31" i="34"/>
  <c r="H70" i="56"/>
  <c r="X26" i="54"/>
  <c r="P31" i="54"/>
  <c r="X31" i="54" s="1"/>
  <c r="Z31" i="54" s="1"/>
  <c r="D36" i="29"/>
  <c r="L31" i="29"/>
  <c r="L92" i="9"/>
  <c r="N92" i="9" s="1"/>
  <c r="D95" i="9"/>
  <c r="H95" i="9"/>
  <c r="T66" i="93"/>
  <c r="V63" i="93"/>
  <c r="H80" i="103"/>
  <c r="J77" i="103"/>
  <c r="X97" i="84"/>
  <c r="Z97" i="84" s="1"/>
  <c r="P101" i="84"/>
  <c r="R97" i="84"/>
  <c r="N26" i="81"/>
  <c r="H29" i="81"/>
  <c r="N29" i="81" s="1"/>
  <c r="T62" i="79"/>
  <c r="V58" i="79"/>
  <c r="L63" i="73"/>
  <c r="N63" i="73" s="1"/>
  <c r="D67" i="73"/>
  <c r="L80" i="95"/>
  <c r="N80" i="95" s="1"/>
  <c r="D84" i="95"/>
  <c r="L81" i="45"/>
  <c r="X31" i="38"/>
  <c r="P36" i="38"/>
  <c r="H71" i="83"/>
  <c r="J67" i="83"/>
  <c r="T70" i="56"/>
  <c r="X113" i="42"/>
  <c r="P116" i="42"/>
  <c r="R113" i="42"/>
  <c r="Z31" i="8"/>
  <c r="T36" i="8"/>
  <c r="Z36" i="8" s="1"/>
  <c r="T92" i="21"/>
  <c r="Z88" i="21"/>
  <c r="V88" i="21"/>
  <c r="P52" i="67"/>
  <c r="X49" i="67"/>
  <c r="T36" i="14"/>
  <c r="Z36" i="14" s="1"/>
  <c r="Z31" i="14"/>
  <c r="P49" i="100"/>
  <c r="X49" i="100" s="1"/>
  <c r="Z49" i="100" s="1"/>
  <c r="X46" i="100"/>
  <c r="Z46" i="100" s="1"/>
  <c r="H111" i="74"/>
  <c r="J107" i="74"/>
  <c r="H94" i="51"/>
  <c r="J90" i="51"/>
  <c r="N55" i="78"/>
  <c r="H58" i="78"/>
  <c r="J55" i="78"/>
  <c r="Z31" i="29"/>
  <c r="T36" i="29"/>
  <c r="Z36" i="29" s="1"/>
  <c r="T36" i="35"/>
  <c r="Z36" i="35" s="1"/>
  <c r="Z31" i="35"/>
  <c r="Z26" i="6"/>
  <c r="T31" i="6"/>
  <c r="X59" i="93"/>
  <c r="Z59" i="93" s="1"/>
  <c r="P63" i="93"/>
  <c r="Z31" i="110"/>
  <c r="T36" i="110"/>
  <c r="Z36" i="110" s="1"/>
  <c r="T36" i="34"/>
  <c r="Z36" i="34" s="1"/>
  <c r="Z31" i="34"/>
  <c r="T51" i="61"/>
  <c r="N31" i="32"/>
  <c r="H36" i="32"/>
  <c r="N36" i="32" s="1"/>
  <c r="H136" i="30"/>
  <c r="N132" i="30"/>
  <c r="J132" i="30"/>
  <c r="H36" i="110"/>
  <c r="N36" i="110" s="1"/>
  <c r="N31" i="110"/>
  <c r="P36" i="31"/>
  <c r="X31" i="31"/>
  <c r="H60" i="59"/>
  <c r="Z31" i="10"/>
  <c r="T36" i="10"/>
  <c r="Z36" i="10" s="1"/>
  <c r="Z132" i="30"/>
  <c r="T136" i="30"/>
  <c r="V132" i="30"/>
  <c r="Z275" i="3"/>
  <c r="T280" i="3"/>
  <c r="V275" i="3"/>
  <c r="H36" i="5"/>
  <c r="N36" i="5" s="1"/>
  <c r="N31" i="5"/>
  <c r="D36" i="38"/>
  <c r="L31" i="38"/>
  <c r="Z31" i="112"/>
  <c r="T36" i="112"/>
  <c r="Z36" i="112" s="1"/>
  <c r="L31" i="43"/>
  <c r="D36" i="43"/>
  <c r="L31" i="44"/>
  <c r="D36" i="44"/>
  <c r="P99" i="63"/>
  <c r="X96" i="63"/>
  <c r="Z96" i="63" s="1"/>
  <c r="D31" i="54"/>
  <c r="L31" i="54" s="1"/>
  <c r="L26" i="54"/>
  <c r="X31" i="5"/>
  <c r="P36" i="5"/>
  <c r="N231" i="12"/>
  <c r="H235" i="12"/>
  <c r="J231" i="12"/>
  <c r="H36" i="111"/>
  <c r="N36" i="111" s="1"/>
  <c r="N31" i="111"/>
  <c r="D88" i="45"/>
  <c r="F85" i="45"/>
  <c r="T64" i="69"/>
  <c r="Z60" i="69"/>
  <c r="V60" i="69"/>
  <c r="L26" i="98"/>
  <c r="D29" i="98"/>
  <c r="L29" i="98" s="1"/>
  <c r="H87" i="95"/>
  <c r="J84" i="95"/>
  <c r="N31" i="19"/>
  <c r="H36" i="19"/>
  <c r="N36" i="19" s="1"/>
  <c r="P36" i="7"/>
  <c r="X31" i="7"/>
  <c r="D230" i="15"/>
  <c r="F227" i="15"/>
  <c r="N78" i="87"/>
  <c r="H81" i="87"/>
  <c r="J78" i="87"/>
  <c r="H99" i="63"/>
  <c r="Z31" i="28"/>
  <c r="T36" i="28"/>
  <c r="Z36" i="28" s="1"/>
  <c r="X26" i="81"/>
  <c r="P29" i="81"/>
  <c r="X29" i="81" s="1"/>
  <c r="X32" i="55"/>
  <c r="Z32" i="55" s="1"/>
  <c r="P35" i="55"/>
  <c r="X35" i="55" s="1"/>
  <c r="N31" i="23"/>
  <c r="H36" i="23"/>
  <c r="N36" i="23" s="1"/>
  <c r="P72" i="58"/>
  <c r="X72" i="58" s="1"/>
  <c r="X69" i="58"/>
  <c r="Z69" i="58" s="1"/>
  <c r="L31" i="49"/>
  <c r="D36" i="49"/>
  <c r="Z30" i="85"/>
  <c r="T33" i="85"/>
  <c r="V30" i="85"/>
  <c r="J54" i="109"/>
  <c r="H57" i="109"/>
  <c r="N54" i="109"/>
  <c r="L54" i="109"/>
  <c r="T61" i="88"/>
  <c r="T36" i="52"/>
  <c r="Z36" i="52" s="1"/>
  <c r="Z31" i="52"/>
  <c r="L48" i="61"/>
  <c r="N48" i="61" s="1"/>
  <c r="D51" i="61"/>
  <c r="P98" i="24"/>
  <c r="X95" i="24"/>
  <c r="D36" i="4"/>
  <c r="L31" i="4"/>
  <c r="H109" i="27"/>
  <c r="J106" i="27"/>
  <c r="H36" i="46"/>
  <c r="N36" i="46" s="1"/>
  <c r="N31" i="46"/>
  <c r="V34" i="82"/>
  <c r="Z35" i="104"/>
  <c r="T38" i="104"/>
  <c r="P77" i="103"/>
  <c r="X73" i="103"/>
  <c r="Z73" i="103" s="1"/>
  <c r="R73" i="103"/>
  <c r="D71" i="83"/>
  <c r="L67" i="83"/>
  <c r="N67" i="83" s="1"/>
  <c r="H253" i="18"/>
  <c r="N249" i="18"/>
  <c r="J249" i="18"/>
  <c r="X31" i="111"/>
  <c r="P36" i="111"/>
  <c r="H67" i="73"/>
  <c r="J63" i="73"/>
  <c r="L66" i="101"/>
  <c r="D69" i="101"/>
  <c r="Z31" i="43"/>
  <c r="T36" i="43"/>
  <c r="Z36" i="43" s="1"/>
  <c r="L31" i="52"/>
  <c r="D36" i="52"/>
  <c r="H83" i="33"/>
  <c r="J80" i="33"/>
  <c r="H98" i="24"/>
  <c r="J95" i="24"/>
  <c r="P36" i="35"/>
  <c r="X31" i="35"/>
  <c r="L30" i="85"/>
  <c r="D33" i="85"/>
  <c r="L32" i="55"/>
  <c r="N32" i="55" s="1"/>
  <c r="D35" i="55"/>
  <c r="L35" i="55" s="1"/>
  <c r="N35" i="55" s="1"/>
  <c r="P36" i="20"/>
  <c r="X31" i="20"/>
  <c r="N31" i="10"/>
  <c r="H36" i="10"/>
  <c r="N36" i="10" s="1"/>
  <c r="T36" i="13"/>
  <c r="Z36" i="13" s="1"/>
  <c r="Z31" i="13"/>
  <c r="T36" i="40"/>
  <c r="Z36" i="40" s="1"/>
  <c r="Z31" i="40"/>
  <c r="T74" i="83"/>
  <c r="V71" i="83"/>
  <c r="L39" i="108"/>
  <c r="N39" i="108" s="1"/>
  <c r="D42" i="108"/>
  <c r="L42" i="108" s="1"/>
  <c r="N42" i="108" s="1"/>
  <c r="Z31" i="32"/>
  <c r="T36" i="32"/>
  <c r="Z36" i="32" s="1"/>
  <c r="V80" i="103"/>
  <c r="P36" i="25"/>
  <c r="X31" i="25"/>
  <c r="X31" i="13"/>
  <c r="P36" i="13"/>
  <c r="N26" i="98"/>
  <c r="H29" i="98"/>
  <c r="N29" i="98" s="1"/>
  <c r="L31" i="110"/>
  <c r="D36" i="110"/>
  <c r="X31" i="19"/>
  <c r="P36" i="19"/>
  <c r="P36" i="41"/>
  <c r="X31" i="41"/>
  <c r="L54" i="48"/>
  <c r="N54" i="48" s="1"/>
  <c r="D57" i="48"/>
  <c r="F54" i="48"/>
  <c r="Z95" i="24"/>
  <c r="T98" i="24"/>
  <c r="V95" i="24"/>
  <c r="Z31" i="22"/>
  <c r="T36" i="22"/>
  <c r="Z36" i="22" s="1"/>
  <c r="D109" i="27"/>
  <c r="L106" i="27"/>
  <c r="N106" i="27" s="1"/>
  <c r="F106" i="27"/>
  <c r="L31" i="41"/>
  <c r="D36" i="41"/>
  <c r="P65" i="79"/>
  <c r="X62" i="79"/>
  <c r="X54" i="109"/>
  <c r="P57" i="109"/>
  <c r="R54" i="109"/>
  <c r="X253" i="18"/>
  <c r="P256" i="18"/>
  <c r="R253" i="18"/>
  <c r="L68" i="72"/>
  <c r="D71" i="72"/>
  <c r="L71" i="72" s="1"/>
  <c r="X31" i="52"/>
  <c r="P36" i="52"/>
  <c r="L61" i="88"/>
  <c r="T36" i="37"/>
  <c r="Z36" i="37" s="1"/>
  <c r="Z31" i="37"/>
  <c r="P78" i="87"/>
  <c r="X74" i="87"/>
  <c r="Z74" i="87" s="1"/>
  <c r="H113" i="42"/>
  <c r="N109" i="42"/>
  <c r="J109" i="42"/>
  <c r="D94" i="76"/>
  <c r="L90" i="76"/>
  <c r="N90" i="76" s="1"/>
  <c r="F90" i="76"/>
  <c r="L31" i="31"/>
  <c r="D36" i="31"/>
  <c r="T94" i="76"/>
  <c r="V90" i="76"/>
  <c r="H67" i="80"/>
  <c r="N63" i="80"/>
  <c r="J63" i="80"/>
  <c r="L31" i="14"/>
  <c r="D36" i="14"/>
  <c r="H66" i="101"/>
  <c r="N62" i="101"/>
  <c r="J62" i="101"/>
  <c r="T36" i="50"/>
  <c r="Z36" i="50" s="1"/>
  <c r="Z31" i="50"/>
  <c r="H77" i="107"/>
  <c r="J74" i="107"/>
  <c r="Z72" i="58"/>
  <c r="X31" i="4"/>
  <c r="P36" i="4"/>
  <c r="L31" i="28"/>
  <c r="D36" i="28"/>
  <c r="L78" i="105"/>
  <c r="N78" i="105" s="1"/>
  <c r="D81" i="105"/>
  <c r="L81" i="105" s="1"/>
  <c r="L235" i="12"/>
  <c r="D238" i="12"/>
  <c r="F235" i="12"/>
  <c r="N46" i="102"/>
  <c r="H49" i="102"/>
  <c r="D108" i="70"/>
  <c r="F105" i="70"/>
  <c r="P36" i="49"/>
  <c r="X31" i="49"/>
  <c r="P69" i="101"/>
  <c r="X69" i="101" s="1"/>
  <c r="X66" i="101"/>
  <c r="Z66" i="101" s="1"/>
  <c r="F70" i="94"/>
  <c r="L26" i="81"/>
  <c r="D29" i="81"/>
  <c r="L29" i="81" s="1"/>
  <c r="D280" i="3"/>
  <c r="L275" i="3"/>
  <c r="N275" i="3" s="1"/>
  <c r="F275" i="3"/>
  <c r="P94" i="76"/>
  <c r="X90" i="76"/>
  <c r="Z90" i="76" s="1"/>
  <c r="R90" i="76"/>
  <c r="X58" i="79"/>
  <c r="Z58" i="79" s="1"/>
  <c r="P31" i="6"/>
  <c r="X31" i="6" s="1"/>
  <c r="X26" i="6"/>
  <c r="Z31" i="19"/>
  <c r="T36" i="19"/>
  <c r="Z36" i="19" s="1"/>
  <c r="N31" i="13"/>
  <c r="H36" i="13"/>
  <c r="N36" i="13" s="1"/>
  <c r="X58" i="88"/>
  <c r="Z58" i="88" s="1"/>
  <c r="X31" i="17"/>
  <c r="P36" i="17"/>
  <c r="X107" i="74"/>
  <c r="P111" i="74"/>
  <c r="R107" i="74"/>
  <c r="X119" i="39"/>
  <c r="Z119" i="39" s="1"/>
  <c r="P123" i="39"/>
  <c r="R119" i="39"/>
  <c r="D75" i="97"/>
  <c r="L75" i="97" s="1"/>
  <c r="L72" i="97"/>
  <c r="N72" i="97" s="1"/>
  <c r="P70" i="94"/>
  <c r="X67" i="94"/>
  <c r="Z67" i="94" s="1"/>
  <c r="R67" i="94"/>
  <c r="D36" i="11"/>
  <c r="L31" i="11"/>
  <c r="H74" i="75"/>
  <c r="J71" i="75"/>
  <c r="T36" i="11"/>
  <c r="Z36" i="11" s="1"/>
  <c r="Z31" i="11"/>
  <c r="T52" i="67"/>
  <c r="Z49" i="67"/>
  <c r="X31" i="43"/>
  <c r="P36" i="43"/>
  <c r="L86" i="68"/>
  <c r="Z69" i="92"/>
  <c r="T72" i="92"/>
  <c r="V69" i="92"/>
  <c r="X55" i="78"/>
  <c r="P58" i="78"/>
  <c r="H36" i="44"/>
  <c r="N36" i="44" s="1"/>
  <c r="N31" i="44"/>
  <c r="H36" i="16"/>
  <c r="N36" i="16" s="1"/>
  <c r="N31" i="16"/>
  <c r="Z46" i="102"/>
  <c r="T49" i="102"/>
  <c r="X49" i="102" s="1"/>
  <c r="X63" i="80"/>
  <c r="Z63" i="80" s="1"/>
  <c r="P67" i="80"/>
  <c r="X31" i="34"/>
  <c r="P36" i="34"/>
  <c r="H61" i="88"/>
  <c r="N58" i="88"/>
  <c r="T230" i="15"/>
  <c r="V227" i="15"/>
  <c r="L73" i="103"/>
  <c r="N73" i="103" s="1"/>
  <c r="D77" i="103"/>
  <c r="F73" i="103"/>
  <c r="P36" i="47"/>
  <c r="X31" i="47"/>
  <c r="H36" i="37"/>
  <c r="N36" i="37" s="1"/>
  <c r="N31" i="37"/>
  <c r="H36" i="38"/>
  <c r="N36" i="38" s="1"/>
  <c r="N31" i="38"/>
  <c r="T95" i="9"/>
  <c r="X95" i="9" s="1"/>
  <c r="Z92" i="9"/>
  <c r="L31" i="53"/>
  <c r="D36" i="53"/>
  <c r="D36" i="111"/>
  <c r="L31" i="111"/>
  <c r="X27" i="82"/>
  <c r="Z27" i="82" s="1"/>
  <c r="P31" i="82"/>
  <c r="R27" i="82"/>
  <c r="H33" i="85"/>
  <c r="N30" i="85"/>
  <c r="J30" i="85"/>
  <c r="X74" i="107"/>
  <c r="Z74" i="107" s="1"/>
  <c r="P77" i="107"/>
  <c r="X77" i="107" s="1"/>
  <c r="P36" i="11"/>
  <c r="X31" i="11"/>
  <c r="L58" i="78"/>
  <c r="L31" i="13"/>
  <c r="D36" i="13"/>
  <c r="N83" i="91"/>
  <c r="H86" i="91"/>
  <c r="H123" i="39"/>
  <c r="J119" i="39"/>
  <c r="L67" i="94"/>
  <c r="N67" i="94" s="1"/>
  <c r="P227" i="15"/>
  <c r="X223" i="15"/>
  <c r="Z223" i="15" s="1"/>
  <c r="R223" i="15"/>
  <c r="L31" i="26"/>
  <c r="D36" i="26"/>
  <c r="H66" i="93"/>
  <c r="N63" i="93"/>
  <c r="J63" i="93"/>
  <c r="N31" i="40"/>
  <c r="H36" i="40"/>
  <c r="N36" i="40" s="1"/>
  <c r="X31" i="23"/>
  <c r="P36" i="23"/>
  <c r="X61" i="88"/>
  <c r="D36" i="5"/>
  <c r="L31" i="5"/>
  <c r="T36" i="25"/>
  <c r="Z36" i="25" s="1"/>
  <c r="Z31" i="25"/>
  <c r="T36" i="53"/>
  <c r="Z36" i="53" s="1"/>
  <c r="Z31" i="53"/>
  <c r="L67" i="56"/>
  <c r="N67" i="56" s="1"/>
  <c r="D70" i="56"/>
  <c r="L70" i="56" s="1"/>
  <c r="L26" i="6"/>
  <c r="D31" i="6"/>
  <c r="L31" i="6" s="1"/>
  <c r="N31" i="6" s="1"/>
  <c r="P36" i="53"/>
  <c r="X31" i="53"/>
  <c r="D123" i="39"/>
  <c r="L119" i="39"/>
  <c r="N119" i="39" s="1"/>
  <c r="F119" i="39"/>
  <c r="L83" i="68"/>
  <c r="P71" i="75"/>
  <c r="X67" i="75"/>
  <c r="Z67" i="75" s="1"/>
  <c r="R67" i="75"/>
  <c r="N31" i="25"/>
  <c r="H36" i="25"/>
  <c r="N36" i="25" s="1"/>
  <c r="X31" i="44"/>
  <c r="P36" i="44"/>
  <c r="X63" i="73"/>
  <c r="Z63" i="73" s="1"/>
  <c r="T55" i="78"/>
  <c r="Z51" i="78"/>
  <c r="V51" i="78"/>
  <c r="D36" i="23"/>
  <c r="L31" i="23"/>
  <c r="Z31" i="26"/>
  <c r="T36" i="26"/>
  <c r="Z36" i="26" s="1"/>
  <c r="H67" i="69"/>
  <c r="J64" i="69"/>
  <c r="D111" i="74"/>
  <c r="L107" i="74"/>
  <c r="N107" i="74" s="1"/>
  <c r="F107" i="74"/>
  <c r="T57" i="48"/>
  <c r="Z54" i="48"/>
  <c r="V54" i="48"/>
  <c r="X48" i="61"/>
  <c r="Z48" i="61" s="1"/>
  <c r="P51" i="61"/>
  <c r="X51" i="61" s="1"/>
  <c r="N68" i="72"/>
  <c r="H71" i="72"/>
  <c r="J68" i="72"/>
  <c r="L31" i="34"/>
  <c r="D36" i="34"/>
  <c r="L31" i="8"/>
  <c r="D36" i="8"/>
  <c r="H69" i="92"/>
  <c r="J65" i="92"/>
  <c r="Z31" i="38"/>
  <c r="T36" i="38"/>
  <c r="Z36" i="38" s="1"/>
  <c r="T94" i="51"/>
  <c r="Z90" i="51"/>
  <c r="V90" i="51"/>
  <c r="L69" i="58"/>
  <c r="N69" i="58" s="1"/>
  <c r="D72" i="58"/>
  <c r="L72" i="58" s="1"/>
  <c r="N72" i="58" s="1"/>
  <c r="P36" i="37"/>
  <c r="X31" i="37"/>
  <c r="N31" i="7"/>
  <c r="H36" i="7"/>
  <c r="N36" i="7" s="1"/>
  <c r="T68" i="72"/>
  <c r="V64" i="72"/>
  <c r="Z249" i="18"/>
  <c r="T253" i="18"/>
  <c r="V249" i="18"/>
  <c r="L67" i="75"/>
  <c r="N67" i="75" s="1"/>
  <c r="D71" i="75"/>
  <c r="F67" i="75"/>
  <c r="L31" i="50"/>
  <c r="D36" i="50"/>
  <c r="D36" i="17"/>
  <c r="L31" i="17"/>
  <c r="H36" i="41"/>
  <c r="N36" i="41" s="1"/>
  <c r="N31" i="41"/>
  <c r="H101" i="84"/>
  <c r="N97" i="84"/>
  <c r="J97" i="84"/>
  <c r="H105" i="70"/>
  <c r="L105" i="70" s="1"/>
  <c r="N101" i="70"/>
  <c r="J101" i="70"/>
  <c r="T235" i="12"/>
  <c r="Z231" i="12"/>
  <c r="V231" i="12"/>
  <c r="L31" i="7"/>
  <c r="D36" i="7"/>
  <c r="Z57" i="59"/>
  <c r="T60" i="59"/>
  <c r="X60" i="59"/>
  <c r="H51" i="61"/>
  <c r="N31" i="14"/>
  <c r="H36" i="14"/>
  <c r="N36" i="14" s="1"/>
  <c r="N88" i="21"/>
  <c r="H92" i="21"/>
  <c r="J88" i="21"/>
  <c r="X46" i="99"/>
  <c r="Z46" i="99" s="1"/>
  <c r="X106" i="27"/>
  <c r="Z106" i="27" s="1"/>
  <c r="P109" i="27"/>
  <c r="R106" i="27"/>
  <c r="X31" i="112"/>
  <c r="P36" i="112"/>
  <c r="D36" i="16"/>
  <c r="L31" i="16"/>
  <c r="N223" i="15"/>
  <c r="H227" i="15"/>
  <c r="L227" i="15" s="1"/>
  <c r="J223" i="15"/>
  <c r="X48" i="60"/>
  <c r="Z48" i="60" s="1"/>
  <c r="P51" i="60"/>
  <c r="X51" i="60" s="1"/>
  <c r="P70" i="73"/>
  <c r="P105" i="70"/>
  <c r="X101" i="70"/>
  <c r="Z101" i="70" s="1"/>
  <c r="R101" i="70"/>
  <c r="T81" i="105"/>
  <c r="V78" i="105"/>
  <c r="P70" i="56"/>
  <c r="X70" i="56" s="1"/>
  <c r="X67" i="56"/>
  <c r="Z67" i="56" s="1"/>
  <c r="X86" i="91"/>
  <c r="Z86" i="91" s="1"/>
  <c r="D69" i="92"/>
  <c r="L65" i="92"/>
  <c r="N65" i="92" s="1"/>
  <c r="X36" i="47" l="1"/>
  <c r="X36" i="37"/>
  <c r="X36" i="4"/>
  <c r="L36" i="35"/>
  <c r="X36" i="53"/>
  <c r="L36" i="50"/>
  <c r="X36" i="46"/>
  <c r="L36" i="34"/>
  <c r="L36" i="22"/>
  <c r="X36" i="49"/>
  <c r="L36" i="23"/>
  <c r="L36" i="17"/>
  <c r="X36" i="31"/>
  <c r="X36" i="112"/>
  <c r="L36" i="26"/>
  <c r="L36" i="11"/>
  <c r="X36" i="111"/>
  <c r="L36" i="7"/>
  <c r="L36" i="29"/>
  <c r="L36" i="52"/>
  <c r="L36" i="5"/>
  <c r="X36" i="26"/>
  <c r="X36" i="44"/>
  <c r="X36" i="29"/>
  <c r="X36" i="52"/>
  <c r="X36" i="41"/>
  <c r="X36" i="22"/>
  <c r="X36" i="17"/>
  <c r="L36" i="111"/>
  <c r="X36" i="43"/>
  <c r="X36" i="11"/>
  <c r="L36" i="31"/>
  <c r="X36" i="35"/>
  <c r="X36" i="5"/>
  <c r="L36" i="43"/>
  <c r="L36" i="32"/>
  <c r="X36" i="10"/>
  <c r="L36" i="41"/>
  <c r="X36" i="25"/>
  <c r="L36" i="49"/>
  <c r="L57" i="48"/>
  <c r="F57" i="48"/>
  <c r="H97" i="76"/>
  <c r="J94" i="76"/>
  <c r="D72" i="92"/>
  <c r="L69" i="92"/>
  <c r="N69" i="92" s="1"/>
  <c r="N49" i="99"/>
  <c r="X88" i="45"/>
  <c r="R88" i="45"/>
  <c r="J70" i="94"/>
  <c r="L65" i="79"/>
  <c r="T116" i="42"/>
  <c r="Z113" i="42"/>
  <c r="V113" i="42"/>
  <c r="N57" i="48"/>
  <c r="J57" i="48"/>
  <c r="X227" i="15"/>
  <c r="Z227" i="15" s="1"/>
  <c r="P230" i="15"/>
  <c r="R227" i="15"/>
  <c r="V33" i="85"/>
  <c r="H72" i="92"/>
  <c r="J69" i="92"/>
  <c r="L77" i="103"/>
  <c r="N77" i="103" s="1"/>
  <c r="D80" i="103"/>
  <c r="F77" i="103"/>
  <c r="X70" i="94"/>
  <c r="Z70" i="94" s="1"/>
  <c r="R70" i="94"/>
  <c r="L280" i="3"/>
  <c r="N280" i="3" s="1"/>
  <c r="F280" i="3"/>
  <c r="H70" i="80"/>
  <c r="J67" i="80"/>
  <c r="J98" i="24"/>
  <c r="H256" i="18"/>
  <c r="J253" i="18"/>
  <c r="Z70" i="56"/>
  <c r="J80" i="103"/>
  <c r="L83" i="33"/>
  <c r="F83" i="33"/>
  <c r="Z69" i="101"/>
  <c r="V69" i="101"/>
  <c r="N86" i="68"/>
  <c r="J86" i="68"/>
  <c r="T70" i="80"/>
  <c r="V67" i="80"/>
  <c r="P97" i="76"/>
  <c r="X94" i="76"/>
  <c r="Z94" i="76" s="1"/>
  <c r="R94" i="76"/>
  <c r="N105" i="70"/>
  <c r="H108" i="70"/>
  <c r="J105" i="70"/>
  <c r="L108" i="70"/>
  <c r="F108" i="70"/>
  <c r="L67" i="73"/>
  <c r="D70" i="73"/>
  <c r="L70" i="73" s="1"/>
  <c r="H104" i="84"/>
  <c r="N101" i="84"/>
  <c r="J101" i="84"/>
  <c r="Z57" i="48"/>
  <c r="V57" i="48"/>
  <c r="L36" i="53"/>
  <c r="H116" i="42"/>
  <c r="J113" i="42"/>
  <c r="X36" i="19"/>
  <c r="Z61" i="88"/>
  <c r="F230" i="15"/>
  <c r="T67" i="69"/>
  <c r="X67" i="69" s="1"/>
  <c r="V64" i="69"/>
  <c r="T139" i="30"/>
  <c r="V136" i="30"/>
  <c r="P66" i="93"/>
  <c r="X66" i="93" s="1"/>
  <c r="X63" i="93"/>
  <c r="Z63" i="93" s="1"/>
  <c r="X52" i="67"/>
  <c r="Z52" i="67" s="1"/>
  <c r="N70" i="56"/>
  <c r="Z88" i="45"/>
  <c r="V88" i="45"/>
  <c r="N52" i="67"/>
  <c r="X64" i="69"/>
  <c r="Z64" i="69" s="1"/>
  <c r="L136" i="30"/>
  <c r="D139" i="30"/>
  <c r="F136" i="30"/>
  <c r="L49" i="102"/>
  <c r="N49" i="102" s="1"/>
  <c r="X36" i="28"/>
  <c r="Z51" i="60"/>
  <c r="Z77" i="107"/>
  <c r="V77" i="107"/>
  <c r="P139" i="30"/>
  <c r="X136" i="30"/>
  <c r="Z136" i="30" s="1"/>
  <c r="R136" i="30"/>
  <c r="D95" i="21"/>
  <c r="L92" i="21"/>
  <c r="T71" i="72"/>
  <c r="V68" i="72"/>
  <c r="L36" i="8"/>
  <c r="H126" i="39"/>
  <c r="J123" i="39"/>
  <c r="J77" i="107"/>
  <c r="T97" i="76"/>
  <c r="V94" i="76"/>
  <c r="L109" i="27"/>
  <c r="F109" i="27"/>
  <c r="D74" i="83"/>
  <c r="L74" i="83" s="1"/>
  <c r="L71" i="83"/>
  <c r="N71" i="83" s="1"/>
  <c r="N136" i="30"/>
  <c r="H139" i="30"/>
  <c r="J136" i="30"/>
  <c r="X36" i="16"/>
  <c r="X57" i="48"/>
  <c r="R57" i="48"/>
  <c r="L36" i="46"/>
  <c r="Z35" i="55"/>
  <c r="N38" i="104"/>
  <c r="X36" i="14"/>
  <c r="Z49" i="99"/>
  <c r="L51" i="61"/>
  <c r="N51" i="61" s="1"/>
  <c r="P104" i="84"/>
  <c r="X101" i="84"/>
  <c r="R101" i="84"/>
  <c r="L94" i="51"/>
  <c r="D97" i="51"/>
  <c r="F94" i="51"/>
  <c r="N92" i="21"/>
  <c r="H95" i="21"/>
  <c r="J92" i="21"/>
  <c r="P74" i="75"/>
  <c r="X71" i="75"/>
  <c r="R71" i="75"/>
  <c r="V230" i="15"/>
  <c r="F238" i="12"/>
  <c r="X78" i="87"/>
  <c r="P81" i="87"/>
  <c r="X256" i="18"/>
  <c r="R256" i="18"/>
  <c r="L36" i="110"/>
  <c r="X36" i="7"/>
  <c r="L36" i="38"/>
  <c r="Z31" i="6"/>
  <c r="N94" i="51"/>
  <c r="H97" i="51"/>
  <c r="J94" i="51"/>
  <c r="Z66" i="93"/>
  <c r="V66" i="93"/>
  <c r="L116" i="42"/>
  <c r="F116" i="42"/>
  <c r="V86" i="68"/>
  <c r="X36" i="8"/>
  <c r="N81" i="105"/>
  <c r="J81" i="105"/>
  <c r="P97" i="51"/>
  <c r="X94" i="51"/>
  <c r="R94" i="51"/>
  <c r="L36" i="40"/>
  <c r="X36" i="50"/>
  <c r="L36" i="19"/>
  <c r="L49" i="100"/>
  <c r="V81" i="105"/>
  <c r="N227" i="15"/>
  <c r="H230" i="15"/>
  <c r="L230" i="15" s="1"/>
  <c r="J227" i="15"/>
  <c r="L71" i="75"/>
  <c r="N71" i="75" s="1"/>
  <c r="D74" i="75"/>
  <c r="F71" i="75"/>
  <c r="D114" i="74"/>
  <c r="L111" i="74"/>
  <c r="N111" i="74" s="1"/>
  <c r="F111" i="74"/>
  <c r="Z95" i="9"/>
  <c r="P126" i="39"/>
  <c r="X123" i="39"/>
  <c r="R123" i="39"/>
  <c r="L70" i="94"/>
  <c r="N70" i="94" s="1"/>
  <c r="X36" i="20"/>
  <c r="N83" i="33"/>
  <c r="J83" i="33"/>
  <c r="N109" i="27"/>
  <c r="J109" i="27"/>
  <c r="L88" i="45"/>
  <c r="F88" i="45"/>
  <c r="H74" i="83"/>
  <c r="J71" i="83"/>
  <c r="X36" i="110"/>
  <c r="L113" i="42"/>
  <c r="N113" i="42" s="1"/>
  <c r="Z87" i="95"/>
  <c r="V87" i="95"/>
  <c r="R83" i="33"/>
  <c r="L36" i="112"/>
  <c r="L36" i="47"/>
  <c r="N49" i="100"/>
  <c r="J49" i="100"/>
  <c r="T108" i="70"/>
  <c r="V105" i="70"/>
  <c r="X116" i="42"/>
  <c r="R116" i="42"/>
  <c r="Z60" i="59"/>
  <c r="T238" i="12"/>
  <c r="V235" i="12"/>
  <c r="Z55" i="78"/>
  <c r="T58" i="78"/>
  <c r="V55" i="78"/>
  <c r="N66" i="93"/>
  <c r="J66" i="93"/>
  <c r="J33" i="85"/>
  <c r="P80" i="103"/>
  <c r="X77" i="103"/>
  <c r="Z77" i="103" s="1"/>
  <c r="R77" i="103"/>
  <c r="J57" i="109"/>
  <c r="N57" i="109"/>
  <c r="L57" i="109"/>
  <c r="N60" i="59"/>
  <c r="Z51" i="61"/>
  <c r="X36" i="38"/>
  <c r="T65" i="79"/>
  <c r="Z62" i="79"/>
  <c r="V62" i="79"/>
  <c r="N95" i="9"/>
  <c r="T74" i="75"/>
  <c r="Z71" i="75"/>
  <c r="V71" i="75"/>
  <c r="N75" i="97"/>
  <c r="J75" i="97"/>
  <c r="L81" i="87"/>
  <c r="L66" i="93"/>
  <c r="X95" i="21"/>
  <c r="Z78" i="87"/>
  <c r="T81" i="87"/>
  <c r="V78" i="87"/>
  <c r="L253" i="18"/>
  <c r="N253" i="18" s="1"/>
  <c r="D256" i="18"/>
  <c r="F253" i="18"/>
  <c r="T70" i="73"/>
  <c r="Z67" i="73"/>
  <c r="V67" i="73"/>
  <c r="H88" i="45"/>
  <c r="N85" i="45"/>
  <c r="J85" i="45"/>
  <c r="N61" i="88"/>
  <c r="J74" i="75"/>
  <c r="X57" i="109"/>
  <c r="Z57" i="109" s="1"/>
  <c r="R57" i="109"/>
  <c r="Z98" i="24"/>
  <c r="V98" i="24"/>
  <c r="Z74" i="83"/>
  <c r="V74" i="83"/>
  <c r="N67" i="73"/>
  <c r="H70" i="73"/>
  <c r="J67" i="73"/>
  <c r="L86" i="91"/>
  <c r="N86" i="91" s="1"/>
  <c r="L36" i="4"/>
  <c r="Z92" i="21"/>
  <c r="T95" i="21"/>
  <c r="V92" i="21"/>
  <c r="X280" i="3"/>
  <c r="R280" i="3"/>
  <c r="X36" i="32"/>
  <c r="V109" i="27"/>
  <c r="X38" i="104"/>
  <c r="Z123" i="39"/>
  <c r="T126" i="39"/>
  <c r="V123" i="39"/>
  <c r="X33" i="85"/>
  <c r="Z33" i="85" s="1"/>
  <c r="J280" i="3"/>
  <c r="X92" i="21"/>
  <c r="L36" i="25"/>
  <c r="L36" i="10"/>
  <c r="X36" i="40"/>
  <c r="P238" i="12"/>
  <c r="X235" i="12"/>
  <c r="Z235" i="12" s="1"/>
  <c r="R235" i="12"/>
  <c r="L67" i="80"/>
  <c r="N67" i="80" s="1"/>
  <c r="D70" i="80"/>
  <c r="L70" i="80" s="1"/>
  <c r="X70" i="73"/>
  <c r="X67" i="80"/>
  <c r="Z67" i="80" s="1"/>
  <c r="P70" i="80"/>
  <c r="X65" i="79"/>
  <c r="L94" i="76"/>
  <c r="N94" i="76" s="1"/>
  <c r="D97" i="76"/>
  <c r="F94" i="76"/>
  <c r="N58" i="78"/>
  <c r="J58" i="78"/>
  <c r="L36" i="20"/>
  <c r="Z111" i="74"/>
  <c r="T114" i="74"/>
  <c r="V111" i="74"/>
  <c r="Z49" i="102"/>
  <c r="N65" i="79"/>
  <c r="J65" i="79"/>
  <c r="L36" i="16"/>
  <c r="Z253" i="18"/>
  <c r="T256" i="18"/>
  <c r="V253" i="18"/>
  <c r="N71" i="72"/>
  <c r="J71" i="72"/>
  <c r="N67" i="69"/>
  <c r="J67" i="69"/>
  <c r="L123" i="39"/>
  <c r="N123" i="39" s="1"/>
  <c r="D126" i="39"/>
  <c r="F123" i="39"/>
  <c r="L36" i="13"/>
  <c r="X31" i="82"/>
  <c r="Z31" i="82" s="1"/>
  <c r="P34" i="82"/>
  <c r="R31" i="82"/>
  <c r="X36" i="34"/>
  <c r="X111" i="74"/>
  <c r="P114" i="74"/>
  <c r="R111" i="74"/>
  <c r="L36" i="28"/>
  <c r="N66" i="101"/>
  <c r="H69" i="101"/>
  <c r="J66" i="101"/>
  <c r="X36" i="13"/>
  <c r="L33" i="85"/>
  <c r="N33" i="85" s="1"/>
  <c r="X99" i="63"/>
  <c r="Z99" i="63" s="1"/>
  <c r="Z280" i="3"/>
  <c r="V280" i="3"/>
  <c r="H114" i="74"/>
  <c r="J111" i="74"/>
  <c r="L95" i="9"/>
  <c r="L95" i="24"/>
  <c r="N95" i="24" s="1"/>
  <c r="D98" i="24"/>
  <c r="L98" i="24" s="1"/>
  <c r="N98" i="24" s="1"/>
  <c r="D104" i="84"/>
  <c r="L101" i="84"/>
  <c r="F101" i="84"/>
  <c r="X83" i="68"/>
  <c r="Z83" i="68" s="1"/>
  <c r="P86" i="68"/>
  <c r="X86" i="68" s="1"/>
  <c r="Z86" i="68" s="1"/>
  <c r="L64" i="69"/>
  <c r="N64" i="69" s="1"/>
  <c r="D67" i="69"/>
  <c r="L67" i="69" s="1"/>
  <c r="X78" i="105"/>
  <c r="Z78" i="105" s="1"/>
  <c r="P81" i="105"/>
  <c r="X81" i="105" s="1"/>
  <c r="Z81" i="105" s="1"/>
  <c r="T75" i="97"/>
  <c r="V72" i="97"/>
  <c r="X72" i="97"/>
  <c r="Z72" i="97" s="1"/>
  <c r="Z101" i="84"/>
  <c r="T104" i="84"/>
  <c r="V101" i="84"/>
  <c r="N81" i="87"/>
  <c r="J81" i="87"/>
  <c r="X109" i="27"/>
  <c r="Z109" i="27" s="1"/>
  <c r="R109" i="27"/>
  <c r="X36" i="23"/>
  <c r="P108" i="70"/>
  <c r="X105" i="70"/>
  <c r="Z105" i="70" s="1"/>
  <c r="R105" i="70"/>
  <c r="T97" i="51"/>
  <c r="Z94" i="51"/>
  <c r="V94" i="51"/>
  <c r="Z72" i="92"/>
  <c r="V72" i="92"/>
  <c r="L36" i="14"/>
  <c r="X72" i="92"/>
  <c r="Z38" i="104"/>
  <c r="X98" i="24"/>
  <c r="N87" i="95"/>
  <c r="J87" i="95"/>
  <c r="N235" i="12"/>
  <c r="H238" i="12"/>
  <c r="L238" i="12" s="1"/>
  <c r="J235" i="12"/>
  <c r="L36" i="44"/>
  <c r="L84" i="95"/>
  <c r="N84" i="95" s="1"/>
  <c r="D87" i="95"/>
  <c r="L87" i="95" s="1"/>
  <c r="V57" i="109"/>
  <c r="X68" i="72"/>
  <c r="Z68" i="72" s="1"/>
  <c r="P71" i="72"/>
  <c r="X71" i="72" s="1"/>
  <c r="L36" i="37"/>
  <c r="J34" i="82"/>
  <c r="L31" i="82"/>
  <c r="N31" i="82" s="1"/>
  <c r="D34" i="82"/>
  <c r="F31" i="82"/>
  <c r="T83" i="33"/>
  <c r="Z80" i="33"/>
  <c r="V80" i="33"/>
  <c r="L99" i="63"/>
  <c r="N99" i="63" s="1"/>
  <c r="D77" i="107"/>
  <c r="L77" i="107" s="1"/>
  <c r="N77" i="107" s="1"/>
  <c r="L74" i="107"/>
  <c r="N74" i="107" s="1"/>
  <c r="Z70" i="73" l="1"/>
  <c r="V70" i="73"/>
  <c r="V58" i="78"/>
  <c r="J139" i="30"/>
  <c r="X114" i="74"/>
  <c r="Z114" i="74" s="1"/>
  <c r="R114" i="74"/>
  <c r="N95" i="21"/>
  <c r="J95" i="21"/>
  <c r="J104" i="84"/>
  <c r="N114" i="74"/>
  <c r="J114" i="74"/>
  <c r="J126" i="39"/>
  <c r="V74" i="75"/>
  <c r="L114" i="74"/>
  <c r="F114" i="74"/>
  <c r="X81" i="87"/>
  <c r="Z81" i="87" s="1"/>
  <c r="Z83" i="33"/>
  <c r="V83" i="33"/>
  <c r="Z256" i="18"/>
  <c r="V256" i="18"/>
  <c r="X80" i="103"/>
  <c r="Z80" i="103" s="1"/>
  <c r="R80" i="103"/>
  <c r="V238" i="12"/>
  <c r="X83" i="33"/>
  <c r="N256" i="18"/>
  <c r="J256" i="18"/>
  <c r="L80" i="103"/>
  <c r="N80" i="103" s="1"/>
  <c r="F80" i="103"/>
  <c r="X230" i="15"/>
  <c r="Z230" i="15" s="1"/>
  <c r="R230" i="15"/>
  <c r="V70" i="80"/>
  <c r="X34" i="82"/>
  <c r="Z34" i="82" s="1"/>
  <c r="R34" i="82"/>
  <c r="L97" i="76"/>
  <c r="F97" i="76"/>
  <c r="X238" i="12"/>
  <c r="Z238" i="12" s="1"/>
  <c r="R238" i="12"/>
  <c r="N70" i="73"/>
  <c r="J70" i="73"/>
  <c r="X58" i="78"/>
  <c r="Z58" i="78" s="1"/>
  <c r="L74" i="75"/>
  <c r="N74" i="75" s="1"/>
  <c r="F74" i="75"/>
  <c r="Z71" i="72"/>
  <c r="V71" i="72"/>
  <c r="L34" i="82"/>
  <c r="N34" i="82" s="1"/>
  <c r="F34" i="82"/>
  <c r="V104" i="84"/>
  <c r="V81" i="87"/>
  <c r="X97" i="51"/>
  <c r="R97" i="51"/>
  <c r="N97" i="51"/>
  <c r="J97" i="51"/>
  <c r="N116" i="42"/>
  <c r="J116" i="42"/>
  <c r="L72" i="92"/>
  <c r="N238" i="12"/>
  <c r="J238" i="12"/>
  <c r="Z97" i="51"/>
  <c r="V97" i="51"/>
  <c r="Z65" i="79"/>
  <c r="V65" i="79"/>
  <c r="L97" i="51"/>
  <c r="F97" i="51"/>
  <c r="L139" i="30"/>
  <c r="N139" i="30" s="1"/>
  <c r="F139" i="30"/>
  <c r="V139" i="30"/>
  <c r="N108" i="70"/>
  <c r="J108" i="70"/>
  <c r="N72" i="92"/>
  <c r="J72" i="92"/>
  <c r="L256" i="18"/>
  <c r="F256" i="18"/>
  <c r="L104" i="84"/>
  <c r="N104" i="84" s="1"/>
  <c r="F104" i="84"/>
  <c r="N230" i="15"/>
  <c r="J230" i="15"/>
  <c r="V97" i="76"/>
  <c r="L95" i="21"/>
  <c r="N97" i="76"/>
  <c r="J97" i="76"/>
  <c r="N69" i="101"/>
  <c r="J69" i="101"/>
  <c r="L126" i="39"/>
  <c r="N126" i="39" s="1"/>
  <c r="F126" i="39"/>
  <c r="N88" i="45"/>
  <c r="J88" i="45"/>
  <c r="N70" i="80"/>
  <c r="J70" i="80"/>
  <c r="Z126" i="39"/>
  <c r="V126" i="39"/>
  <c r="X108" i="70"/>
  <c r="Z108" i="70" s="1"/>
  <c r="R108" i="70"/>
  <c r="V75" i="97"/>
  <c r="X75" i="97"/>
  <c r="Z75" i="97" s="1"/>
  <c r="X70" i="80"/>
  <c r="Z70" i="80" s="1"/>
  <c r="V108" i="70"/>
  <c r="Z67" i="69"/>
  <c r="V67" i="69"/>
  <c r="Z116" i="42"/>
  <c r="V116" i="42"/>
  <c r="V114" i="74"/>
  <c r="Z95" i="21"/>
  <c r="V95" i="21"/>
  <c r="N74" i="83"/>
  <c r="J74" i="83"/>
  <c r="X126" i="39"/>
  <c r="R126" i="39"/>
  <c r="L69" i="101"/>
  <c r="X74" i="75"/>
  <c r="Z74" i="75" s="1"/>
  <c r="R74" i="75"/>
  <c r="X104" i="84"/>
  <c r="Z104" i="84" s="1"/>
  <c r="R104" i="84"/>
  <c r="X139" i="30"/>
  <c r="Z139" i="30" s="1"/>
  <c r="R139" i="30"/>
  <c r="X97" i="76"/>
  <c r="Z97" i="76" s="1"/>
  <c r="R97" i="76"/>
</calcChain>
</file>

<file path=xl/sharedStrings.xml><?xml version="1.0" encoding="utf-8"?>
<sst xmlns="http://schemas.openxmlformats.org/spreadsheetml/2006/main" count="2921" uniqueCount="314">
  <si>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</si>
  <si>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</si>
  <si>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</si>
  <si>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</si>
  <si>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</si>
  <si>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</si>
  <si>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</si>
  <si>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</si>
  <si>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</si>
  <si>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</si>
  <si>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</si>
  <si>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</si>
  <si>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</si>
  <si>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</si>
  <si>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</si>
  <si>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</si>
  <si>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</si>
  <si>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</si>
  <si>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</si>
  <si>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</si>
  <si>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</si>
  <si>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</si>
  <si>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</si>
  <si>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</si>
  <si>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</si>
  <si>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</si>
  <si>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</si>
  <si>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</si>
  <si>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</si>
  <si>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</si>
  <si>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</si>
  <si>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</si>
  <si>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</si>
  <si>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</si>
  <si>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</si>
  <si>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</si>
  <si>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</si>
  <si>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</si>
  <si>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</si>
  <si>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</si>
  <si>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</si>
  <si>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</si>
  <si>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</si>
  <si>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</si>
  <si>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</si>
  <si>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</si>
  <si>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</si>
  <si>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</si>
  <si>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</si>
  <si>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</si>
  <si>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</si>
  <si>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</si>
  <si>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</si>
  <si>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</si>
  <si>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</si>
  <si>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</si>
  <si>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</si>
  <si>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</si>
  <si>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</si>
  <si>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</si>
  <si>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</si>
  <si>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</si>
  <si>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</si>
  <si>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</si>
  <si>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</si>
  <si>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</si>
  <si>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</si>
  <si>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</si>
  <si>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</si>
  <si>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</si>
  <si>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</si>
  <si>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</si>
  <si>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</si>
  <si>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</si>
  <si>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</si>
  <si>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</si>
  <si>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</si>
  <si>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</si>
  <si>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</si>
  <si>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</si>
  <si>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</si>
  <si>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</si>
  <si>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</si>
  <si>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</si>
  <si>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</si>
  <si>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</si>
  <si>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</si>
  <si>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</si>
  <si>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</si>
  <si>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</si>
  <si>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</si>
  <si>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</si>
  <si>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</si>
  <si>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</si>
  <si>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</si>
  <si>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</si>
  <si>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</si>
  <si>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</si>
  <si>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</si>
  <si>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</si>
  <si>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</si>
  <si>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</si>
  <si>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</si>
  <si>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</si>
  <si>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</si>
  <si>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</si>
  <si>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</si>
  <si>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</si>
  <si>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</si>
  <si>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</si>
  <si>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</si>
  <si>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</si>
  <si>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</si>
  <si>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</si>
  <si>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</si>
  <si>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</si>
  <si>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</si>
  <si>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</si>
  <si>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</si>
  <si>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</si>
  <si>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</si>
  <si>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</si>
  <si>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</si>
  <si>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</si>
  <si>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</si>
  <si>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</si>
  <si>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</si>
  <si>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</si>
  <si>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</si>
  <si>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</si>
  <si>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</si>
  <si>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</si>
  <si>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</si>
  <si>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</si>
  <si>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</si>
  <si>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</si>
  <si>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</si>
  <si>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</si>
  <si>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</si>
  <si>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</si>
  <si>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</si>
  <si>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</si>
  <si>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</si>
  <si>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</si>
  <si>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</si>
  <si>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</si>
  <si>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</si>
  <si>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</si>
  <si>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</si>
  <si>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</si>
  <si>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</si>
  <si>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</si>
  <si>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</si>
  <si>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</si>
  <si>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</si>
  <si>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</si>
  <si>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</si>
  <si>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</si>
  <si>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</si>
  <si>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</si>
  <si>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</si>
  <si>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</si>
  <si>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</si>
  <si>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</si>
  <si>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</si>
  <si>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</si>
  <si>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</si>
  <si>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</si>
  <si>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</si>
  <si>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</si>
  <si>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</si>
  <si>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</si>
  <si>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</si>
  <si>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</si>
  <si>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</si>
  <si>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</si>
  <si>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</si>
  <si>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</si>
  <si>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</si>
  <si>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</si>
  <si>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</si>
  <si>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</si>
  <si>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</si>
  <si>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</si>
  <si>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</si>
  <si>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</si>
  <si>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</si>
  <si>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</si>
  <si>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</si>
  <si>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</si>
  <si>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</si>
  <si>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</si>
  <si>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</si>
  <si>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</si>
  <si>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</si>
  <si>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</si>
  <si>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</si>
  <si>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</si>
  <si>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</si>
  <si>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</si>
  <si>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</si>
  <si>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</si>
  <si>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</si>
  <si>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</si>
  <si>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</si>
  <si>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</si>
  <si>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</si>
  <si>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</si>
  <si>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</si>
  <si>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</si>
  <si>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</si>
  <si>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</si>
  <si>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</si>
  <si>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</si>
  <si>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</si>
  <si>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</si>
  <si>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</si>
  <si>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</si>
  <si>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</si>
  <si>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</si>
  <si>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</si>
  <si>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</si>
  <si>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</si>
  <si>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</si>
  <si>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</si>
  <si>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</si>
  <si>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</si>
  <si>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</si>
  <si>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</si>
  <si>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</si>
  <si>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</si>
  <si>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</si>
  <si>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</si>
  <si>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</si>
  <si>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</si>
  <si>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</si>
  <si>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</si>
  <si>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</si>
  <si>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</si>
  <si>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</si>
  <si>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</si>
  <si>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</si>
  <si>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</si>
  <si>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</si>
  <si>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</si>
  <si>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</si>
  <si>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</si>
  <si>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</si>
  <si>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</si>
  <si>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</si>
  <si>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</si>
  <si>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</si>
  <si>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</si>
  <si>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</si>
  <si>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</si>
  <si>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</si>
  <si>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</si>
  <si>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</si>
  <si>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</si>
  <si>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</si>
  <si>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</si>
  <si>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</si>
  <si>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</si>
  <si>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</si>
  <si>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</si>
  <si>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</si>
  <si>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</si>
  <si>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</si>
  <si>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</si>
  <si>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</si>
  <si>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</si>
  <si>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</si>
  <si>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</si>
  <si>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</si>
  <si>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</si>
  <si>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</si>
  <si>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</si>
  <si>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</si>
  <si>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</si>
  <si>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</si>
  <si>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</si>
  <si>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</si>
  <si>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</si>
  <si>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</si>
  <si>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</si>
  <si>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</si>
  <si>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</si>
  <si>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</si>
  <si>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</si>
  <si>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</si>
  <si>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</si>
  <si>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</si>
  <si>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</si>
  <si>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</si>
  <si>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</si>
  <si>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</si>
  <si>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</si>
  <si>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</si>
  <si>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</si>
  <si>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</si>
  <si>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</si>
  <si>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</si>
  <si>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</si>
  <si>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</si>
  <si>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</si>
  <si>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</si>
  <si>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</si>
  <si>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</si>
  <si>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</si>
  <si>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</si>
  <si>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</si>
  <si>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</si>
  <si>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</si>
  <si>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49er.local\tcollier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</si>
</sst>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0" fillId="0" borderId="0" xfId="1" applyNumberFormat="1" applyFont="1" applyFill="1"/>
    <xf numFmtId="164" fontId="1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0" fillId="0" borderId="0" xfId="3" applyNumberFormat="1" applyFont="1" applyFill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0" applyNumberFormat="1" applyFill="1"/>
    <xf numFmtId="49" fontId="1" fillId="0" borderId="0" xfId="0" applyNumberFormat="1" applyFont="1" applyFill="1"/>
    <xf numFmtId="49" fontId="2" fillId="0" borderId="0" xfId="0" applyNumberFormat="1" applyFont="1" applyFill="1"/>
    <xf numFmtId="0" fontId="2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3" fillId="0" borderId="0" xfId="0" applyFont="1" applyFill="1"/>
    <xf numFmtId="0" fontId="4" fillId="0" borderId="0" xfId="0" applyFont="1"/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166" fontId="5" fillId="0" borderId="0" xfId="0" applyNumberFormat="1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Border="1"/>
    <xf numFmtId="0" fontId="5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309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309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5"/>
  <sheetViews>
    <sheetView tabSelected="1" zoomScale="80" workbookViewId="0">
      <pane xSplit="3" ySplit="10" topLeftCell="D19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476908.15</v>
      </c>
      <c r="E12" s="4"/>
      <c r="F12" s="12"/>
      <c r="G12" s="4"/>
      <c r="H12" s="4">
        <f>SUM(OSRRefH13x_0)</f>
        <v>1506911.3799999997</v>
      </c>
      <c r="I12" s="4"/>
      <c r="J12" s="12"/>
      <c r="K12" s="4"/>
      <c r="L12" s="4">
        <f t="shared" ref="L12:L112" si="0">+D12-H12</f>
        <v>-1030003.2299999996</v>
      </c>
      <c r="M12" s="4"/>
      <c r="N12" s="12">
        <f t="shared" ref="N12:N112" si="1">IF(H12=0,0,L12/H12)</f>
        <v>-0.68351944491918293</v>
      </c>
      <c r="O12" s="10"/>
      <c r="P12" s="4">
        <f>SUM(OSRRefP13x_0)</f>
        <v>476908.15</v>
      </c>
      <c r="Q12" s="4"/>
      <c r="R12" s="12"/>
      <c r="S12" s="4"/>
      <c r="T12" s="4">
        <f>SUM(OSRRefT13x_0)</f>
        <v>1506911.3799999997</v>
      </c>
      <c r="U12" s="4"/>
      <c r="V12" s="12"/>
      <c r="W12" s="4"/>
      <c r="X12" s="4">
        <f t="shared" ref="X12:X112" si="2">+P12-T12</f>
        <v>-1030003.2299999996</v>
      </c>
      <c r="Y12" s="4"/>
      <c r="Z12" s="12">
        <f t="shared" ref="Z12:Z112" si="3">IF(T12=0,0,X12/T12)</f>
        <v>-0.68351944491918293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-11094.37</f>
        <v>-11094.37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-11094.37</v>
      </c>
      <c r="M13" s="3"/>
      <c r="N13" s="22">
        <f t="shared" si="1"/>
        <v>0</v>
      </c>
      <c r="O13" s="11"/>
      <c r="P13" s="3">
        <f>-11094.37</f>
        <v>-11094.37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-11094.37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--11947.85</f>
        <v>11947.85</v>
      </c>
      <c r="E14" s="3"/>
      <c r="F14" s="22"/>
      <c r="G14" s="3"/>
      <c r="H14" s="3">
        <f>--36312.25</f>
        <v>36312.25</v>
      </c>
      <c r="I14" s="3"/>
      <c r="J14" s="22"/>
      <c r="K14" s="3"/>
      <c r="L14" s="3">
        <f t="shared" si="0"/>
        <v>-24364.400000000001</v>
      </c>
      <c r="M14" s="3"/>
      <c r="N14" s="22">
        <f t="shared" si="1"/>
        <v>-0.67096916329888678</v>
      </c>
      <c r="O14" s="11"/>
      <c r="P14" s="3">
        <f>--11947.85</f>
        <v>11947.85</v>
      </c>
      <c r="Q14" s="3"/>
      <c r="R14" s="22"/>
      <c r="S14" s="3"/>
      <c r="T14" s="3">
        <f>--36312.25</f>
        <v>36312.25</v>
      </c>
      <c r="U14" s="3"/>
      <c r="V14" s="22"/>
      <c r="W14" s="3"/>
      <c r="X14" s="3">
        <f t="shared" si="2"/>
        <v>-24364.400000000001</v>
      </c>
      <c r="Y14" s="3"/>
      <c r="Z14" s="22">
        <f t="shared" si="3"/>
        <v>-0.67096916329888678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--13029.34</f>
        <v>13029.34</v>
      </c>
      <c r="E15" s="3"/>
      <c r="F15" s="22"/>
      <c r="G15" s="3"/>
      <c r="H15" s="3">
        <f>--21794.81</f>
        <v>21794.81</v>
      </c>
      <c r="I15" s="3"/>
      <c r="J15" s="22"/>
      <c r="K15" s="3"/>
      <c r="L15" s="3">
        <f t="shared" si="0"/>
        <v>-8765.4700000000012</v>
      </c>
      <c r="M15" s="3"/>
      <c r="N15" s="22">
        <f t="shared" si="1"/>
        <v>-0.40218152853821626</v>
      </c>
      <c r="O15" s="11"/>
      <c r="P15" s="3">
        <f>--13029.34</f>
        <v>13029.34</v>
      </c>
      <c r="Q15" s="3"/>
      <c r="R15" s="22"/>
      <c r="S15" s="3"/>
      <c r="T15" s="3">
        <f>--21794.81</f>
        <v>21794.81</v>
      </c>
      <c r="U15" s="3"/>
      <c r="V15" s="22"/>
      <c r="W15" s="3"/>
      <c r="X15" s="3">
        <f t="shared" si="2"/>
        <v>-8765.4700000000012</v>
      </c>
      <c r="Y15" s="3"/>
      <c r="Z15" s="22">
        <f t="shared" si="3"/>
        <v>-0.40218152853821626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"4017", " - ", "TAXABLE SALES-DORM/HOUSEWARES")</f>
        <v xml:space="preserve">          4017 - TAXABLE SALES-DORM/HOUSEWARES</v>
      </c>
      <c r="C20" s="11"/>
      <c r="D20" s="3">
        <f>0</f>
        <v>0</v>
      </c>
      <c r="E20" s="3"/>
      <c r="F20" s="22"/>
      <c r="G20" s="3"/>
      <c r="H20" s="3">
        <f>--4.47</f>
        <v>4.47</v>
      </c>
      <c r="I20" s="3"/>
      <c r="J20" s="22"/>
      <c r="K20" s="3"/>
      <c r="L20" s="3">
        <f t="shared" si="0"/>
        <v>-4.47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--4.47</f>
        <v>4.47</v>
      </c>
      <c r="U20" s="3"/>
      <c r="V20" s="22"/>
      <c r="W20" s="3"/>
      <c r="X20" s="3">
        <f t="shared" si="2"/>
        <v>-4.47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"4018", " - ", "TAXABLE SALES-STUDY GUIDES")</f>
        <v xml:space="preserve">          4018 - TAXABLE SALES-STUDY GUIDES</v>
      </c>
      <c r="C21" s="11"/>
      <c r="D21" s="3">
        <f>--16.99</f>
        <v>16.989999999999998</v>
      </c>
      <c r="E21" s="3"/>
      <c r="F21" s="22"/>
      <c r="G21" s="3"/>
      <c r="H21" s="3">
        <f>--179.29</f>
        <v>179.29</v>
      </c>
      <c r="I21" s="3"/>
      <c r="J21" s="22"/>
      <c r="K21" s="3"/>
      <c r="L21" s="3">
        <f t="shared" si="0"/>
        <v>-162.29999999999998</v>
      </c>
      <c r="M21" s="3"/>
      <c r="N21" s="22">
        <f t="shared" si="1"/>
        <v>-0.90523732500418308</v>
      </c>
      <c r="O21" s="11"/>
      <c r="P21" s="3">
        <f>--16.99</f>
        <v>16.989999999999998</v>
      </c>
      <c r="Q21" s="3"/>
      <c r="R21" s="22"/>
      <c r="S21" s="3"/>
      <c r="T21" s="3">
        <f>--179.29</f>
        <v>179.29</v>
      </c>
      <c r="U21" s="3"/>
      <c r="V21" s="22"/>
      <c r="W21" s="3"/>
      <c r="X21" s="3">
        <f t="shared" si="2"/>
        <v>-162.29999999999998</v>
      </c>
      <c r="Y21" s="3"/>
      <c r="Z21" s="22">
        <f t="shared" si="3"/>
        <v>-0.90523732500418308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3">
        <f>0</f>
        <v>0</v>
      </c>
      <c r="E22" s="3"/>
      <c r="F22" s="22"/>
      <c r="G22" s="3"/>
      <c r="H22" s="3">
        <f>--392.29</f>
        <v>392.29</v>
      </c>
      <c r="I22" s="3"/>
      <c r="J22" s="22"/>
      <c r="K22" s="3"/>
      <c r="L22" s="3">
        <f t="shared" si="0"/>
        <v>-392.29</v>
      </c>
      <c r="M22" s="3"/>
      <c r="N22" s="22">
        <f t="shared" si="1"/>
        <v>-1</v>
      </c>
      <c r="O22" s="11"/>
      <c r="P22" s="3">
        <f>0</f>
        <v>0</v>
      </c>
      <c r="Q22" s="3"/>
      <c r="R22" s="22"/>
      <c r="S22" s="3"/>
      <c r="T22" s="3">
        <f>--392.29</f>
        <v>392.29</v>
      </c>
      <c r="U22" s="3"/>
      <c r="V22" s="22"/>
      <c r="W22" s="3"/>
      <c r="X22" s="3">
        <f t="shared" si="2"/>
        <v>-392.29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3">
        <f>--236.56</f>
        <v>236.56</v>
      </c>
      <c r="E23" s="3"/>
      <c r="F23" s="22"/>
      <c r="G23" s="3"/>
      <c r="H23" s="3">
        <f>--1935.51</f>
        <v>1935.51</v>
      </c>
      <c r="I23" s="3"/>
      <c r="J23" s="22"/>
      <c r="K23" s="3"/>
      <c r="L23" s="3">
        <f t="shared" si="0"/>
        <v>-1698.95</v>
      </c>
      <c r="M23" s="3"/>
      <c r="N23" s="22">
        <f t="shared" si="1"/>
        <v>-0.87777898331705861</v>
      </c>
      <c r="O23" s="11"/>
      <c r="P23" s="3">
        <f>--236.56</f>
        <v>236.56</v>
      </c>
      <c r="Q23" s="3"/>
      <c r="R23" s="22"/>
      <c r="S23" s="3"/>
      <c r="T23" s="3">
        <f>--1935.51</f>
        <v>1935.51</v>
      </c>
      <c r="U23" s="3"/>
      <c r="V23" s="22"/>
      <c r="W23" s="3"/>
      <c r="X23" s="3">
        <f t="shared" si="2"/>
        <v>-1698.95</v>
      </c>
      <c r="Y23" s="3"/>
      <c r="Z23" s="22">
        <f t="shared" si="3"/>
        <v>-0.87777898331705861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3">
        <f>--1653.17</f>
        <v>1653.17</v>
      </c>
      <c r="E24" s="3"/>
      <c r="F24" s="22"/>
      <c r="G24" s="3"/>
      <c r="H24" s="3">
        <f>--13150</f>
        <v>13150</v>
      </c>
      <c r="I24" s="3"/>
      <c r="J24" s="22"/>
      <c r="K24" s="3"/>
      <c r="L24" s="3">
        <f t="shared" si="0"/>
        <v>-11496.83</v>
      </c>
      <c r="M24" s="3"/>
      <c r="N24" s="22">
        <f t="shared" si="1"/>
        <v>-0.87428365019011411</v>
      </c>
      <c r="O24" s="11"/>
      <c r="P24" s="3">
        <f>--1653.17</f>
        <v>1653.17</v>
      </c>
      <c r="Q24" s="3"/>
      <c r="R24" s="22"/>
      <c r="S24" s="3"/>
      <c r="T24" s="3">
        <f>--13150</f>
        <v>13150</v>
      </c>
      <c r="U24" s="3"/>
      <c r="V24" s="22"/>
      <c r="W24" s="3"/>
      <c r="X24" s="3">
        <f t="shared" si="2"/>
        <v>-11496.83</v>
      </c>
      <c r="Y24" s="3"/>
      <c r="Z24" s="22">
        <f t="shared" si="3"/>
        <v>-0.87428365019011411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3">
        <f>--19.85</f>
        <v>19.850000000000001</v>
      </c>
      <c r="E25" s="3"/>
      <c r="F25" s="22"/>
      <c r="G25" s="3"/>
      <c r="H25" s="3">
        <f>--2284.16</f>
        <v>2284.16</v>
      </c>
      <c r="I25" s="3"/>
      <c r="J25" s="22"/>
      <c r="K25" s="3"/>
      <c r="L25" s="3">
        <f t="shared" si="0"/>
        <v>-2264.31</v>
      </c>
      <c r="M25" s="3"/>
      <c r="N25" s="22">
        <f t="shared" si="1"/>
        <v>-0.99130971560661252</v>
      </c>
      <c r="O25" s="11"/>
      <c r="P25" s="3">
        <f>--19.85</f>
        <v>19.850000000000001</v>
      </c>
      <c r="Q25" s="3"/>
      <c r="R25" s="22"/>
      <c r="S25" s="3"/>
      <c r="T25" s="3">
        <f>--2284.16</f>
        <v>2284.16</v>
      </c>
      <c r="U25" s="3"/>
      <c r="V25" s="22"/>
      <c r="W25" s="3"/>
      <c r="X25" s="3">
        <f t="shared" si="2"/>
        <v>-2264.31</v>
      </c>
      <c r="Y25" s="3"/>
      <c r="Z25" s="22">
        <f t="shared" si="3"/>
        <v>-0.99130971560661252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3">
        <f>--19.75</f>
        <v>19.75</v>
      </c>
      <c r="E26" s="3"/>
      <c r="F26" s="22"/>
      <c r="G26" s="3"/>
      <c r="H26" s="3">
        <f>--1.52</f>
        <v>1.52</v>
      </c>
      <c r="I26" s="3"/>
      <c r="J26" s="22"/>
      <c r="K26" s="3"/>
      <c r="L26" s="3">
        <f t="shared" si="0"/>
        <v>18.23</v>
      </c>
      <c r="M26" s="3"/>
      <c r="N26" s="22">
        <f t="shared" si="1"/>
        <v>11.993421052631579</v>
      </c>
      <c r="O26" s="11"/>
      <c r="P26" s="3">
        <f>--19.75</f>
        <v>19.75</v>
      </c>
      <c r="Q26" s="3"/>
      <c r="R26" s="22"/>
      <c r="S26" s="3"/>
      <c r="T26" s="3">
        <f>--1.52</f>
        <v>1.52</v>
      </c>
      <c r="U26" s="3"/>
      <c r="V26" s="22"/>
      <c r="W26" s="3"/>
      <c r="X26" s="3">
        <f t="shared" si="2"/>
        <v>18.23</v>
      </c>
      <c r="Y26" s="3"/>
      <c r="Z26" s="22">
        <f t="shared" si="3"/>
        <v>11.993421052631579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3">
        <f t="shared" ref="D27:D28" si="6">0</f>
        <v>0</v>
      </c>
      <c r="E27" s="3"/>
      <c r="F27" s="22"/>
      <c r="G27" s="3"/>
      <c r="H27" s="3">
        <f>--6881.73</f>
        <v>6881.73</v>
      </c>
      <c r="I27" s="3"/>
      <c r="J27" s="22"/>
      <c r="K27" s="3"/>
      <c r="L27" s="3">
        <f t="shared" si="0"/>
        <v>-6881.73</v>
      </c>
      <c r="M27" s="3"/>
      <c r="N27" s="22">
        <f t="shared" si="1"/>
        <v>-1</v>
      </c>
      <c r="O27" s="11"/>
      <c r="P27" s="3">
        <f t="shared" ref="P27:P28" si="7">0</f>
        <v>0</v>
      </c>
      <c r="Q27" s="3"/>
      <c r="R27" s="22"/>
      <c r="S27" s="3"/>
      <c r="T27" s="3">
        <f>--6881.73</f>
        <v>6881.73</v>
      </c>
      <c r="U27" s="3"/>
      <c r="V27" s="22"/>
      <c r="W27" s="3"/>
      <c r="X27" s="3">
        <f t="shared" si="2"/>
        <v>-6881.73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3">
        <f t="shared" si="6"/>
        <v>0</v>
      </c>
      <c r="E28" s="3"/>
      <c r="F28" s="22"/>
      <c r="G28" s="3"/>
      <c r="H28" s="3">
        <f>--3.17</f>
        <v>3.17</v>
      </c>
      <c r="I28" s="3"/>
      <c r="J28" s="22"/>
      <c r="K28" s="3"/>
      <c r="L28" s="3">
        <f t="shared" si="0"/>
        <v>-3.17</v>
      </c>
      <c r="M28" s="3"/>
      <c r="N28" s="22">
        <f t="shared" si="1"/>
        <v>-1</v>
      </c>
      <c r="O28" s="11"/>
      <c r="P28" s="3">
        <f t="shared" si="7"/>
        <v>0</v>
      </c>
      <c r="Q28" s="3"/>
      <c r="R28" s="22"/>
      <c r="S28" s="3"/>
      <c r="T28" s="3">
        <f>--3.17</f>
        <v>3.17</v>
      </c>
      <c r="U28" s="3"/>
      <c r="V28" s="22"/>
      <c r="W28" s="3"/>
      <c r="X28" s="3">
        <f t="shared" si="2"/>
        <v>-3.17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3">
        <f>--6.78</f>
        <v>6.78</v>
      </c>
      <c r="E29" s="3"/>
      <c r="F29" s="22"/>
      <c r="G29" s="3"/>
      <c r="H29" s="3">
        <f>--323.49</f>
        <v>323.49</v>
      </c>
      <c r="I29" s="3"/>
      <c r="J29" s="22"/>
      <c r="K29" s="3"/>
      <c r="L29" s="3">
        <f t="shared" si="0"/>
        <v>-316.71000000000004</v>
      </c>
      <c r="M29" s="3"/>
      <c r="N29" s="22">
        <f t="shared" si="1"/>
        <v>-0.9790410831864973</v>
      </c>
      <c r="O29" s="11"/>
      <c r="P29" s="3">
        <f>--6.78</f>
        <v>6.78</v>
      </c>
      <c r="Q29" s="3"/>
      <c r="R29" s="22"/>
      <c r="S29" s="3"/>
      <c r="T29" s="3">
        <f>--323.49</f>
        <v>323.49</v>
      </c>
      <c r="U29" s="3"/>
      <c r="V29" s="22"/>
      <c r="W29" s="3"/>
      <c r="X29" s="3">
        <f t="shared" si="2"/>
        <v>-316.71000000000004</v>
      </c>
      <c r="Y29" s="3"/>
      <c r="Z29" s="22">
        <f t="shared" si="3"/>
        <v>-0.9790410831864973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3">
        <f t="shared" ref="D30:D31" si="8">0</f>
        <v>0</v>
      </c>
      <c r="E30" s="3"/>
      <c r="F30" s="22"/>
      <c r="G30" s="3"/>
      <c r="H30" s="3">
        <f>--5.97</f>
        <v>5.97</v>
      </c>
      <c r="I30" s="3"/>
      <c r="J30" s="22"/>
      <c r="K30" s="3"/>
      <c r="L30" s="3">
        <f t="shared" si="0"/>
        <v>-5.97</v>
      </c>
      <c r="M30" s="3"/>
      <c r="N30" s="22">
        <f t="shared" si="1"/>
        <v>-1</v>
      </c>
      <c r="O30" s="11"/>
      <c r="P30" s="3">
        <f t="shared" ref="P30:P31" si="9">0</f>
        <v>0</v>
      </c>
      <c r="Q30" s="3"/>
      <c r="R30" s="22"/>
      <c r="S30" s="3"/>
      <c r="T30" s="3">
        <f>--5.97</f>
        <v>5.97</v>
      </c>
      <c r="U30" s="3"/>
      <c r="V30" s="22"/>
      <c r="W30" s="3"/>
      <c r="X30" s="3">
        <f t="shared" si="2"/>
        <v>-5.97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3">
        <f t="shared" si="8"/>
        <v>0</v>
      </c>
      <c r="E31" s="3"/>
      <c r="F31" s="22"/>
      <c r="G31" s="3"/>
      <c r="H31" s="3">
        <f>--5.29</f>
        <v>5.29</v>
      </c>
      <c r="I31" s="3"/>
      <c r="J31" s="22"/>
      <c r="K31" s="3"/>
      <c r="L31" s="3">
        <f t="shared" si="0"/>
        <v>-5.29</v>
      </c>
      <c r="M31" s="3"/>
      <c r="N31" s="22">
        <f t="shared" si="1"/>
        <v>-1</v>
      </c>
      <c r="O31" s="11"/>
      <c r="P31" s="3">
        <f t="shared" si="9"/>
        <v>0</v>
      </c>
      <c r="Q31" s="3"/>
      <c r="R31" s="22"/>
      <c r="S31" s="3"/>
      <c r="T31" s="3">
        <f>--5.29</f>
        <v>5.29</v>
      </c>
      <c r="U31" s="3"/>
      <c r="V31" s="22"/>
      <c r="W31" s="3"/>
      <c r="X31" s="3">
        <f t="shared" si="2"/>
        <v>-5.29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3">
        <f>--72292.26</f>
        <v>72292.259999999995</v>
      </c>
      <c r="E32" s="3"/>
      <c r="F32" s="22"/>
      <c r="G32" s="3"/>
      <c r="H32" s="3">
        <f>--170312.02</f>
        <v>170312.02</v>
      </c>
      <c r="I32" s="3"/>
      <c r="J32" s="22"/>
      <c r="K32" s="3"/>
      <c r="L32" s="3">
        <f t="shared" si="0"/>
        <v>-98019.76</v>
      </c>
      <c r="M32" s="3"/>
      <c r="N32" s="22">
        <f t="shared" si="1"/>
        <v>-0.57553048810060503</v>
      </c>
      <c r="O32" s="11"/>
      <c r="P32" s="3">
        <f>--72292.26</f>
        <v>72292.259999999995</v>
      </c>
      <c r="Q32" s="3"/>
      <c r="R32" s="22"/>
      <c r="S32" s="3"/>
      <c r="T32" s="3">
        <f>--170312.02</f>
        <v>170312.02</v>
      </c>
      <c r="U32" s="3"/>
      <c r="V32" s="22"/>
      <c r="W32" s="3"/>
      <c r="X32" s="3">
        <f t="shared" si="2"/>
        <v>-98019.76</v>
      </c>
      <c r="Y32" s="3"/>
      <c r="Z32" s="22">
        <f t="shared" si="3"/>
        <v>-0.57553048810060503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3">
        <f>--21188.91</f>
        <v>21188.91</v>
      </c>
      <c r="E33" s="3"/>
      <c r="F33" s="22"/>
      <c r="G33" s="3"/>
      <c r="H33" s="3">
        <f>--31041.59</f>
        <v>31041.59</v>
      </c>
      <c r="I33" s="3"/>
      <c r="J33" s="22"/>
      <c r="K33" s="3"/>
      <c r="L33" s="3">
        <f t="shared" si="0"/>
        <v>-9852.68</v>
      </c>
      <c r="M33" s="3"/>
      <c r="N33" s="22">
        <f t="shared" si="1"/>
        <v>-0.31740255573248666</v>
      </c>
      <c r="O33" s="11"/>
      <c r="P33" s="3">
        <f>--21188.91</f>
        <v>21188.91</v>
      </c>
      <c r="Q33" s="3"/>
      <c r="R33" s="22"/>
      <c r="S33" s="3"/>
      <c r="T33" s="3">
        <f>--31041.59</f>
        <v>31041.59</v>
      </c>
      <c r="U33" s="3"/>
      <c r="V33" s="22"/>
      <c r="W33" s="3"/>
      <c r="X33" s="3">
        <f t="shared" si="2"/>
        <v>-9852.68</v>
      </c>
      <c r="Y33" s="3"/>
      <c r="Z33" s="22">
        <f t="shared" si="3"/>
        <v>-0.31740255573248666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3">
        <f>--9503.9</f>
        <v>9503.9</v>
      </c>
      <c r="E34" s="3"/>
      <c r="F34" s="22"/>
      <c r="G34" s="3"/>
      <c r="H34" s="3">
        <f>--15593.05</f>
        <v>15593.05</v>
      </c>
      <c r="I34" s="3"/>
      <c r="J34" s="22"/>
      <c r="K34" s="3"/>
      <c r="L34" s="3">
        <f t="shared" si="0"/>
        <v>-6089.15</v>
      </c>
      <c r="M34" s="3"/>
      <c r="N34" s="22">
        <f t="shared" si="1"/>
        <v>-0.39050410278938374</v>
      </c>
      <c r="O34" s="11"/>
      <c r="P34" s="3">
        <f>--9503.9</f>
        <v>9503.9</v>
      </c>
      <c r="Q34" s="3"/>
      <c r="R34" s="22"/>
      <c r="S34" s="3"/>
      <c r="T34" s="3">
        <f>--15593.05</f>
        <v>15593.05</v>
      </c>
      <c r="U34" s="3"/>
      <c r="V34" s="22"/>
      <c r="W34" s="3"/>
      <c r="X34" s="3">
        <f t="shared" si="2"/>
        <v>-6089.15</v>
      </c>
      <c r="Y34" s="3"/>
      <c r="Z34" s="22">
        <f t="shared" si="3"/>
        <v>-0.39050410278938374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3">
        <f>--217.36</f>
        <v>217.36</v>
      </c>
      <c r="E35" s="3"/>
      <c r="F35" s="22"/>
      <c r="G35" s="3"/>
      <c r="H35" s="3">
        <f>--56.4</f>
        <v>56.4</v>
      </c>
      <c r="I35" s="3"/>
      <c r="J35" s="22"/>
      <c r="K35" s="3"/>
      <c r="L35" s="3">
        <f t="shared" si="0"/>
        <v>160.96</v>
      </c>
      <c r="M35" s="3"/>
      <c r="N35" s="22">
        <f t="shared" si="1"/>
        <v>2.8539007092198583</v>
      </c>
      <c r="O35" s="11"/>
      <c r="P35" s="3">
        <f>--217.36</f>
        <v>217.36</v>
      </c>
      <c r="Q35" s="3"/>
      <c r="R35" s="22"/>
      <c r="S35" s="3"/>
      <c r="T35" s="3">
        <f>--56.4</f>
        <v>56.4</v>
      </c>
      <c r="U35" s="3"/>
      <c r="V35" s="22"/>
      <c r="W35" s="3"/>
      <c r="X35" s="3">
        <f t="shared" si="2"/>
        <v>160.96</v>
      </c>
      <c r="Y35" s="3"/>
      <c r="Z35" s="22">
        <f t="shared" si="3"/>
        <v>2.8539007092198583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3">
        <f>--1800.68</f>
        <v>1800.68</v>
      </c>
      <c r="E36" s="3"/>
      <c r="F36" s="22"/>
      <c r="G36" s="3"/>
      <c r="H36" s="3">
        <f>--2342.65</f>
        <v>2342.65</v>
      </c>
      <c r="I36" s="3"/>
      <c r="J36" s="22"/>
      <c r="K36" s="3"/>
      <c r="L36" s="3">
        <f t="shared" si="0"/>
        <v>-541.97</v>
      </c>
      <c r="M36" s="3"/>
      <c r="N36" s="22">
        <f t="shared" si="1"/>
        <v>-0.23134911318378759</v>
      </c>
      <c r="O36" s="11"/>
      <c r="P36" s="3">
        <f>--1800.68</f>
        <v>1800.68</v>
      </c>
      <c r="Q36" s="3"/>
      <c r="R36" s="22"/>
      <c r="S36" s="3"/>
      <c r="T36" s="3">
        <f>--2342.65</f>
        <v>2342.65</v>
      </c>
      <c r="U36" s="3"/>
      <c r="V36" s="22"/>
      <c r="W36" s="3"/>
      <c r="X36" s="3">
        <f t="shared" si="2"/>
        <v>-541.97</v>
      </c>
      <c r="Y36" s="3"/>
      <c r="Z36" s="22">
        <f t="shared" si="3"/>
        <v>-0.23134911318378759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3">
        <f>--43426.73</f>
        <v>43426.73</v>
      </c>
      <c r="E37" s="3"/>
      <c r="F37" s="22"/>
      <c r="G37" s="3"/>
      <c r="H37" s="3">
        <f>--19420.72</f>
        <v>19420.72</v>
      </c>
      <c r="I37" s="3"/>
      <c r="J37" s="22"/>
      <c r="K37" s="3"/>
      <c r="L37" s="3">
        <f t="shared" si="0"/>
        <v>24006.010000000002</v>
      </c>
      <c r="M37" s="3"/>
      <c r="N37" s="22">
        <f t="shared" si="1"/>
        <v>1.2361029869129465</v>
      </c>
      <c r="O37" s="11"/>
      <c r="P37" s="3">
        <f>--43426.73</f>
        <v>43426.73</v>
      </c>
      <c r="Q37" s="3"/>
      <c r="R37" s="22"/>
      <c r="S37" s="3"/>
      <c r="T37" s="3">
        <f>--19420.72</f>
        <v>19420.72</v>
      </c>
      <c r="U37" s="3"/>
      <c r="V37" s="22"/>
      <c r="W37" s="3"/>
      <c r="X37" s="3">
        <f t="shared" si="2"/>
        <v>24006.010000000002</v>
      </c>
      <c r="Y37" s="3"/>
      <c r="Z37" s="22">
        <f t="shared" si="3"/>
        <v>1.2361029869129465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3">
        <f t="shared" ref="D38:D40" si="10">0</f>
        <v>0</v>
      </c>
      <c r="E38" s="3"/>
      <c r="F38" s="22"/>
      <c r="G38" s="3"/>
      <c r="H38" s="3">
        <f>--40</f>
        <v>40</v>
      </c>
      <c r="I38" s="3"/>
      <c r="J38" s="22"/>
      <c r="K38" s="3"/>
      <c r="L38" s="3">
        <f t="shared" si="0"/>
        <v>-40</v>
      </c>
      <c r="M38" s="3"/>
      <c r="N38" s="22">
        <f t="shared" si="1"/>
        <v>-1</v>
      </c>
      <c r="O38" s="11"/>
      <c r="P38" s="3">
        <f t="shared" ref="P38:P40" si="11">0</f>
        <v>0</v>
      </c>
      <c r="Q38" s="3"/>
      <c r="R38" s="22"/>
      <c r="S38" s="3"/>
      <c r="T38" s="3">
        <f>--40</f>
        <v>40</v>
      </c>
      <c r="U38" s="3"/>
      <c r="V38" s="22"/>
      <c r="W38" s="3"/>
      <c r="X38" s="3">
        <f t="shared" si="2"/>
        <v>-40</v>
      </c>
      <c r="Y38" s="3"/>
      <c r="Z38" s="22">
        <f t="shared" si="3"/>
        <v>-1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3">
        <f t="shared" si="10"/>
        <v>0</v>
      </c>
      <c r="E39" s="3"/>
      <c r="F39" s="22"/>
      <c r="G39" s="3"/>
      <c r="H39" s="3">
        <f>--22606.37</f>
        <v>22606.37</v>
      </c>
      <c r="I39" s="3"/>
      <c r="J39" s="22"/>
      <c r="K39" s="3"/>
      <c r="L39" s="3">
        <f t="shared" si="0"/>
        <v>-22606.37</v>
      </c>
      <c r="M39" s="3"/>
      <c r="N39" s="22">
        <f t="shared" si="1"/>
        <v>-1</v>
      </c>
      <c r="O39" s="11"/>
      <c r="P39" s="3">
        <f t="shared" si="11"/>
        <v>0</v>
      </c>
      <c r="Q39" s="3"/>
      <c r="R39" s="22"/>
      <c r="S39" s="3"/>
      <c r="T39" s="3">
        <f>--22606.37</f>
        <v>22606.37</v>
      </c>
      <c r="U39" s="3"/>
      <c r="V39" s="22"/>
      <c r="W39" s="3"/>
      <c r="X39" s="3">
        <f t="shared" si="2"/>
        <v>-22606.37</v>
      </c>
      <c r="Y39" s="3"/>
      <c r="Z39" s="22">
        <f t="shared" si="3"/>
        <v>-1</v>
      </c>
    </row>
    <row r="40" spans="1:26" s="24" customFormat="1" hidden="1" outlineLevel="1" x14ac:dyDescent="0.25">
      <c r="A40" s="50"/>
      <c r="B40" s="11" t="str">
        <f>CONCATENATE("          ", "4052", " - ", "TAXABLE SALES-FOOD")</f>
        <v xml:space="preserve">          4052 - TAXABLE SALES-FOOD</v>
      </c>
      <c r="C40" s="11"/>
      <c r="D40" s="3">
        <f t="shared" si="10"/>
        <v>0</v>
      </c>
      <c r="E40" s="3"/>
      <c r="F40" s="22"/>
      <c r="G40" s="3"/>
      <c r="H40" s="3">
        <f>--43778.84</f>
        <v>43778.84</v>
      </c>
      <c r="I40" s="3"/>
      <c r="J40" s="22"/>
      <c r="K40" s="3"/>
      <c r="L40" s="3">
        <f t="shared" si="0"/>
        <v>-43778.84</v>
      </c>
      <c r="M40" s="3"/>
      <c r="N40" s="22">
        <f t="shared" si="1"/>
        <v>-1</v>
      </c>
      <c r="O40" s="11"/>
      <c r="P40" s="3">
        <f t="shared" si="11"/>
        <v>0</v>
      </c>
      <c r="Q40" s="3"/>
      <c r="R40" s="22"/>
      <c r="S40" s="3"/>
      <c r="T40" s="3">
        <f>--43778.84</f>
        <v>43778.84</v>
      </c>
      <c r="U40" s="3"/>
      <c r="V40" s="22"/>
      <c r="W40" s="3"/>
      <c r="X40" s="3">
        <f t="shared" si="2"/>
        <v>-43778.84</v>
      </c>
      <c r="Y40" s="3"/>
      <c r="Z40" s="22">
        <f t="shared" si="3"/>
        <v>-1</v>
      </c>
    </row>
    <row r="41" spans="1:26" s="24" customFormat="1" hidden="1" outlineLevel="1" x14ac:dyDescent="0.25">
      <c r="A41" s="50"/>
      <c r="B41" s="11" t="str">
        <f>CONCATENATE("          ", "4053", " - ", "TAXABLE SALES-FOOD")</f>
        <v xml:space="preserve">          4053 - TAXABLE SALES-FOOD</v>
      </c>
      <c r="C41" s="11"/>
      <c r="D41" s="3">
        <f>--199.89</f>
        <v>199.89</v>
      </c>
      <c r="E41" s="3"/>
      <c r="F41" s="22"/>
      <c r="G41" s="3"/>
      <c r="H41" s="3">
        <f>--26075.21</f>
        <v>26075.21</v>
      </c>
      <c r="I41" s="3"/>
      <c r="J41" s="22"/>
      <c r="K41" s="3"/>
      <c r="L41" s="3">
        <f t="shared" si="0"/>
        <v>-25875.32</v>
      </c>
      <c r="M41" s="3"/>
      <c r="N41" s="22">
        <f t="shared" si="1"/>
        <v>-0.992334098172172</v>
      </c>
      <c r="O41" s="11"/>
      <c r="P41" s="3">
        <f>--199.89</f>
        <v>199.89</v>
      </c>
      <c r="Q41" s="3"/>
      <c r="R41" s="22"/>
      <c r="S41" s="3"/>
      <c r="T41" s="3">
        <f>--26075.21</f>
        <v>26075.21</v>
      </c>
      <c r="U41" s="3"/>
      <c r="V41" s="22"/>
      <c r="W41" s="3"/>
      <c r="X41" s="3">
        <f t="shared" si="2"/>
        <v>-25875.32</v>
      </c>
      <c r="Y41" s="3"/>
      <c r="Z41" s="22">
        <f t="shared" si="3"/>
        <v>-0.992334098172172</v>
      </c>
    </row>
    <row r="42" spans="1:26" s="24" customFormat="1" hidden="1" outlineLevel="1" x14ac:dyDescent="0.25">
      <c r="A42" s="50"/>
      <c r="B42" s="11" t="str">
        <f>CONCATENATE("          ", "4055", " - ", "TAXABLE SALES-FOOD")</f>
        <v xml:space="preserve">          4055 - TAXABLE SALES-FOOD</v>
      </c>
      <c r="C42" s="11"/>
      <c r="D42" s="3">
        <f>0</f>
        <v>0</v>
      </c>
      <c r="E42" s="3"/>
      <c r="F42" s="22"/>
      <c r="G42" s="3"/>
      <c r="H42" s="3">
        <f>--14243.63</f>
        <v>14243.63</v>
      </c>
      <c r="I42" s="3"/>
      <c r="J42" s="22"/>
      <c r="K42" s="3"/>
      <c r="L42" s="3">
        <f t="shared" si="0"/>
        <v>-14243.63</v>
      </c>
      <c r="M42" s="3"/>
      <c r="N42" s="22">
        <f t="shared" si="1"/>
        <v>-1</v>
      </c>
      <c r="O42" s="11"/>
      <c r="P42" s="3">
        <f>0</f>
        <v>0</v>
      </c>
      <c r="Q42" s="3"/>
      <c r="R42" s="22"/>
      <c r="S42" s="3"/>
      <c r="T42" s="3">
        <f>--14243.63</f>
        <v>14243.63</v>
      </c>
      <c r="U42" s="3"/>
      <c r="V42" s="22"/>
      <c r="W42" s="3"/>
      <c r="X42" s="3">
        <f t="shared" si="2"/>
        <v>-14243.63</v>
      </c>
      <c r="Y42" s="3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"4058", " - ", "TAXABLE SALES-FOOD")</f>
        <v xml:space="preserve">          4058 - TAXABLE SALES-FOOD</v>
      </c>
      <c r="C43" s="11"/>
      <c r="D43" s="3">
        <f>--974.91</f>
        <v>974.91</v>
      </c>
      <c r="E43" s="3"/>
      <c r="F43" s="22"/>
      <c r="G43" s="3"/>
      <c r="H43" s="3">
        <f>--8401.66</f>
        <v>8401.66</v>
      </c>
      <c r="I43" s="3"/>
      <c r="J43" s="22"/>
      <c r="K43" s="3"/>
      <c r="L43" s="3">
        <f t="shared" si="0"/>
        <v>-7426.75</v>
      </c>
      <c r="M43" s="3"/>
      <c r="N43" s="22">
        <f t="shared" si="1"/>
        <v>-0.88396221699045185</v>
      </c>
      <c r="O43" s="11"/>
      <c r="P43" s="3">
        <f>--974.91</f>
        <v>974.91</v>
      </c>
      <c r="Q43" s="3"/>
      <c r="R43" s="22"/>
      <c r="S43" s="3"/>
      <c r="T43" s="3">
        <f>--8401.66</f>
        <v>8401.66</v>
      </c>
      <c r="U43" s="3"/>
      <c r="V43" s="22"/>
      <c r="W43" s="3"/>
      <c r="X43" s="3">
        <f t="shared" si="2"/>
        <v>-7426.75</v>
      </c>
      <c r="Y43" s="3"/>
      <c r="Z43" s="22">
        <f t="shared" si="3"/>
        <v>-0.88396221699045185</v>
      </c>
    </row>
    <row r="44" spans="1:26" s="24" customFormat="1" hidden="1" outlineLevel="1" x14ac:dyDescent="0.25">
      <c r="A44" s="50"/>
      <c r="B44" s="11" t="str">
        <f>CONCATENATE("          ", "4081", " - ", "TAXABLE SALES-ELECTRONICS")</f>
        <v xml:space="preserve">          4081 - TAXABLE SALES-ELECTRONICS</v>
      </c>
      <c r="C44" s="11"/>
      <c r="D44" s="3">
        <f>--21557.16</f>
        <v>21557.16</v>
      </c>
      <c r="E44" s="3"/>
      <c r="F44" s="22"/>
      <c r="G44" s="3"/>
      <c r="H44" s="3">
        <f>--20952.57</f>
        <v>20952.57</v>
      </c>
      <c r="I44" s="3"/>
      <c r="J44" s="22"/>
      <c r="K44" s="3"/>
      <c r="L44" s="3">
        <f t="shared" si="0"/>
        <v>604.59000000000015</v>
      </c>
      <c r="M44" s="3"/>
      <c r="N44" s="22">
        <f t="shared" si="1"/>
        <v>2.8855171465839283E-2</v>
      </c>
      <c r="O44" s="11"/>
      <c r="P44" s="3">
        <f>--21557.16</f>
        <v>21557.16</v>
      </c>
      <c r="Q44" s="3"/>
      <c r="R44" s="22"/>
      <c r="S44" s="3"/>
      <c r="T44" s="3">
        <f>--20952.57</f>
        <v>20952.57</v>
      </c>
      <c r="U44" s="3"/>
      <c r="V44" s="22"/>
      <c r="W44" s="3"/>
      <c r="X44" s="3">
        <f t="shared" si="2"/>
        <v>604.59000000000015</v>
      </c>
      <c r="Y44" s="3"/>
      <c r="Z44" s="22">
        <f t="shared" si="3"/>
        <v>2.8855171465839283E-2</v>
      </c>
    </row>
    <row r="45" spans="1:26" s="24" customFormat="1" hidden="1" outlineLevel="1" x14ac:dyDescent="0.25">
      <c r="A45" s="50"/>
      <c r="B45" s="11" t="str">
        <f>CONCATENATE("          ", "4082", " - ", "TAXABLE SALES-COMPUTER HARDWAR")</f>
        <v xml:space="preserve">          4082 - TAXABLE SALES-COMPUTER HARDWAR</v>
      </c>
      <c r="C45" s="11"/>
      <c r="D45" s="3">
        <f>--137228.87</f>
        <v>137228.87</v>
      </c>
      <c r="E45" s="3"/>
      <c r="F45" s="22"/>
      <c r="G45" s="3"/>
      <c r="H45" s="3">
        <f>--398788.74</f>
        <v>398788.74</v>
      </c>
      <c r="I45" s="3"/>
      <c r="J45" s="22"/>
      <c r="K45" s="3"/>
      <c r="L45" s="3">
        <f t="shared" si="0"/>
        <v>-261559.87</v>
      </c>
      <c r="M45" s="3"/>
      <c r="N45" s="22">
        <f t="shared" si="1"/>
        <v>-0.65588579557186089</v>
      </c>
      <c r="O45" s="11"/>
      <c r="P45" s="3">
        <f>--137228.87</f>
        <v>137228.87</v>
      </c>
      <c r="Q45" s="3"/>
      <c r="R45" s="22"/>
      <c r="S45" s="3"/>
      <c r="T45" s="3">
        <f>--398788.74</f>
        <v>398788.74</v>
      </c>
      <c r="U45" s="3"/>
      <c r="V45" s="22"/>
      <c r="W45" s="3"/>
      <c r="X45" s="3">
        <f t="shared" si="2"/>
        <v>-261559.87</v>
      </c>
      <c r="Y45" s="3"/>
      <c r="Z45" s="22">
        <f t="shared" si="3"/>
        <v>-0.65588579557186089</v>
      </c>
    </row>
    <row r="46" spans="1:26" s="24" customFormat="1" hidden="1" outlineLevel="1" x14ac:dyDescent="0.25">
      <c r="A46" s="50"/>
      <c r="B46" s="11" t="str">
        <f>CONCATENATE("          ", "4083", " - ", "TAXABLE SALES-COMPUTER EQUIPME")</f>
        <v xml:space="preserve">          4083 - TAXABLE SALES-COMPUTER EQUIPME</v>
      </c>
      <c r="C46" s="11"/>
      <c r="D46" s="3">
        <f>--6790.15</f>
        <v>6790.15</v>
      </c>
      <c r="E46" s="3"/>
      <c r="F46" s="22"/>
      <c r="G46" s="3"/>
      <c r="H46" s="3">
        <f>--7906.1</f>
        <v>7906.1</v>
      </c>
      <c r="I46" s="3"/>
      <c r="J46" s="22"/>
      <c r="K46" s="3"/>
      <c r="L46" s="3">
        <f t="shared" si="0"/>
        <v>-1115.9500000000007</v>
      </c>
      <c r="M46" s="3"/>
      <c r="N46" s="22">
        <f t="shared" si="1"/>
        <v>-0.14115050404118348</v>
      </c>
      <c r="O46" s="11"/>
      <c r="P46" s="3">
        <f>--6790.15</f>
        <v>6790.15</v>
      </c>
      <c r="Q46" s="3"/>
      <c r="R46" s="22"/>
      <c r="S46" s="3"/>
      <c r="T46" s="3">
        <f>--7906.1</f>
        <v>7906.1</v>
      </c>
      <c r="U46" s="3"/>
      <c r="V46" s="22"/>
      <c r="W46" s="3"/>
      <c r="X46" s="3">
        <f t="shared" si="2"/>
        <v>-1115.9500000000007</v>
      </c>
      <c r="Y46" s="3"/>
      <c r="Z46" s="22">
        <f t="shared" si="3"/>
        <v>-0.14115050404118348</v>
      </c>
    </row>
    <row r="47" spans="1:26" s="24" customFormat="1" hidden="1" outlineLevel="1" x14ac:dyDescent="0.25">
      <c r="A47" s="50"/>
      <c r="B47" s="11" t="str">
        <f>CONCATENATE("          ", "4084", " - ", "TAXABLE SALES-SOFTWARE LICENSE")</f>
        <v xml:space="preserve">          4084 - TAXABLE SALES-SOFTWARE LICENSE</v>
      </c>
      <c r="C47" s="11"/>
      <c r="D47" s="3">
        <f t="shared" ref="D47:D48" si="12">0</f>
        <v>0</v>
      </c>
      <c r="E47" s="3"/>
      <c r="F47" s="22"/>
      <c r="G47" s="3"/>
      <c r="H47" s="3">
        <f>--129</f>
        <v>129</v>
      </c>
      <c r="I47" s="3"/>
      <c r="J47" s="22"/>
      <c r="K47" s="3"/>
      <c r="L47" s="3">
        <f t="shared" si="0"/>
        <v>-129</v>
      </c>
      <c r="M47" s="3"/>
      <c r="N47" s="22">
        <f t="shared" si="1"/>
        <v>-1</v>
      </c>
      <c r="O47" s="11"/>
      <c r="P47" s="3">
        <f t="shared" ref="P47:P48" si="13">0</f>
        <v>0</v>
      </c>
      <c r="Q47" s="3"/>
      <c r="R47" s="22"/>
      <c r="S47" s="3"/>
      <c r="T47" s="3">
        <f>--129</f>
        <v>129</v>
      </c>
      <c r="U47" s="3"/>
      <c r="V47" s="22"/>
      <c r="W47" s="3"/>
      <c r="X47" s="3">
        <f t="shared" si="2"/>
        <v>-129</v>
      </c>
      <c r="Y47" s="3"/>
      <c r="Z47" s="22">
        <f t="shared" si="3"/>
        <v>-1</v>
      </c>
    </row>
    <row r="48" spans="1:26" s="24" customFormat="1" hidden="1" outlineLevel="1" x14ac:dyDescent="0.25">
      <c r="A48" s="50"/>
      <c r="B48" s="11" t="str">
        <f>CONCATENATE("          ", "4085", " - ", "TAXABLE SALES-SOFTWARE")</f>
        <v xml:space="preserve">          4085 - TAXABLE SALES-SOFTWARE</v>
      </c>
      <c r="C48" s="11"/>
      <c r="D48" s="3">
        <f t="shared" si="12"/>
        <v>0</v>
      </c>
      <c r="E48" s="3"/>
      <c r="F48" s="22"/>
      <c r="G48" s="3"/>
      <c r="H48" s="3">
        <f>--493.95</f>
        <v>493.95</v>
      </c>
      <c r="I48" s="3"/>
      <c r="J48" s="22"/>
      <c r="K48" s="3"/>
      <c r="L48" s="3">
        <f t="shared" si="0"/>
        <v>-493.95</v>
      </c>
      <c r="M48" s="3"/>
      <c r="N48" s="22">
        <f t="shared" si="1"/>
        <v>-1</v>
      </c>
      <c r="O48" s="11"/>
      <c r="P48" s="3">
        <f t="shared" si="13"/>
        <v>0</v>
      </c>
      <c r="Q48" s="3"/>
      <c r="R48" s="22"/>
      <c r="S48" s="3"/>
      <c r="T48" s="3">
        <f>--493.95</f>
        <v>493.95</v>
      </c>
      <c r="U48" s="3"/>
      <c r="V48" s="22"/>
      <c r="W48" s="3"/>
      <c r="X48" s="3">
        <f t="shared" si="2"/>
        <v>-493.95</v>
      </c>
      <c r="Y48" s="3"/>
      <c r="Z48" s="22">
        <f t="shared" si="3"/>
        <v>-1</v>
      </c>
    </row>
    <row r="49" spans="1:26" s="24" customFormat="1" hidden="1" outlineLevel="1" x14ac:dyDescent="0.25">
      <c r="A49" s="50"/>
      <c r="B49" s="11" t="str">
        <f>CONCATENATE("          ", "4086", " - ", "TAXABLE SALES-COMPUTER SUPPLIE")</f>
        <v xml:space="preserve">          4086 - TAXABLE SALES-COMPUTER SUPPLIE</v>
      </c>
      <c r="C49" s="11"/>
      <c r="D49" s="3">
        <f>--25959.21</f>
        <v>25959.21</v>
      </c>
      <c r="E49" s="3"/>
      <c r="F49" s="22"/>
      <c r="G49" s="3"/>
      <c r="H49" s="3">
        <f>--1995.32</f>
        <v>1995.32</v>
      </c>
      <c r="I49" s="3"/>
      <c r="J49" s="22"/>
      <c r="K49" s="3"/>
      <c r="L49" s="3">
        <f t="shared" si="0"/>
        <v>23963.89</v>
      </c>
      <c r="M49" s="3"/>
      <c r="N49" s="22">
        <f t="shared" si="1"/>
        <v>12.010048513521641</v>
      </c>
      <c r="O49" s="11"/>
      <c r="P49" s="3">
        <f>--25959.21</f>
        <v>25959.21</v>
      </c>
      <c r="Q49" s="3"/>
      <c r="R49" s="22"/>
      <c r="S49" s="3"/>
      <c r="T49" s="3">
        <f>--1995.32</f>
        <v>1995.32</v>
      </c>
      <c r="U49" s="3"/>
      <c r="V49" s="22"/>
      <c r="W49" s="3"/>
      <c r="X49" s="3">
        <f t="shared" si="2"/>
        <v>23963.89</v>
      </c>
      <c r="Y49" s="3"/>
      <c r="Z49" s="22">
        <f t="shared" si="3"/>
        <v>12.010048513521641</v>
      </c>
    </row>
    <row r="50" spans="1:26" s="24" customFormat="1" hidden="1" outlineLevel="1" x14ac:dyDescent="0.25">
      <c r="A50" s="50"/>
      <c r="B50" s="11" t="str">
        <f>CONCATENATE("          ", "4088", " - ", "TAXABLE SALES-MUSIC")</f>
        <v xml:space="preserve">          4088 - TAXABLE SALES-MUSIC</v>
      </c>
      <c r="C50" s="11"/>
      <c r="D50" s="3">
        <f t="shared" ref="D50:D52" si="14">0</f>
        <v>0</v>
      </c>
      <c r="E50" s="3"/>
      <c r="F50" s="22"/>
      <c r="G50" s="3"/>
      <c r="H50" s="3">
        <f>--258.99</f>
        <v>258.99</v>
      </c>
      <c r="I50" s="3"/>
      <c r="J50" s="22"/>
      <c r="K50" s="3"/>
      <c r="L50" s="3">
        <f t="shared" si="0"/>
        <v>-258.99</v>
      </c>
      <c r="M50" s="3"/>
      <c r="N50" s="22">
        <f t="shared" si="1"/>
        <v>-1</v>
      </c>
      <c r="O50" s="11"/>
      <c r="P50" s="3">
        <f t="shared" ref="P50:P52" si="15">0</f>
        <v>0</v>
      </c>
      <c r="Q50" s="3"/>
      <c r="R50" s="22"/>
      <c r="S50" s="3"/>
      <c r="T50" s="3">
        <f>--258.99</f>
        <v>258.99</v>
      </c>
      <c r="U50" s="3"/>
      <c r="V50" s="22"/>
      <c r="W50" s="3"/>
      <c r="X50" s="3">
        <f t="shared" si="2"/>
        <v>-258.99</v>
      </c>
      <c r="Y50" s="3"/>
      <c r="Z50" s="22">
        <f t="shared" si="3"/>
        <v>-1</v>
      </c>
    </row>
    <row r="51" spans="1:26" s="24" customFormat="1" hidden="1" outlineLevel="1" x14ac:dyDescent="0.25">
      <c r="A51" s="50"/>
      <c r="B51" s="11" t="str">
        <f>CONCATENATE("          ", "4092", " - ", "TAXABLE SALES-GRAD MERCH")</f>
        <v xml:space="preserve">          4092 - TAXABLE SALES-GRAD MERCH</v>
      </c>
      <c r="C51" s="11"/>
      <c r="D51" s="3">
        <f t="shared" si="14"/>
        <v>0</v>
      </c>
      <c r="E51" s="3"/>
      <c r="F51" s="22"/>
      <c r="G51" s="3"/>
      <c r="H51" s="3">
        <f>--2128.63</f>
        <v>2128.63</v>
      </c>
      <c r="I51" s="3"/>
      <c r="J51" s="22"/>
      <c r="K51" s="3"/>
      <c r="L51" s="3">
        <f t="shared" si="0"/>
        <v>-2128.63</v>
      </c>
      <c r="M51" s="3"/>
      <c r="N51" s="22">
        <f t="shared" si="1"/>
        <v>-1</v>
      </c>
      <c r="O51" s="11"/>
      <c r="P51" s="3">
        <f t="shared" si="15"/>
        <v>0</v>
      </c>
      <c r="Q51" s="3"/>
      <c r="R51" s="22"/>
      <c r="S51" s="3"/>
      <c r="T51" s="3">
        <f>--2128.63</f>
        <v>2128.63</v>
      </c>
      <c r="U51" s="3"/>
      <c r="V51" s="22"/>
      <c r="W51" s="3"/>
      <c r="X51" s="3">
        <f t="shared" si="2"/>
        <v>-2128.63</v>
      </c>
      <c r="Y51" s="3"/>
      <c r="Z51" s="22">
        <f t="shared" si="3"/>
        <v>-1</v>
      </c>
    </row>
    <row r="52" spans="1:26" s="24" customFormat="1" hidden="1" outlineLevel="1" x14ac:dyDescent="0.25">
      <c r="A52" s="50"/>
      <c r="B52" s="11" t="str">
        <f>CONCATENATE("          ", "4095", " - ", "TAXABLE SALES-CUSTOMER SERVICE")</f>
        <v xml:space="preserve">          4095 - TAXABLE SALES-CUSTOMER SERVICE</v>
      </c>
      <c r="C52" s="11"/>
      <c r="D52" s="3">
        <f t="shared" si="14"/>
        <v>0</v>
      </c>
      <c r="E52" s="3"/>
      <c r="F52" s="22"/>
      <c r="G52" s="3"/>
      <c r="H52" s="3">
        <f>--46.53</f>
        <v>46.53</v>
      </c>
      <c r="I52" s="3"/>
      <c r="J52" s="22"/>
      <c r="K52" s="3"/>
      <c r="L52" s="3">
        <f t="shared" si="0"/>
        <v>-46.53</v>
      </c>
      <c r="M52" s="3"/>
      <c r="N52" s="22">
        <f t="shared" si="1"/>
        <v>-1</v>
      </c>
      <c r="O52" s="11"/>
      <c r="P52" s="3">
        <f t="shared" si="15"/>
        <v>0</v>
      </c>
      <c r="Q52" s="3"/>
      <c r="R52" s="22"/>
      <c r="S52" s="3"/>
      <c r="T52" s="3">
        <f>--46.53</f>
        <v>46.53</v>
      </c>
      <c r="U52" s="3"/>
      <c r="V52" s="22"/>
      <c r="W52" s="3"/>
      <c r="X52" s="3">
        <f t="shared" si="2"/>
        <v>-46.53</v>
      </c>
      <c r="Y52" s="3"/>
      <c r="Z52" s="22">
        <f t="shared" si="3"/>
        <v>-1</v>
      </c>
    </row>
    <row r="53" spans="1:26" s="24" customFormat="1" hidden="1" outlineLevel="1" x14ac:dyDescent="0.25">
      <c r="A53" s="50"/>
      <c r="B53" s="11" t="str">
        <f>CONCATENATE("          ", "4100", " - ", "NON-TAXABLE SALES")</f>
        <v xml:space="preserve">          4100 - NON-TAXABLE SALES</v>
      </c>
      <c r="C53" s="11"/>
      <c r="D53" s="3">
        <f>--24009.3</f>
        <v>24009.3</v>
      </c>
      <c r="E53" s="3"/>
      <c r="F53" s="22"/>
      <c r="G53" s="3"/>
      <c r="H53" s="3">
        <f>--41173.2</f>
        <v>41173.199999999997</v>
      </c>
      <c r="I53" s="3"/>
      <c r="J53" s="22"/>
      <c r="K53" s="3"/>
      <c r="L53" s="3">
        <f t="shared" si="0"/>
        <v>-17163.899999999998</v>
      </c>
      <c r="M53" s="3"/>
      <c r="N53" s="22">
        <f t="shared" si="1"/>
        <v>-0.41687068287138235</v>
      </c>
      <c r="O53" s="11"/>
      <c r="P53" s="3">
        <f>--24009.3</f>
        <v>24009.3</v>
      </c>
      <c r="Q53" s="3"/>
      <c r="R53" s="22"/>
      <c r="S53" s="3"/>
      <c r="T53" s="3">
        <f>--41173.2</f>
        <v>41173.199999999997</v>
      </c>
      <c r="U53" s="3"/>
      <c r="V53" s="22"/>
      <c r="W53" s="3"/>
      <c r="X53" s="3">
        <f t="shared" si="2"/>
        <v>-17163.899999999998</v>
      </c>
      <c r="Y53" s="3"/>
      <c r="Z53" s="22">
        <f t="shared" si="3"/>
        <v>-0.41687068287138235</v>
      </c>
    </row>
    <row r="54" spans="1:26" s="24" customFormat="1" hidden="1" outlineLevel="1" x14ac:dyDescent="0.25">
      <c r="A54" s="50"/>
      <c r="B54" s="11" t="str">
        <f>CONCATENATE("          ", "4101", " - ", "NON-TAXABLE SALES-NEW TEXT")</f>
        <v xml:space="preserve">          4101 - NON-TAXABLE SALES-NEW TEXT</v>
      </c>
      <c r="C54" s="11"/>
      <c r="D54" s="3">
        <f>--10341.86</f>
        <v>10341.86</v>
      </c>
      <c r="E54" s="3"/>
      <c r="F54" s="22"/>
      <c r="G54" s="3"/>
      <c r="H54" s="3">
        <f>--7736.58</f>
        <v>7736.58</v>
      </c>
      <c r="I54" s="3"/>
      <c r="J54" s="22"/>
      <c r="K54" s="3"/>
      <c r="L54" s="3">
        <f t="shared" si="0"/>
        <v>2605.2800000000007</v>
      </c>
      <c r="M54" s="3"/>
      <c r="N54" s="22">
        <f t="shared" si="1"/>
        <v>0.33674827895530074</v>
      </c>
      <c r="O54" s="11"/>
      <c r="P54" s="3">
        <f>--10341.86</f>
        <v>10341.86</v>
      </c>
      <c r="Q54" s="3"/>
      <c r="R54" s="22"/>
      <c r="S54" s="3"/>
      <c r="T54" s="3">
        <f>--7736.58</f>
        <v>7736.58</v>
      </c>
      <c r="U54" s="3"/>
      <c r="V54" s="22"/>
      <c r="W54" s="3"/>
      <c r="X54" s="3">
        <f t="shared" si="2"/>
        <v>2605.2800000000007</v>
      </c>
      <c r="Y54" s="3"/>
      <c r="Z54" s="22">
        <f t="shared" si="3"/>
        <v>0.33674827895530074</v>
      </c>
    </row>
    <row r="55" spans="1:26" s="24" customFormat="1" hidden="1" outlineLevel="1" x14ac:dyDescent="0.25">
      <c r="A55" s="50"/>
      <c r="B55" s="11" t="str">
        <f>CONCATENATE("          ", "4102", " - ", "NON-TAXABLE SALES-USED TEXT")</f>
        <v xml:space="preserve">          4102 - NON-TAXABLE SALES-USED TEXT</v>
      </c>
      <c r="C55" s="11"/>
      <c r="D55" s="3">
        <f>--4190.44</f>
        <v>4190.4399999999996</v>
      </c>
      <c r="E55" s="3"/>
      <c r="F55" s="22"/>
      <c r="G55" s="3"/>
      <c r="H55" s="3">
        <f>--5359.24</f>
        <v>5359.24</v>
      </c>
      <c r="I55" s="3"/>
      <c r="J55" s="22"/>
      <c r="K55" s="3"/>
      <c r="L55" s="3">
        <f t="shared" si="0"/>
        <v>-1168.8000000000002</v>
      </c>
      <c r="M55" s="3"/>
      <c r="N55" s="22">
        <f t="shared" si="1"/>
        <v>-0.2180906247900822</v>
      </c>
      <c r="O55" s="11"/>
      <c r="P55" s="3">
        <f>--4190.44</f>
        <v>4190.4399999999996</v>
      </c>
      <c r="Q55" s="3"/>
      <c r="R55" s="22"/>
      <c r="S55" s="3"/>
      <c r="T55" s="3">
        <f>--5359.24</f>
        <v>5359.24</v>
      </c>
      <c r="U55" s="3"/>
      <c r="V55" s="22"/>
      <c r="W55" s="3"/>
      <c r="X55" s="3">
        <f t="shared" si="2"/>
        <v>-1168.8000000000002</v>
      </c>
      <c r="Y55" s="3"/>
      <c r="Z55" s="22">
        <f t="shared" si="3"/>
        <v>-0.2180906247900822</v>
      </c>
    </row>
    <row r="56" spans="1:26" s="24" customFormat="1" hidden="1" outlineLevel="1" x14ac:dyDescent="0.25">
      <c r="A56" s="50"/>
      <c r="B56" s="11" t="str">
        <f>CONCATENATE("          ", "4104", " - ", "NON-TAXABLE SALES-DIGITAL TEXT")</f>
        <v xml:space="preserve">          4104 - NON-TAXABLE SALES-DIGITAL TEXT</v>
      </c>
      <c r="C56" s="11"/>
      <c r="D56" s="3">
        <f>--7485.52</f>
        <v>7485.52</v>
      </c>
      <c r="E56" s="3"/>
      <c r="F56" s="22"/>
      <c r="G56" s="3"/>
      <c r="H56" s="3">
        <f>--13424.17</f>
        <v>13424.17</v>
      </c>
      <c r="I56" s="3"/>
      <c r="J56" s="22"/>
      <c r="K56" s="3"/>
      <c r="L56" s="3">
        <f t="shared" si="0"/>
        <v>-5938.65</v>
      </c>
      <c r="M56" s="3"/>
      <c r="N56" s="22">
        <f t="shared" si="1"/>
        <v>-0.44238489232481409</v>
      </c>
      <c r="O56" s="11"/>
      <c r="P56" s="3">
        <f>--7485.52</f>
        <v>7485.52</v>
      </c>
      <c r="Q56" s="3"/>
      <c r="R56" s="22"/>
      <c r="S56" s="3"/>
      <c r="T56" s="3">
        <f>--13424.17</f>
        <v>13424.17</v>
      </c>
      <c r="U56" s="3"/>
      <c r="V56" s="22"/>
      <c r="W56" s="3"/>
      <c r="X56" s="3">
        <f t="shared" si="2"/>
        <v>-5938.65</v>
      </c>
      <c r="Y56" s="3"/>
      <c r="Z56" s="22">
        <f t="shared" si="3"/>
        <v>-0.44238489232481409</v>
      </c>
    </row>
    <row r="57" spans="1:26" s="24" customFormat="1" hidden="1" outlineLevel="1" x14ac:dyDescent="0.25">
      <c r="A57" s="50"/>
      <c r="B57" s="11" t="str">
        <f>CONCATENATE("          ", "4111", " - ", "NON-TAXABLE SALES-NO VALUE TEX")</f>
        <v xml:space="preserve">          4111 - NON-TAXABLE SALES-NO VALUE TEX</v>
      </c>
      <c r="C57" s="11"/>
      <c r="D57" s="3">
        <f t="shared" ref="D57:D58" si="16">0</f>
        <v>0</v>
      </c>
      <c r="E57" s="3"/>
      <c r="F57" s="22"/>
      <c r="G57" s="3"/>
      <c r="H57" s="3">
        <f>--2680.95</f>
        <v>2680.95</v>
      </c>
      <c r="I57" s="3"/>
      <c r="J57" s="22"/>
      <c r="K57" s="3"/>
      <c r="L57" s="3">
        <f t="shared" si="0"/>
        <v>-2680.95</v>
      </c>
      <c r="M57" s="3"/>
      <c r="N57" s="22">
        <f t="shared" si="1"/>
        <v>-1</v>
      </c>
      <c r="O57" s="11"/>
      <c r="P57" s="3">
        <f t="shared" ref="P57:P58" si="17">0</f>
        <v>0</v>
      </c>
      <c r="Q57" s="3"/>
      <c r="R57" s="22"/>
      <c r="S57" s="3"/>
      <c r="T57" s="3">
        <f>--2680.95</f>
        <v>2680.95</v>
      </c>
      <c r="U57" s="3"/>
      <c r="V57" s="22"/>
      <c r="W57" s="3"/>
      <c r="X57" s="3">
        <f t="shared" si="2"/>
        <v>-2680.95</v>
      </c>
      <c r="Y57" s="3"/>
      <c r="Z57" s="22">
        <f t="shared" si="3"/>
        <v>-1</v>
      </c>
    </row>
    <row r="58" spans="1:26" s="24" customFormat="1" hidden="1" outlineLevel="1" x14ac:dyDescent="0.25">
      <c r="A58" s="50"/>
      <c r="B58" s="11" t="str">
        <f>CONCATENATE("          ", "4113", " - ", "NON-TAXABLE SALES-TRADE BOOKS")</f>
        <v xml:space="preserve">          4113 - NON-TAXABLE SALES-TRADE BOOKS</v>
      </c>
      <c r="C58" s="11"/>
      <c r="D58" s="3">
        <f t="shared" si="16"/>
        <v>0</v>
      </c>
      <c r="E58" s="3"/>
      <c r="F58" s="22"/>
      <c r="G58" s="3"/>
      <c r="H58" s="3">
        <f>--1134</f>
        <v>1134</v>
      </c>
      <c r="I58" s="3"/>
      <c r="J58" s="22"/>
      <c r="K58" s="3"/>
      <c r="L58" s="3">
        <f t="shared" si="0"/>
        <v>-1134</v>
      </c>
      <c r="M58" s="3"/>
      <c r="N58" s="22">
        <f t="shared" si="1"/>
        <v>-1</v>
      </c>
      <c r="O58" s="11"/>
      <c r="P58" s="3">
        <f t="shared" si="17"/>
        <v>0</v>
      </c>
      <c r="Q58" s="3"/>
      <c r="R58" s="22"/>
      <c r="S58" s="3"/>
      <c r="T58" s="3">
        <f>--1134</f>
        <v>1134</v>
      </c>
      <c r="U58" s="3"/>
      <c r="V58" s="22"/>
      <c r="W58" s="3"/>
      <c r="X58" s="3">
        <f t="shared" si="2"/>
        <v>-1134</v>
      </c>
      <c r="Y58" s="3"/>
      <c r="Z58" s="22">
        <f t="shared" si="3"/>
        <v>-1</v>
      </c>
    </row>
    <row r="59" spans="1:26" s="24" customFormat="1" hidden="1" outlineLevel="1" x14ac:dyDescent="0.25">
      <c r="A59" s="50"/>
      <c r="B59" s="11" t="str">
        <f>CONCATENATE("          ", "4118", " - ", "NON-TAXABLE SALES-STUDY GUIDES")</f>
        <v xml:space="preserve">          4118 - NON-TAXABLE SALES-STUDY GUIDES</v>
      </c>
      <c r="C59" s="11"/>
      <c r="D59" s="3">
        <f>--53.96</f>
        <v>53.96</v>
      </c>
      <c r="E59" s="3"/>
      <c r="F59" s="22"/>
      <c r="G59" s="3"/>
      <c r="H59" s="3">
        <f>--6.95</f>
        <v>6.95</v>
      </c>
      <c r="I59" s="3"/>
      <c r="J59" s="22"/>
      <c r="K59" s="3"/>
      <c r="L59" s="3">
        <f t="shared" si="0"/>
        <v>47.01</v>
      </c>
      <c r="M59" s="3"/>
      <c r="N59" s="22">
        <f t="shared" si="1"/>
        <v>6.7640287769784164</v>
      </c>
      <c r="O59" s="11"/>
      <c r="P59" s="3">
        <f>--53.96</f>
        <v>53.96</v>
      </c>
      <c r="Q59" s="3"/>
      <c r="R59" s="22"/>
      <c r="S59" s="3"/>
      <c r="T59" s="3">
        <f>--6.95</f>
        <v>6.95</v>
      </c>
      <c r="U59" s="3"/>
      <c r="V59" s="22"/>
      <c r="W59" s="3"/>
      <c r="X59" s="3">
        <f t="shared" si="2"/>
        <v>47.01</v>
      </c>
      <c r="Y59" s="3"/>
      <c r="Z59" s="22">
        <f t="shared" si="3"/>
        <v>6.7640287769784164</v>
      </c>
    </row>
    <row r="60" spans="1:26" s="24" customFormat="1" hidden="1" outlineLevel="1" x14ac:dyDescent="0.25">
      <c r="A60" s="50"/>
      <c r="B60" s="11" t="str">
        <f>CONCATENATE("          ", "4125", " - ", "NON-TAXABLE SALES-TEST FORMS")</f>
        <v xml:space="preserve">          4125 - NON-TAXABLE SALES-TEST FORMS</v>
      </c>
      <c r="C60" s="11"/>
      <c r="D60" s="3">
        <f>0</f>
        <v>0</v>
      </c>
      <c r="E60" s="3"/>
      <c r="F60" s="22"/>
      <c r="G60" s="3"/>
      <c r="H60" s="3">
        <f>--4.98</f>
        <v>4.9800000000000004</v>
      </c>
      <c r="I60" s="3"/>
      <c r="J60" s="22"/>
      <c r="K60" s="3"/>
      <c r="L60" s="3">
        <f t="shared" si="0"/>
        <v>-4.9800000000000004</v>
      </c>
      <c r="M60" s="3"/>
      <c r="N60" s="22">
        <f t="shared" si="1"/>
        <v>-1</v>
      </c>
      <c r="O60" s="11"/>
      <c r="P60" s="3">
        <f>0</f>
        <v>0</v>
      </c>
      <c r="Q60" s="3"/>
      <c r="R60" s="22"/>
      <c r="S60" s="3"/>
      <c r="T60" s="3">
        <f>--4.98</f>
        <v>4.9800000000000004</v>
      </c>
      <c r="U60" s="3"/>
      <c r="V60" s="22"/>
      <c r="W60" s="3"/>
      <c r="X60" s="3">
        <f t="shared" si="2"/>
        <v>-4.9800000000000004</v>
      </c>
      <c r="Y60" s="3"/>
      <c r="Z60" s="22">
        <f t="shared" si="3"/>
        <v>-1</v>
      </c>
    </row>
    <row r="61" spans="1:26" s="24" customFormat="1" hidden="1" outlineLevel="1" x14ac:dyDescent="0.25">
      <c r="A61" s="50"/>
      <c r="B61" s="11" t="str">
        <f>CONCATENATE("          ", "4126", " - ", "NON-TAXABLE SALES-WRITING INST")</f>
        <v xml:space="preserve">          4126 - NON-TAXABLE SALES-WRITING INST</v>
      </c>
      <c r="C61" s="11"/>
      <c r="D61" s="3">
        <f>--52.68</f>
        <v>52.68</v>
      </c>
      <c r="E61" s="3"/>
      <c r="F61" s="22"/>
      <c r="G61" s="3"/>
      <c r="H61" s="3">
        <f>--167.03</f>
        <v>167.03</v>
      </c>
      <c r="I61" s="3"/>
      <c r="J61" s="22"/>
      <c r="K61" s="3"/>
      <c r="L61" s="3">
        <f t="shared" si="0"/>
        <v>-114.35</v>
      </c>
      <c r="M61" s="3"/>
      <c r="N61" s="22">
        <f t="shared" si="1"/>
        <v>-0.68460755552894681</v>
      </c>
      <c r="O61" s="11"/>
      <c r="P61" s="3">
        <f>--52.68</f>
        <v>52.68</v>
      </c>
      <c r="Q61" s="3"/>
      <c r="R61" s="22"/>
      <c r="S61" s="3"/>
      <c r="T61" s="3">
        <f>--167.03</f>
        <v>167.03</v>
      </c>
      <c r="U61" s="3"/>
      <c r="V61" s="22"/>
      <c r="W61" s="3"/>
      <c r="X61" s="3">
        <f t="shared" si="2"/>
        <v>-114.35</v>
      </c>
      <c r="Y61" s="3"/>
      <c r="Z61" s="22">
        <f t="shared" si="3"/>
        <v>-0.68460755552894681</v>
      </c>
    </row>
    <row r="62" spans="1:26" s="24" customFormat="1" hidden="1" outlineLevel="1" x14ac:dyDescent="0.25">
      <c r="A62" s="50"/>
      <c r="B62" s="11" t="str">
        <f>CONCATENATE("          ", "4127", " - ", "NON-TAXABLE SALES-SCHOOL SUPPL")</f>
        <v xml:space="preserve">          4127 - NON-TAXABLE SALES-SCHOOL SUPPL</v>
      </c>
      <c r="C62" s="11"/>
      <c r="D62" s="3">
        <f>--72.25</f>
        <v>72.25</v>
      </c>
      <c r="E62" s="3"/>
      <c r="F62" s="22"/>
      <c r="G62" s="3"/>
      <c r="H62" s="3">
        <f>--177.89</f>
        <v>177.89</v>
      </c>
      <c r="I62" s="3"/>
      <c r="J62" s="22"/>
      <c r="K62" s="3"/>
      <c r="L62" s="3">
        <f t="shared" si="0"/>
        <v>-105.63999999999999</v>
      </c>
      <c r="M62" s="3"/>
      <c r="N62" s="22">
        <f t="shared" si="1"/>
        <v>-0.5938501321041092</v>
      </c>
      <c r="O62" s="11"/>
      <c r="P62" s="3">
        <f>--72.25</f>
        <v>72.25</v>
      </c>
      <c r="Q62" s="3"/>
      <c r="R62" s="22"/>
      <c r="S62" s="3"/>
      <c r="T62" s="3">
        <f>--177.89</f>
        <v>177.89</v>
      </c>
      <c r="U62" s="3"/>
      <c r="V62" s="22"/>
      <c r="W62" s="3"/>
      <c r="X62" s="3">
        <f t="shared" si="2"/>
        <v>-105.63999999999999</v>
      </c>
      <c r="Y62" s="3"/>
      <c r="Z62" s="22">
        <f t="shared" si="3"/>
        <v>-0.5938501321041092</v>
      </c>
    </row>
    <row r="63" spans="1:26" s="24" customFormat="1" hidden="1" outlineLevel="1" x14ac:dyDescent="0.25">
      <c r="A63" s="50"/>
      <c r="B63" s="11" t="str">
        <f>CONCATENATE("          ", "4128", " - ", "NON-TAXABLE SALES-ART/TECH")</f>
        <v xml:space="preserve">          4128 - NON-TAXABLE SALES-ART/TECH</v>
      </c>
      <c r="C63" s="11"/>
      <c r="D63" s="3">
        <f>0</f>
        <v>0</v>
      </c>
      <c r="E63" s="3"/>
      <c r="F63" s="22"/>
      <c r="G63" s="3"/>
      <c r="H63" s="3">
        <f>--1.49</f>
        <v>1.49</v>
      </c>
      <c r="I63" s="3"/>
      <c r="J63" s="22"/>
      <c r="K63" s="3"/>
      <c r="L63" s="3">
        <f t="shared" si="0"/>
        <v>-1.49</v>
      </c>
      <c r="M63" s="3"/>
      <c r="N63" s="22">
        <f t="shared" si="1"/>
        <v>-1</v>
      </c>
      <c r="O63" s="11"/>
      <c r="P63" s="3">
        <f>0</f>
        <v>0</v>
      </c>
      <c r="Q63" s="3"/>
      <c r="R63" s="22"/>
      <c r="S63" s="3"/>
      <c r="T63" s="3">
        <f>--1.49</f>
        <v>1.49</v>
      </c>
      <c r="U63" s="3"/>
      <c r="V63" s="22"/>
      <c r="W63" s="3"/>
      <c r="X63" s="3">
        <f t="shared" si="2"/>
        <v>-1.49</v>
      </c>
      <c r="Y63" s="3"/>
      <c r="Z63" s="22">
        <f t="shared" si="3"/>
        <v>-1</v>
      </c>
    </row>
    <row r="64" spans="1:26" s="24" customFormat="1" hidden="1" outlineLevel="1" x14ac:dyDescent="0.25">
      <c r="A64" s="50"/>
      <c r="B64" s="11" t="str">
        <f>CONCATENATE("          ", "4131", " - ", "NON-TAXABLE SALES-FOOD")</f>
        <v xml:space="preserve">          4131 - NON-TAXABLE SALES-FOOD</v>
      </c>
      <c r="C64" s="11"/>
      <c r="D64" s="3">
        <f>--259.43</f>
        <v>259.43</v>
      </c>
      <c r="E64" s="3"/>
      <c r="F64" s="22"/>
      <c r="G64" s="3"/>
      <c r="H64" s="3">
        <f>--269.62</f>
        <v>269.62</v>
      </c>
      <c r="I64" s="3"/>
      <c r="J64" s="22"/>
      <c r="K64" s="3"/>
      <c r="L64" s="3">
        <f t="shared" si="0"/>
        <v>-10.189999999999998</v>
      </c>
      <c r="M64" s="3"/>
      <c r="N64" s="22">
        <f t="shared" si="1"/>
        <v>-3.7793932200875298E-2</v>
      </c>
      <c r="O64" s="11"/>
      <c r="P64" s="3">
        <f>--259.43</f>
        <v>259.43</v>
      </c>
      <c r="Q64" s="3"/>
      <c r="R64" s="22"/>
      <c r="S64" s="3"/>
      <c r="T64" s="3">
        <f>--269.62</f>
        <v>269.62</v>
      </c>
      <c r="U64" s="3"/>
      <c r="V64" s="22"/>
      <c r="W64" s="3"/>
      <c r="X64" s="3">
        <f t="shared" si="2"/>
        <v>-10.189999999999998</v>
      </c>
      <c r="Y64" s="3"/>
      <c r="Z64" s="22">
        <f t="shared" si="3"/>
        <v>-3.7793932200875298E-2</v>
      </c>
    </row>
    <row r="65" spans="1:26" s="24" customFormat="1" hidden="1" outlineLevel="1" x14ac:dyDescent="0.25">
      <c r="A65" s="50"/>
      <c r="B65" s="11" t="str">
        <f>CONCATENATE("          ", "4132", " - ", "NON-TAXABLE SALES-JUICE")</f>
        <v xml:space="preserve">          4132 - NON-TAXABLE SALES-JUICE</v>
      </c>
      <c r="C65" s="11"/>
      <c r="D65" s="3">
        <f>--22.49</f>
        <v>22.49</v>
      </c>
      <c r="E65" s="3"/>
      <c r="F65" s="22"/>
      <c r="G65" s="3"/>
      <c r="H65" s="3">
        <f>--32132.94</f>
        <v>32132.94</v>
      </c>
      <c r="I65" s="3"/>
      <c r="J65" s="22"/>
      <c r="K65" s="3"/>
      <c r="L65" s="3">
        <f t="shared" si="0"/>
        <v>-32110.449999999997</v>
      </c>
      <c r="M65" s="3"/>
      <c r="N65" s="22">
        <f t="shared" si="1"/>
        <v>-0.99930009516713991</v>
      </c>
      <c r="O65" s="11"/>
      <c r="P65" s="3">
        <f>--22.49</f>
        <v>22.49</v>
      </c>
      <c r="Q65" s="3"/>
      <c r="R65" s="22"/>
      <c r="S65" s="3"/>
      <c r="T65" s="3">
        <f>--32132.94</f>
        <v>32132.94</v>
      </c>
      <c r="U65" s="3"/>
      <c r="V65" s="22"/>
      <c r="W65" s="3"/>
      <c r="X65" s="3">
        <f t="shared" si="2"/>
        <v>-32110.449999999997</v>
      </c>
      <c r="Y65" s="3"/>
      <c r="Z65" s="22">
        <f t="shared" si="3"/>
        <v>-0.99930009516713991</v>
      </c>
    </row>
    <row r="66" spans="1:26" s="24" customFormat="1" hidden="1" outlineLevel="1" x14ac:dyDescent="0.25">
      <c r="A66" s="50"/>
      <c r="B66" s="11" t="str">
        <f>CONCATENATE("          ", "4133", " - ", "NON-TAXABLE SALES-CANDY")</f>
        <v xml:space="preserve">          4133 - NON-TAXABLE SALES-CANDY</v>
      </c>
      <c r="C66" s="11"/>
      <c r="D66" s="3">
        <f>--68.28</f>
        <v>68.28</v>
      </c>
      <c r="E66" s="3"/>
      <c r="F66" s="22"/>
      <c r="G66" s="3"/>
      <c r="H66" s="3">
        <f>--472.22</f>
        <v>472.22</v>
      </c>
      <c r="I66" s="3"/>
      <c r="J66" s="22"/>
      <c r="K66" s="3"/>
      <c r="L66" s="3">
        <f t="shared" si="0"/>
        <v>-403.94000000000005</v>
      </c>
      <c r="M66" s="3"/>
      <c r="N66" s="22">
        <f t="shared" si="1"/>
        <v>-0.85540637838295719</v>
      </c>
      <c r="O66" s="11"/>
      <c r="P66" s="3">
        <f>--68.28</f>
        <v>68.28</v>
      </c>
      <c r="Q66" s="3"/>
      <c r="R66" s="22"/>
      <c r="S66" s="3"/>
      <c r="T66" s="3">
        <f>--472.22</f>
        <v>472.22</v>
      </c>
      <c r="U66" s="3"/>
      <c r="V66" s="22"/>
      <c r="W66" s="3"/>
      <c r="X66" s="3">
        <f t="shared" si="2"/>
        <v>-403.94000000000005</v>
      </c>
      <c r="Y66" s="3"/>
      <c r="Z66" s="22">
        <f t="shared" si="3"/>
        <v>-0.85540637838295719</v>
      </c>
    </row>
    <row r="67" spans="1:26" s="24" customFormat="1" hidden="1" outlineLevel="1" x14ac:dyDescent="0.25">
      <c r="A67" s="50"/>
      <c r="B67" s="11" t="str">
        <f>CONCATENATE("          ", "4134", " - ", "NON-TAXABLE SALES-SODA")</f>
        <v xml:space="preserve">          4134 - NON-TAXABLE SALES-SODA</v>
      </c>
      <c r="C67" s="11"/>
      <c r="D67" s="3">
        <f>--45.53</f>
        <v>45.53</v>
      </c>
      <c r="E67" s="3"/>
      <c r="F67" s="22"/>
      <c r="G67" s="3"/>
      <c r="H67" s="3">
        <f>-3.39</f>
        <v>-3.39</v>
      </c>
      <c r="I67" s="3"/>
      <c r="J67" s="22"/>
      <c r="K67" s="3"/>
      <c r="L67" s="3">
        <f t="shared" si="0"/>
        <v>48.92</v>
      </c>
      <c r="M67" s="3"/>
      <c r="N67" s="22">
        <f t="shared" si="1"/>
        <v>-14.430678466076696</v>
      </c>
      <c r="O67" s="11"/>
      <c r="P67" s="3">
        <f>--45.53</f>
        <v>45.53</v>
      </c>
      <c r="Q67" s="3"/>
      <c r="R67" s="22"/>
      <c r="S67" s="3"/>
      <c r="T67" s="3">
        <f>-3.39</f>
        <v>-3.39</v>
      </c>
      <c r="U67" s="3"/>
      <c r="V67" s="22"/>
      <c r="W67" s="3"/>
      <c r="X67" s="3">
        <f t="shared" si="2"/>
        <v>48.92</v>
      </c>
      <c r="Y67" s="3"/>
      <c r="Z67" s="22">
        <f t="shared" si="3"/>
        <v>-14.430678466076696</v>
      </c>
    </row>
    <row r="68" spans="1:26" s="24" customFormat="1" hidden="1" outlineLevel="1" x14ac:dyDescent="0.25">
      <c r="A68" s="50"/>
      <c r="B68" s="11" t="str">
        <f>CONCATENATE("          ", "4135", " - ", "NON-TAXABLE SALES")</f>
        <v xml:space="preserve">          4135 - NON-TAXABLE SALES</v>
      </c>
      <c r="C68" s="11"/>
      <c r="D68" s="3">
        <f>0</f>
        <v>0</v>
      </c>
      <c r="E68" s="3"/>
      <c r="F68" s="22"/>
      <c r="G68" s="3"/>
      <c r="H68" s="3">
        <f>--21.54</f>
        <v>21.54</v>
      </c>
      <c r="I68" s="3"/>
      <c r="J68" s="22"/>
      <c r="K68" s="3"/>
      <c r="L68" s="3">
        <f t="shared" si="0"/>
        <v>-21.54</v>
      </c>
      <c r="M68" s="3"/>
      <c r="N68" s="22">
        <f t="shared" si="1"/>
        <v>-1</v>
      </c>
      <c r="O68" s="11"/>
      <c r="P68" s="3">
        <f>0</f>
        <v>0</v>
      </c>
      <c r="Q68" s="3"/>
      <c r="R68" s="22"/>
      <c r="S68" s="3"/>
      <c r="T68" s="3">
        <f>--21.54</f>
        <v>21.54</v>
      </c>
      <c r="U68" s="3"/>
      <c r="V68" s="22"/>
      <c r="W68" s="3"/>
      <c r="X68" s="3">
        <f t="shared" si="2"/>
        <v>-21.54</v>
      </c>
      <c r="Y68" s="3"/>
      <c r="Z68" s="22">
        <f t="shared" si="3"/>
        <v>-1</v>
      </c>
    </row>
    <row r="69" spans="1:26" s="24" customFormat="1" hidden="1" outlineLevel="1" x14ac:dyDescent="0.25">
      <c r="A69" s="50"/>
      <c r="B69" s="11" t="str">
        <f>CONCATENATE("          ", "4137", " - ", "NON-TAXABLE SALES-WATER")</f>
        <v xml:space="preserve">          4137 - NON-TAXABLE SALES-WATER</v>
      </c>
      <c r="C69" s="11"/>
      <c r="D69" s="3">
        <f>--68.25</f>
        <v>68.25</v>
      </c>
      <c r="E69" s="3"/>
      <c r="F69" s="22"/>
      <c r="G69" s="3"/>
      <c r="H69" s="3">
        <f>--263.52</f>
        <v>263.52</v>
      </c>
      <c r="I69" s="3"/>
      <c r="J69" s="22"/>
      <c r="K69" s="3"/>
      <c r="L69" s="3">
        <f t="shared" si="0"/>
        <v>-195.26999999999998</v>
      </c>
      <c r="M69" s="3"/>
      <c r="N69" s="22">
        <f t="shared" si="1"/>
        <v>-0.74100637522768664</v>
      </c>
      <c r="O69" s="11"/>
      <c r="P69" s="3">
        <f>--68.25</f>
        <v>68.25</v>
      </c>
      <c r="Q69" s="3"/>
      <c r="R69" s="22"/>
      <c r="S69" s="3"/>
      <c r="T69" s="3">
        <f>--263.52</f>
        <v>263.52</v>
      </c>
      <c r="U69" s="3"/>
      <c r="V69" s="22"/>
      <c r="W69" s="3"/>
      <c r="X69" s="3">
        <f t="shared" si="2"/>
        <v>-195.26999999999998</v>
      </c>
      <c r="Y69" s="3"/>
      <c r="Z69" s="22">
        <f t="shared" si="3"/>
        <v>-0.74100637522768664</v>
      </c>
    </row>
    <row r="70" spans="1:26" s="24" customFormat="1" hidden="1" outlineLevel="1" x14ac:dyDescent="0.25">
      <c r="A70" s="50"/>
      <c r="B70" s="11" t="str">
        <f>CONCATENATE("          ", "4140", " - ", "NON-TAXABLE SALES-LOGO CLOTHIN")</f>
        <v xml:space="preserve">          4140 - NON-TAXABLE SALES-LOGO CLOTHIN</v>
      </c>
      <c r="C70" s="11"/>
      <c r="D70" s="3">
        <f>--6846.24</f>
        <v>6846.24</v>
      </c>
      <c r="E70" s="3"/>
      <c r="F70" s="22"/>
      <c r="G70" s="3"/>
      <c r="H70" s="3">
        <f>--3163.67</f>
        <v>3163.67</v>
      </c>
      <c r="I70" s="3"/>
      <c r="J70" s="22"/>
      <c r="K70" s="3"/>
      <c r="L70" s="3">
        <f t="shared" si="0"/>
        <v>3682.5699999999997</v>
      </c>
      <c r="M70" s="3"/>
      <c r="N70" s="22">
        <f t="shared" si="1"/>
        <v>1.164018371069043</v>
      </c>
      <c r="O70" s="11"/>
      <c r="P70" s="3">
        <f>--6846.24</f>
        <v>6846.24</v>
      </c>
      <c r="Q70" s="3"/>
      <c r="R70" s="22"/>
      <c r="S70" s="3"/>
      <c r="T70" s="3">
        <f>--3163.67</f>
        <v>3163.67</v>
      </c>
      <c r="U70" s="3"/>
      <c r="V70" s="22"/>
      <c r="W70" s="3"/>
      <c r="X70" s="3">
        <f t="shared" si="2"/>
        <v>3682.5699999999997</v>
      </c>
      <c r="Y70" s="3"/>
      <c r="Z70" s="22">
        <f t="shared" si="3"/>
        <v>1.164018371069043</v>
      </c>
    </row>
    <row r="71" spans="1:26" s="24" customFormat="1" hidden="1" outlineLevel="1" x14ac:dyDescent="0.25">
      <c r="A71" s="50"/>
      <c r="B71" s="11" t="str">
        <f>CONCATENATE("          ", "4141", " - ", "NON-TAXABLE SALES-LOGO GIFTS")</f>
        <v xml:space="preserve">          4141 - NON-TAXABLE SALES-LOGO GIFTS</v>
      </c>
      <c r="C71" s="11"/>
      <c r="D71" s="3">
        <f>--1200.19</f>
        <v>1200.19</v>
      </c>
      <c r="E71" s="3"/>
      <c r="F71" s="22"/>
      <c r="G71" s="3"/>
      <c r="H71" s="3">
        <f>--262.15</f>
        <v>262.14999999999998</v>
      </c>
      <c r="I71" s="3"/>
      <c r="J71" s="22"/>
      <c r="K71" s="3"/>
      <c r="L71" s="3">
        <f t="shared" si="0"/>
        <v>938.04000000000008</v>
      </c>
      <c r="M71" s="3"/>
      <c r="N71" s="22">
        <f t="shared" si="1"/>
        <v>3.5782567232500484</v>
      </c>
      <c r="O71" s="11"/>
      <c r="P71" s="3">
        <f>--1200.19</f>
        <v>1200.19</v>
      </c>
      <c r="Q71" s="3"/>
      <c r="R71" s="22"/>
      <c r="S71" s="3"/>
      <c r="T71" s="3">
        <f>--262.15</f>
        <v>262.14999999999998</v>
      </c>
      <c r="U71" s="3"/>
      <c r="V71" s="22"/>
      <c r="W71" s="3"/>
      <c r="X71" s="3">
        <f t="shared" si="2"/>
        <v>938.04000000000008</v>
      </c>
      <c r="Y71" s="3"/>
      <c r="Z71" s="22">
        <f t="shared" si="3"/>
        <v>3.5782567232500484</v>
      </c>
    </row>
    <row r="72" spans="1:26" s="24" customFormat="1" hidden="1" outlineLevel="1" x14ac:dyDescent="0.25">
      <c r="A72" s="50"/>
      <c r="B72" s="11" t="str">
        <f>CONCATENATE("          ", "4142", " - ", "NON-TAXABLE SALES-EVERYDAY GIF")</f>
        <v xml:space="preserve">          4142 - NON-TAXABLE SALES-EVERYDAY GIF</v>
      </c>
      <c r="C72" s="11"/>
      <c r="D72" s="3">
        <f>--640.17</f>
        <v>640.16999999999996</v>
      </c>
      <c r="E72" s="3"/>
      <c r="F72" s="22"/>
      <c r="G72" s="3"/>
      <c r="H72" s="3">
        <f>--342.44</f>
        <v>342.44</v>
      </c>
      <c r="I72" s="3"/>
      <c r="J72" s="22"/>
      <c r="K72" s="3"/>
      <c r="L72" s="3">
        <f t="shared" si="0"/>
        <v>297.72999999999996</v>
      </c>
      <c r="M72" s="3"/>
      <c r="N72" s="22">
        <f t="shared" si="1"/>
        <v>0.86943698166102079</v>
      </c>
      <c r="O72" s="11"/>
      <c r="P72" s="3">
        <f>--640.17</f>
        <v>640.16999999999996</v>
      </c>
      <c r="Q72" s="3"/>
      <c r="R72" s="22"/>
      <c r="S72" s="3"/>
      <c r="T72" s="3">
        <f>--342.44</f>
        <v>342.44</v>
      </c>
      <c r="U72" s="3"/>
      <c r="V72" s="22"/>
      <c r="W72" s="3"/>
      <c r="X72" s="3">
        <f t="shared" si="2"/>
        <v>297.72999999999996</v>
      </c>
      <c r="Y72" s="3"/>
      <c r="Z72" s="22">
        <f t="shared" si="3"/>
        <v>0.86943698166102079</v>
      </c>
    </row>
    <row r="73" spans="1:26" s="24" customFormat="1" hidden="1" outlineLevel="1" x14ac:dyDescent="0.25">
      <c r="A73" s="50"/>
      <c r="B73" s="11" t="str">
        <f>CONCATENATE("          ", "4144", " - ", "NON-TAXABLE SALES-ACCESSORIES")</f>
        <v xml:space="preserve">          4144 - NON-TAXABLE SALES-ACCESSORIES</v>
      </c>
      <c r="C73" s="11"/>
      <c r="D73" s="3">
        <f>--47.85</f>
        <v>47.85</v>
      </c>
      <c r="E73" s="3"/>
      <c r="F73" s="22"/>
      <c r="G73" s="3"/>
      <c r="H73" s="3">
        <f>--21.9</f>
        <v>21.9</v>
      </c>
      <c r="I73" s="3"/>
      <c r="J73" s="22"/>
      <c r="K73" s="3"/>
      <c r="L73" s="3">
        <f t="shared" si="0"/>
        <v>25.950000000000003</v>
      </c>
      <c r="M73" s="3"/>
      <c r="N73" s="22">
        <f t="shared" si="1"/>
        <v>1.1849315068493154</v>
      </c>
      <c r="O73" s="11"/>
      <c r="P73" s="3">
        <f>--47.85</f>
        <v>47.85</v>
      </c>
      <c r="Q73" s="3"/>
      <c r="R73" s="22"/>
      <c r="S73" s="3"/>
      <c r="T73" s="3">
        <f>--21.9</f>
        <v>21.9</v>
      </c>
      <c r="U73" s="3"/>
      <c r="V73" s="22"/>
      <c r="W73" s="3"/>
      <c r="X73" s="3">
        <f t="shared" si="2"/>
        <v>25.950000000000003</v>
      </c>
      <c r="Y73" s="3"/>
      <c r="Z73" s="22">
        <f t="shared" si="3"/>
        <v>1.1849315068493154</v>
      </c>
    </row>
    <row r="74" spans="1:26" s="24" customFormat="1" hidden="1" outlineLevel="1" x14ac:dyDescent="0.25">
      <c r="A74" s="50"/>
      <c r="B74" s="11" t="str">
        <f>CONCATENATE("          ", "4145", " - ", "NON-TAXABLE SALES-SPECIAL ORDE")</f>
        <v xml:space="preserve">          4145 - NON-TAXABLE SALES-SPECIAL ORDE</v>
      </c>
      <c r="C74" s="11"/>
      <c r="D74" s="3">
        <f>--35496</f>
        <v>35496</v>
      </c>
      <c r="E74" s="3"/>
      <c r="F74" s="22"/>
      <c r="G74" s="3"/>
      <c r="H74" s="3">
        <f>0</f>
        <v>0</v>
      </c>
      <c r="I74" s="3"/>
      <c r="J74" s="22"/>
      <c r="K74" s="3"/>
      <c r="L74" s="3">
        <f t="shared" si="0"/>
        <v>35496</v>
      </c>
      <c r="M74" s="3"/>
      <c r="N74" s="22">
        <f t="shared" si="1"/>
        <v>0</v>
      </c>
      <c r="O74" s="11"/>
      <c r="P74" s="3">
        <f>--35496</f>
        <v>35496</v>
      </c>
      <c r="Q74" s="3"/>
      <c r="R74" s="22"/>
      <c r="S74" s="3"/>
      <c r="T74" s="3">
        <f>0</f>
        <v>0</v>
      </c>
      <c r="U74" s="3"/>
      <c r="V74" s="22"/>
      <c r="W74" s="3"/>
      <c r="X74" s="3">
        <f t="shared" si="2"/>
        <v>35496</v>
      </c>
      <c r="Y74" s="3"/>
      <c r="Z74" s="22">
        <f t="shared" si="3"/>
        <v>0</v>
      </c>
    </row>
    <row r="75" spans="1:26" s="24" customFormat="1" hidden="1" outlineLevel="1" x14ac:dyDescent="0.25">
      <c r="A75" s="50"/>
      <c r="B75" s="11" t="str">
        <f>CONCATENATE("          ", "4146", " - ", "NON-TAXABLE SALES-COIN OP MACH")</f>
        <v xml:space="preserve">          4146 - NON-TAXABLE SALES-COIN OP MACH</v>
      </c>
      <c r="C75" s="11"/>
      <c r="D75" s="3">
        <f>0</f>
        <v>0</v>
      </c>
      <c r="E75" s="3"/>
      <c r="F75" s="22"/>
      <c r="G75" s="3"/>
      <c r="H75" s="3">
        <f>--2067.1</f>
        <v>2067.1</v>
      </c>
      <c r="I75" s="3"/>
      <c r="J75" s="22"/>
      <c r="K75" s="3"/>
      <c r="L75" s="3">
        <f t="shared" si="0"/>
        <v>-2067.1</v>
      </c>
      <c r="M75" s="3"/>
      <c r="N75" s="22">
        <f t="shared" si="1"/>
        <v>-1</v>
      </c>
      <c r="O75" s="11"/>
      <c r="P75" s="3">
        <f>0</f>
        <v>0</v>
      </c>
      <c r="Q75" s="3"/>
      <c r="R75" s="22"/>
      <c r="S75" s="3"/>
      <c r="T75" s="3">
        <f>--2067.1</f>
        <v>2067.1</v>
      </c>
      <c r="U75" s="3"/>
      <c r="V75" s="22"/>
      <c r="W75" s="3"/>
      <c r="X75" s="3">
        <f t="shared" si="2"/>
        <v>-2067.1</v>
      </c>
      <c r="Y75" s="3"/>
      <c r="Z75" s="22">
        <f t="shared" si="3"/>
        <v>-1</v>
      </c>
    </row>
    <row r="76" spans="1:26" s="24" customFormat="1" hidden="1" outlineLevel="1" x14ac:dyDescent="0.25">
      <c r="A76" s="50"/>
      <c r="B76" s="11" t="str">
        <f>CONCATENATE("          ", "4147", " - ", "NON-TAXABLE SALES-MISC")</f>
        <v xml:space="preserve">          4147 - NON-TAXABLE SALES-MISC</v>
      </c>
      <c r="C76" s="11"/>
      <c r="D76" s="3">
        <f>--1</f>
        <v>1</v>
      </c>
      <c r="E76" s="3"/>
      <c r="F76" s="22"/>
      <c r="G76" s="3"/>
      <c r="H76" s="3">
        <f>--16.5</f>
        <v>16.5</v>
      </c>
      <c r="I76" s="3"/>
      <c r="J76" s="22"/>
      <c r="K76" s="3"/>
      <c r="L76" s="3">
        <f t="shared" si="0"/>
        <v>-15.5</v>
      </c>
      <c r="M76" s="3"/>
      <c r="N76" s="22">
        <f t="shared" si="1"/>
        <v>-0.93939393939393945</v>
      </c>
      <c r="O76" s="11"/>
      <c r="P76" s="3">
        <f>--1</f>
        <v>1</v>
      </c>
      <c r="Q76" s="3"/>
      <c r="R76" s="22"/>
      <c r="S76" s="3"/>
      <c r="T76" s="3">
        <f>--16.5</f>
        <v>16.5</v>
      </c>
      <c r="U76" s="3"/>
      <c r="V76" s="22"/>
      <c r="W76" s="3"/>
      <c r="X76" s="3">
        <f t="shared" si="2"/>
        <v>-15.5</v>
      </c>
      <c r="Y76" s="3"/>
      <c r="Z76" s="22">
        <f t="shared" si="3"/>
        <v>-0.93939393939393945</v>
      </c>
    </row>
    <row r="77" spans="1:26" s="24" customFormat="1" hidden="1" outlineLevel="1" x14ac:dyDescent="0.25">
      <c r="A77" s="50"/>
      <c r="B77" s="11" t="str">
        <f>CONCATENATE("          ", "4151", " - ", "NON-TAXABLE SALES-FOOD")</f>
        <v xml:space="preserve">          4151 - NON-TAXABLE SALES-FOOD</v>
      </c>
      <c r="C77" s="11"/>
      <c r="D77" s="3">
        <f>--1300</f>
        <v>1300</v>
      </c>
      <c r="E77" s="3"/>
      <c r="F77" s="22"/>
      <c r="G77" s="3"/>
      <c r="H77" s="3">
        <f>--535043.02</f>
        <v>535043.02</v>
      </c>
      <c r="I77" s="3"/>
      <c r="J77" s="22"/>
      <c r="K77" s="3"/>
      <c r="L77" s="3">
        <f t="shared" si="0"/>
        <v>-533743.02</v>
      </c>
      <c r="M77" s="3"/>
      <c r="N77" s="22">
        <f t="shared" si="1"/>
        <v>-0.99757028883397081</v>
      </c>
      <c r="O77" s="11"/>
      <c r="P77" s="3">
        <f>--1300</f>
        <v>1300</v>
      </c>
      <c r="Q77" s="3"/>
      <c r="R77" s="22"/>
      <c r="S77" s="3"/>
      <c r="T77" s="3">
        <f>--535043.02</f>
        <v>535043.02</v>
      </c>
      <c r="U77" s="3"/>
      <c r="V77" s="22"/>
      <c r="W77" s="3"/>
      <c r="X77" s="3">
        <f t="shared" si="2"/>
        <v>-533743.02</v>
      </c>
      <c r="Y77" s="3"/>
      <c r="Z77" s="22">
        <f t="shared" si="3"/>
        <v>-0.99757028883397081</v>
      </c>
    </row>
    <row r="78" spans="1:26" s="24" customFormat="1" hidden="1" outlineLevel="1" x14ac:dyDescent="0.25">
      <c r="A78" s="50"/>
      <c r="B78" s="11" t="str">
        <f>CONCATENATE("          ", "4152", " - ", "NON-TAXABLE SALES-FOOD")</f>
        <v xml:space="preserve">          4152 - NON-TAXABLE SALES-FOOD</v>
      </c>
      <c r="C78" s="11"/>
      <c r="D78" s="3">
        <f>0</f>
        <v>0</v>
      </c>
      <c r="E78" s="3"/>
      <c r="F78" s="22"/>
      <c r="G78" s="3"/>
      <c r="H78" s="3">
        <f>--3667.09</f>
        <v>3667.09</v>
      </c>
      <c r="I78" s="3"/>
      <c r="J78" s="22"/>
      <c r="K78" s="3"/>
      <c r="L78" s="3">
        <f t="shared" si="0"/>
        <v>-3667.09</v>
      </c>
      <c r="M78" s="3"/>
      <c r="N78" s="22">
        <f t="shared" si="1"/>
        <v>-1</v>
      </c>
      <c r="O78" s="11"/>
      <c r="P78" s="3">
        <f>0</f>
        <v>0</v>
      </c>
      <c r="Q78" s="3"/>
      <c r="R78" s="22"/>
      <c r="S78" s="3"/>
      <c r="T78" s="3">
        <f>--3667.09</f>
        <v>3667.09</v>
      </c>
      <c r="U78" s="3"/>
      <c r="V78" s="22"/>
      <c r="W78" s="3"/>
      <c r="X78" s="3">
        <f t="shared" si="2"/>
        <v>-3667.09</v>
      </c>
      <c r="Y78" s="3"/>
      <c r="Z78" s="22">
        <f t="shared" si="3"/>
        <v>-1</v>
      </c>
    </row>
    <row r="79" spans="1:26" s="24" customFormat="1" hidden="1" outlineLevel="1" x14ac:dyDescent="0.25">
      <c r="A79" s="50"/>
      <c r="B79" s="11" t="str">
        <f>CONCATENATE("          ", "4153", " - ", "NON-TAXABLE SALES-FOOD")</f>
        <v xml:space="preserve">          4153 - NON-TAXABLE SALES-FOOD</v>
      </c>
      <c r="C79" s="11"/>
      <c r="D79" s="3">
        <f>--17828.03</f>
        <v>17828.03</v>
      </c>
      <c r="E79" s="3"/>
      <c r="F79" s="22"/>
      <c r="G79" s="3"/>
      <c r="H79" s="3">
        <f>--19248.71</f>
        <v>19248.71</v>
      </c>
      <c r="I79" s="3"/>
      <c r="J79" s="22"/>
      <c r="K79" s="3"/>
      <c r="L79" s="3">
        <f t="shared" si="0"/>
        <v>-1420.6800000000003</v>
      </c>
      <c r="M79" s="3"/>
      <c r="N79" s="22">
        <f t="shared" si="1"/>
        <v>-7.3806504435881701E-2</v>
      </c>
      <c r="O79" s="11"/>
      <c r="P79" s="3">
        <f>--17828.03</f>
        <v>17828.03</v>
      </c>
      <c r="Q79" s="3"/>
      <c r="R79" s="22"/>
      <c r="S79" s="3"/>
      <c r="T79" s="3">
        <f>--19248.71</f>
        <v>19248.71</v>
      </c>
      <c r="U79" s="3"/>
      <c r="V79" s="22"/>
      <c r="W79" s="3"/>
      <c r="X79" s="3">
        <f t="shared" si="2"/>
        <v>-1420.6800000000003</v>
      </c>
      <c r="Y79" s="3"/>
      <c r="Z79" s="22">
        <f t="shared" si="3"/>
        <v>-7.3806504435881701E-2</v>
      </c>
    </row>
    <row r="80" spans="1:26" s="24" customFormat="1" hidden="1" outlineLevel="1" x14ac:dyDescent="0.25">
      <c r="A80" s="50"/>
      <c r="B80" s="11" t="str">
        <f>CONCATENATE("          ", "4155", " - ", "NON-TAXABLE SALES-FOOD")</f>
        <v xml:space="preserve">          4155 - NON-TAXABLE SALES-FOOD</v>
      </c>
      <c r="C80" s="11"/>
      <c r="D80" s="3">
        <f t="shared" ref="D80:D81" si="18">0</f>
        <v>0</v>
      </c>
      <c r="E80" s="3"/>
      <c r="F80" s="22"/>
      <c r="G80" s="3"/>
      <c r="H80" s="3">
        <f>--25636.66</f>
        <v>25636.66</v>
      </c>
      <c r="I80" s="3"/>
      <c r="J80" s="22"/>
      <c r="K80" s="3"/>
      <c r="L80" s="3">
        <f t="shared" si="0"/>
        <v>-25636.66</v>
      </c>
      <c r="M80" s="3"/>
      <c r="N80" s="22">
        <f t="shared" si="1"/>
        <v>-1</v>
      </c>
      <c r="O80" s="11"/>
      <c r="P80" s="3">
        <f t="shared" ref="P80:P81" si="19">0</f>
        <v>0</v>
      </c>
      <c r="Q80" s="3"/>
      <c r="R80" s="22"/>
      <c r="S80" s="3"/>
      <c r="T80" s="3">
        <f>--25636.66</f>
        <v>25636.66</v>
      </c>
      <c r="U80" s="3"/>
      <c r="V80" s="22"/>
      <c r="W80" s="3"/>
      <c r="X80" s="3">
        <f t="shared" si="2"/>
        <v>-25636.66</v>
      </c>
      <c r="Y80" s="3"/>
      <c r="Z80" s="22">
        <f t="shared" si="3"/>
        <v>-1</v>
      </c>
    </row>
    <row r="81" spans="1:26" s="24" customFormat="1" hidden="1" outlineLevel="1" x14ac:dyDescent="0.25">
      <c r="A81" s="50"/>
      <c r="B81" s="11" t="str">
        <f>CONCATENATE("          ", "4158", " - ", "NON-TAXABLE SALES-FOOD")</f>
        <v xml:space="preserve">          4158 - NON-TAXABLE SALES-FOOD</v>
      </c>
      <c r="C81" s="11"/>
      <c r="D81" s="3">
        <f t="shared" si="18"/>
        <v>0</v>
      </c>
      <c r="E81" s="3"/>
      <c r="F81" s="22"/>
      <c r="G81" s="3"/>
      <c r="H81" s="3">
        <f>--9559.69</f>
        <v>9559.69</v>
      </c>
      <c r="I81" s="3"/>
      <c r="J81" s="22"/>
      <c r="K81" s="3"/>
      <c r="L81" s="3">
        <f t="shared" si="0"/>
        <v>-9559.69</v>
      </c>
      <c r="M81" s="3"/>
      <c r="N81" s="22">
        <f t="shared" si="1"/>
        <v>-1</v>
      </c>
      <c r="O81" s="11"/>
      <c r="P81" s="3">
        <f t="shared" si="19"/>
        <v>0</v>
      </c>
      <c r="Q81" s="3"/>
      <c r="R81" s="22"/>
      <c r="S81" s="3"/>
      <c r="T81" s="3">
        <f>--9559.69</f>
        <v>9559.69</v>
      </c>
      <c r="U81" s="3"/>
      <c r="V81" s="22"/>
      <c r="W81" s="3"/>
      <c r="X81" s="3">
        <f t="shared" si="2"/>
        <v>-9559.69</v>
      </c>
      <c r="Y81" s="3"/>
      <c r="Z81" s="22">
        <f t="shared" si="3"/>
        <v>-1</v>
      </c>
    </row>
    <row r="82" spans="1:26" s="24" customFormat="1" hidden="1" outlineLevel="1" x14ac:dyDescent="0.25">
      <c r="A82" s="50"/>
      <c r="B82" s="11" t="str">
        <f>CONCATENATE("          ", "4181", " - ", "NON-TAXABLE SALES-ELECTRONICS")</f>
        <v xml:space="preserve">          4181 - NON-TAXABLE SALES-ELECTRONICS</v>
      </c>
      <c r="C82" s="11"/>
      <c r="D82" s="3">
        <f>--289.98</f>
        <v>289.98</v>
      </c>
      <c r="E82" s="3"/>
      <c r="F82" s="22"/>
      <c r="G82" s="3"/>
      <c r="H82" s="3">
        <f>--1302.61</f>
        <v>1302.6099999999999</v>
      </c>
      <c r="I82" s="3"/>
      <c r="J82" s="22"/>
      <c r="K82" s="3"/>
      <c r="L82" s="3">
        <f t="shared" si="0"/>
        <v>-1012.6299999999999</v>
      </c>
      <c r="M82" s="3"/>
      <c r="N82" s="22">
        <f t="shared" si="1"/>
        <v>-0.777385403152133</v>
      </c>
      <c r="O82" s="11"/>
      <c r="P82" s="3">
        <f>--289.98</f>
        <v>289.98</v>
      </c>
      <c r="Q82" s="3"/>
      <c r="R82" s="22"/>
      <c r="S82" s="3"/>
      <c r="T82" s="3">
        <f>--1302.61</f>
        <v>1302.6099999999999</v>
      </c>
      <c r="U82" s="3"/>
      <c r="V82" s="22"/>
      <c r="W82" s="3"/>
      <c r="X82" s="3">
        <f t="shared" si="2"/>
        <v>-1012.6299999999999</v>
      </c>
      <c r="Y82" s="3"/>
      <c r="Z82" s="22">
        <f t="shared" si="3"/>
        <v>-0.777385403152133</v>
      </c>
    </row>
    <row r="83" spans="1:26" s="24" customFormat="1" hidden="1" outlineLevel="1" x14ac:dyDescent="0.25">
      <c r="A83" s="50"/>
      <c r="B83" s="11" t="str">
        <f>CONCATENATE("          ", "4182", " - ", "NON-TAXABLE SALES-COMPUTER HAR")</f>
        <v xml:space="preserve">          4182 - NON-TAXABLE SALES-COMPUTER HAR</v>
      </c>
      <c r="C83" s="11"/>
      <c r="D83" s="3">
        <f>--35876.99</f>
        <v>35876.99</v>
      </c>
      <c r="E83" s="3"/>
      <c r="F83" s="22"/>
      <c r="G83" s="3"/>
      <c r="H83" s="3">
        <f>--10618</f>
        <v>10618</v>
      </c>
      <c r="I83" s="3"/>
      <c r="J83" s="22"/>
      <c r="K83" s="3"/>
      <c r="L83" s="3">
        <f t="shared" si="0"/>
        <v>25258.989999999998</v>
      </c>
      <c r="M83" s="3"/>
      <c r="N83" s="22">
        <f t="shared" si="1"/>
        <v>2.3788839706159348</v>
      </c>
      <c r="O83" s="11"/>
      <c r="P83" s="3">
        <f>--35876.99</f>
        <v>35876.99</v>
      </c>
      <c r="Q83" s="3"/>
      <c r="R83" s="22"/>
      <c r="S83" s="3"/>
      <c r="T83" s="3">
        <f>--10618</f>
        <v>10618</v>
      </c>
      <c r="U83" s="3"/>
      <c r="V83" s="22"/>
      <c r="W83" s="3"/>
      <c r="X83" s="3">
        <f t="shared" si="2"/>
        <v>25258.989999999998</v>
      </c>
      <c r="Y83" s="3"/>
      <c r="Z83" s="22">
        <f t="shared" si="3"/>
        <v>2.3788839706159348</v>
      </c>
    </row>
    <row r="84" spans="1:26" s="24" customFormat="1" hidden="1" outlineLevel="1" x14ac:dyDescent="0.25">
      <c r="A84" s="50"/>
      <c r="B84" s="11" t="str">
        <f>CONCATENATE("          ", "4183", " - ", "NON-TAXABLE SALES-COMPUTER EQU")</f>
        <v xml:space="preserve">          4183 - NON-TAXABLE SALES-COMPUTER EQU</v>
      </c>
      <c r="C84" s="11"/>
      <c r="D84" s="3">
        <f>--1359.85</f>
        <v>1359.85</v>
      </c>
      <c r="E84" s="3"/>
      <c r="F84" s="22"/>
      <c r="G84" s="3"/>
      <c r="H84" s="3">
        <f>--181.9</f>
        <v>181.9</v>
      </c>
      <c r="I84" s="3"/>
      <c r="J84" s="22"/>
      <c r="K84" s="3"/>
      <c r="L84" s="3">
        <f t="shared" si="0"/>
        <v>1177.9499999999998</v>
      </c>
      <c r="M84" s="3"/>
      <c r="N84" s="22">
        <f t="shared" si="1"/>
        <v>6.4758108851017031</v>
      </c>
      <c r="O84" s="11"/>
      <c r="P84" s="3">
        <f>--1359.85</f>
        <v>1359.85</v>
      </c>
      <c r="Q84" s="3"/>
      <c r="R84" s="22"/>
      <c r="S84" s="3"/>
      <c r="T84" s="3">
        <f>--181.9</f>
        <v>181.9</v>
      </c>
      <c r="U84" s="3"/>
      <c r="V84" s="22"/>
      <c r="W84" s="3"/>
      <c r="X84" s="3">
        <f t="shared" si="2"/>
        <v>1177.9499999999998</v>
      </c>
      <c r="Y84" s="3"/>
      <c r="Z84" s="22">
        <f t="shared" si="3"/>
        <v>6.4758108851017031</v>
      </c>
    </row>
    <row r="85" spans="1:26" s="24" customFormat="1" hidden="1" outlineLevel="1" x14ac:dyDescent="0.25">
      <c r="A85" s="50"/>
      <c r="B85" s="11" t="str">
        <f>CONCATENATE("          ", "4185", " - ", "NON-TAXABLE SALES-SOFTWARE")</f>
        <v xml:space="preserve">          4185 - NON-TAXABLE SALES-SOFTWARE</v>
      </c>
      <c r="C85" s="11"/>
      <c r="D85" s="3">
        <f>--6187.74</f>
        <v>6187.74</v>
      </c>
      <c r="E85" s="3"/>
      <c r="F85" s="22"/>
      <c r="G85" s="3"/>
      <c r="H85" s="3">
        <f>--752</f>
        <v>752</v>
      </c>
      <c r="I85" s="3"/>
      <c r="J85" s="22"/>
      <c r="K85" s="3"/>
      <c r="L85" s="3">
        <f t="shared" si="0"/>
        <v>5435.74</v>
      </c>
      <c r="M85" s="3"/>
      <c r="N85" s="22">
        <f t="shared" si="1"/>
        <v>7.228377659574468</v>
      </c>
      <c r="O85" s="11"/>
      <c r="P85" s="3">
        <f>--6187.74</f>
        <v>6187.74</v>
      </c>
      <c r="Q85" s="3"/>
      <c r="R85" s="22"/>
      <c r="S85" s="3"/>
      <c r="T85" s="3">
        <f>--752</f>
        <v>752</v>
      </c>
      <c r="U85" s="3"/>
      <c r="V85" s="22"/>
      <c r="W85" s="3"/>
      <c r="X85" s="3">
        <f t="shared" si="2"/>
        <v>5435.74</v>
      </c>
      <c r="Y85" s="3"/>
      <c r="Z85" s="22">
        <f t="shared" si="3"/>
        <v>7.228377659574468</v>
      </c>
    </row>
    <row r="86" spans="1:26" s="24" customFormat="1" hidden="1" outlineLevel="1" x14ac:dyDescent="0.25">
      <c r="A86" s="50"/>
      <c r="B86" s="11" t="str">
        <f>CONCATENATE("          ", "4186", " - ", "NON-TAXABLE SALES-COMPUTER SUP")</f>
        <v xml:space="preserve">          4186 - NON-TAXABLE SALES-COMPUTER SUP</v>
      </c>
      <c r="C86" s="11"/>
      <c r="D86" s="3">
        <f>--154.95</f>
        <v>154.94999999999999</v>
      </c>
      <c r="E86" s="3"/>
      <c r="F86" s="22"/>
      <c r="G86" s="3"/>
      <c r="H86" s="3">
        <f>--79.97</f>
        <v>79.97</v>
      </c>
      <c r="I86" s="3"/>
      <c r="J86" s="22"/>
      <c r="K86" s="3"/>
      <c r="L86" s="3">
        <f t="shared" si="0"/>
        <v>74.97999999999999</v>
      </c>
      <c r="M86" s="3"/>
      <c r="N86" s="22">
        <f t="shared" si="1"/>
        <v>0.93760160060022502</v>
      </c>
      <c r="O86" s="11"/>
      <c r="P86" s="3">
        <f>--154.95</f>
        <v>154.94999999999999</v>
      </c>
      <c r="Q86" s="3"/>
      <c r="R86" s="22"/>
      <c r="S86" s="3"/>
      <c r="T86" s="3">
        <f>--79.97</f>
        <v>79.97</v>
      </c>
      <c r="U86" s="3"/>
      <c r="V86" s="22"/>
      <c r="W86" s="3"/>
      <c r="X86" s="3">
        <f t="shared" si="2"/>
        <v>74.97999999999999</v>
      </c>
      <c r="Y86" s="3"/>
      <c r="Z86" s="22">
        <f t="shared" si="3"/>
        <v>0.93760160060022502</v>
      </c>
    </row>
    <row r="87" spans="1:26" s="24" customFormat="1" hidden="1" outlineLevel="1" x14ac:dyDescent="0.25">
      <c r="A87" s="50"/>
      <c r="B87" s="11" t="str">
        <f>CONCATENATE("          ", "4188", " - ", "NON-TAXABLE SALES-MUSIC")</f>
        <v xml:space="preserve">          4188 - NON-TAXABLE SALES-MUSIC</v>
      </c>
      <c r="C87" s="11"/>
      <c r="D87" s="3">
        <f>0</f>
        <v>0</v>
      </c>
      <c r="E87" s="3"/>
      <c r="F87" s="22"/>
      <c r="G87" s="3"/>
      <c r="H87" s="3">
        <f>--99.98</f>
        <v>99.98</v>
      </c>
      <c r="I87" s="3"/>
      <c r="J87" s="22"/>
      <c r="K87" s="3"/>
      <c r="L87" s="3">
        <f t="shared" si="0"/>
        <v>-99.98</v>
      </c>
      <c r="M87" s="3"/>
      <c r="N87" s="22">
        <f t="shared" si="1"/>
        <v>-1</v>
      </c>
      <c r="O87" s="11"/>
      <c r="P87" s="3">
        <f>0</f>
        <v>0</v>
      </c>
      <c r="Q87" s="3"/>
      <c r="R87" s="22"/>
      <c r="S87" s="3"/>
      <c r="T87" s="3">
        <f>--99.98</f>
        <v>99.98</v>
      </c>
      <c r="U87" s="3"/>
      <c r="V87" s="22"/>
      <c r="W87" s="3"/>
      <c r="X87" s="3">
        <f t="shared" si="2"/>
        <v>-99.98</v>
      </c>
      <c r="Y87" s="3"/>
      <c r="Z87" s="22">
        <f t="shared" si="3"/>
        <v>-1</v>
      </c>
    </row>
    <row r="88" spans="1:26" s="24" customFormat="1" hidden="1" outlineLevel="1" x14ac:dyDescent="0.25">
      <c r="A88" s="50"/>
      <c r="B88" s="11" t="str">
        <f>CONCATENATE("          ", "4201", " - ", "SALES RETURN TAXABLE-NEW TEXT")</f>
        <v xml:space="preserve">          4201 - SALES RETURN TAXABLE-NEW TEXT</v>
      </c>
      <c r="C88" s="11"/>
      <c r="D88" s="3">
        <f>-633.4</f>
        <v>-633.4</v>
      </c>
      <c r="E88" s="3"/>
      <c r="F88" s="22"/>
      <c r="G88" s="3"/>
      <c r="H88" s="3">
        <f>-607.15</f>
        <v>-607.15</v>
      </c>
      <c r="I88" s="3"/>
      <c r="J88" s="22"/>
      <c r="K88" s="3"/>
      <c r="L88" s="3">
        <f t="shared" si="0"/>
        <v>-26.25</v>
      </c>
      <c r="M88" s="3"/>
      <c r="N88" s="22">
        <f t="shared" si="1"/>
        <v>4.3234785473112082E-2</v>
      </c>
      <c r="O88" s="11"/>
      <c r="P88" s="3">
        <f>-633.4</f>
        <v>-633.4</v>
      </c>
      <c r="Q88" s="3"/>
      <c r="R88" s="22"/>
      <c r="S88" s="3"/>
      <c r="T88" s="3">
        <f>-607.15</f>
        <v>-607.15</v>
      </c>
      <c r="U88" s="3"/>
      <c r="V88" s="22"/>
      <c r="W88" s="3"/>
      <c r="X88" s="3">
        <f t="shared" si="2"/>
        <v>-26.25</v>
      </c>
      <c r="Y88" s="3"/>
      <c r="Z88" s="22">
        <f t="shared" si="3"/>
        <v>4.3234785473112082E-2</v>
      </c>
    </row>
    <row r="89" spans="1:26" s="24" customFormat="1" hidden="1" outlineLevel="1" x14ac:dyDescent="0.25">
      <c r="A89" s="50"/>
      <c r="B89" s="11" t="str">
        <f>CONCATENATE("          ", "4202", " - ", "SALES RETURN TAXABLE-USED TEXT")</f>
        <v xml:space="preserve">          4202 - SALES RETURN TAXABLE-USED TEXT</v>
      </c>
      <c r="C89" s="11"/>
      <c r="D89" s="3">
        <f>-178.35</f>
        <v>-178.35</v>
      </c>
      <c r="E89" s="3"/>
      <c r="F89" s="22"/>
      <c r="G89" s="3"/>
      <c r="H89" s="3">
        <f>-721.45</f>
        <v>-721.45</v>
      </c>
      <c r="I89" s="3"/>
      <c r="J89" s="22"/>
      <c r="K89" s="3"/>
      <c r="L89" s="3">
        <f t="shared" si="0"/>
        <v>543.1</v>
      </c>
      <c r="M89" s="3"/>
      <c r="N89" s="22">
        <f t="shared" si="1"/>
        <v>-0.75278952110333353</v>
      </c>
      <c r="O89" s="11"/>
      <c r="P89" s="3">
        <f>-178.35</f>
        <v>-178.35</v>
      </c>
      <c r="Q89" s="3"/>
      <c r="R89" s="22"/>
      <c r="S89" s="3"/>
      <c r="T89" s="3">
        <f>-721.45</f>
        <v>-721.45</v>
      </c>
      <c r="U89" s="3"/>
      <c r="V89" s="22"/>
      <c r="W89" s="3"/>
      <c r="X89" s="3">
        <f t="shared" si="2"/>
        <v>543.1</v>
      </c>
      <c r="Y89" s="3"/>
      <c r="Z89" s="22">
        <f t="shared" si="3"/>
        <v>-0.75278952110333353</v>
      </c>
    </row>
    <row r="90" spans="1:26" s="24" customFormat="1" hidden="1" outlineLevel="1" x14ac:dyDescent="0.25">
      <c r="A90" s="50"/>
      <c r="B90" s="11" t="str">
        <f>CONCATENATE("          ", "4225", " - ", "SALES RETURN TAXABLE-TEST FORM")</f>
        <v xml:space="preserve">          4225 - SALES RETURN TAXABLE-TEST FORM</v>
      </c>
      <c r="C90" s="11"/>
      <c r="D90" s="3">
        <f>0</f>
        <v>0</v>
      </c>
      <c r="E90" s="3"/>
      <c r="F90" s="22"/>
      <c r="G90" s="3"/>
      <c r="H90" s="3">
        <f>-4.08</f>
        <v>-4.08</v>
      </c>
      <c r="I90" s="3"/>
      <c r="J90" s="22"/>
      <c r="K90" s="3"/>
      <c r="L90" s="3">
        <f t="shared" si="0"/>
        <v>4.08</v>
      </c>
      <c r="M90" s="3"/>
      <c r="N90" s="22">
        <f t="shared" si="1"/>
        <v>-1</v>
      </c>
      <c r="O90" s="11"/>
      <c r="P90" s="3">
        <f>0</f>
        <v>0</v>
      </c>
      <c r="Q90" s="3"/>
      <c r="R90" s="22"/>
      <c r="S90" s="3"/>
      <c r="T90" s="3">
        <f>-4.08</f>
        <v>-4.08</v>
      </c>
      <c r="U90" s="3"/>
      <c r="V90" s="22"/>
      <c r="W90" s="3"/>
      <c r="X90" s="3">
        <f t="shared" si="2"/>
        <v>4.08</v>
      </c>
      <c r="Y90" s="3"/>
      <c r="Z90" s="22">
        <f t="shared" si="3"/>
        <v>-1</v>
      </c>
    </row>
    <row r="91" spans="1:26" s="24" customFormat="1" hidden="1" outlineLevel="1" x14ac:dyDescent="0.25">
      <c r="A91" s="50"/>
      <c r="B91" s="11" t="str">
        <f>CONCATENATE("          ", "4226", " - ", "SALES RETURN TAXABLE-WRITING I")</f>
        <v xml:space="preserve">          4226 - SALES RETURN TAXABLE-WRITING I</v>
      </c>
      <c r="C91" s="11"/>
      <c r="D91" s="3">
        <f>-6.38</f>
        <v>-6.38</v>
      </c>
      <c r="E91" s="3"/>
      <c r="F91" s="22"/>
      <c r="G91" s="3"/>
      <c r="H91" s="3">
        <f>-63.93</f>
        <v>-63.93</v>
      </c>
      <c r="I91" s="3"/>
      <c r="J91" s="22"/>
      <c r="K91" s="3"/>
      <c r="L91" s="3">
        <f t="shared" si="0"/>
        <v>57.55</v>
      </c>
      <c r="M91" s="3"/>
      <c r="N91" s="22">
        <f t="shared" si="1"/>
        <v>-0.90020334741123098</v>
      </c>
      <c r="O91" s="11"/>
      <c r="P91" s="3">
        <f>-6.38</f>
        <v>-6.38</v>
      </c>
      <c r="Q91" s="3"/>
      <c r="R91" s="22"/>
      <c r="S91" s="3"/>
      <c r="T91" s="3">
        <f>-63.93</f>
        <v>-63.93</v>
      </c>
      <c r="U91" s="3"/>
      <c r="V91" s="22"/>
      <c r="W91" s="3"/>
      <c r="X91" s="3">
        <f t="shared" si="2"/>
        <v>57.55</v>
      </c>
      <c r="Y91" s="3"/>
      <c r="Z91" s="22">
        <f t="shared" si="3"/>
        <v>-0.90020334741123098</v>
      </c>
    </row>
    <row r="92" spans="1:26" s="24" customFormat="1" hidden="1" outlineLevel="1" x14ac:dyDescent="0.25">
      <c r="A92" s="50"/>
      <c r="B92" s="11" t="str">
        <f>CONCATENATE("          ", "4227", " - ", "SALES RETURN TAXABLE-SCHOOL SU")</f>
        <v xml:space="preserve">          4227 - SALES RETURN TAXABLE-SCHOOL SU</v>
      </c>
      <c r="C92" s="11"/>
      <c r="D92" s="3">
        <f>-56.77</f>
        <v>-56.77</v>
      </c>
      <c r="E92" s="3"/>
      <c r="F92" s="22"/>
      <c r="G92" s="3"/>
      <c r="H92" s="3">
        <f>-165.44</f>
        <v>-165.44</v>
      </c>
      <c r="I92" s="3"/>
      <c r="J92" s="22"/>
      <c r="K92" s="3"/>
      <c r="L92" s="3">
        <f t="shared" si="0"/>
        <v>108.66999999999999</v>
      </c>
      <c r="M92" s="3"/>
      <c r="N92" s="22">
        <f t="shared" si="1"/>
        <v>-0.65685444874274657</v>
      </c>
      <c r="O92" s="11"/>
      <c r="P92" s="3">
        <f>-56.77</f>
        <v>-56.77</v>
      </c>
      <c r="Q92" s="3"/>
      <c r="R92" s="22"/>
      <c r="S92" s="3"/>
      <c r="T92" s="3">
        <f>-165.44</f>
        <v>-165.44</v>
      </c>
      <c r="U92" s="3"/>
      <c r="V92" s="22"/>
      <c r="W92" s="3"/>
      <c r="X92" s="3">
        <f t="shared" si="2"/>
        <v>108.66999999999999</v>
      </c>
      <c r="Y92" s="3"/>
      <c r="Z92" s="22">
        <f t="shared" si="3"/>
        <v>-0.65685444874274657</v>
      </c>
    </row>
    <row r="93" spans="1:26" s="24" customFormat="1" hidden="1" outlineLevel="1" x14ac:dyDescent="0.25">
      <c r="A93" s="50"/>
      <c r="B93" s="11" t="str">
        <f>CONCATENATE("          ", "4228", " - ", "SALES RETURN TAXABLE-ART/TECH")</f>
        <v xml:space="preserve">          4228 - SALES RETURN TAXABLE-ART/TECH</v>
      </c>
      <c r="C93" s="11"/>
      <c r="D93" s="3">
        <f>0</f>
        <v>0</v>
      </c>
      <c r="E93" s="3"/>
      <c r="F93" s="22"/>
      <c r="G93" s="3"/>
      <c r="H93" s="3">
        <f>-10.37</f>
        <v>-10.37</v>
      </c>
      <c r="I93" s="3"/>
      <c r="J93" s="22"/>
      <c r="K93" s="3"/>
      <c r="L93" s="3">
        <f t="shared" si="0"/>
        <v>10.37</v>
      </c>
      <c r="M93" s="3"/>
      <c r="N93" s="22">
        <f t="shared" si="1"/>
        <v>-1</v>
      </c>
      <c r="O93" s="11"/>
      <c r="P93" s="3">
        <f>0</f>
        <v>0</v>
      </c>
      <c r="Q93" s="3"/>
      <c r="R93" s="22"/>
      <c r="S93" s="3"/>
      <c r="T93" s="3">
        <f>-10.37</f>
        <v>-10.37</v>
      </c>
      <c r="U93" s="3"/>
      <c r="V93" s="22"/>
      <c r="W93" s="3"/>
      <c r="X93" s="3">
        <f t="shared" si="2"/>
        <v>10.37</v>
      </c>
      <c r="Y93" s="3"/>
      <c r="Z93" s="22">
        <f t="shared" si="3"/>
        <v>-1</v>
      </c>
    </row>
    <row r="94" spans="1:26" s="24" customFormat="1" hidden="1" outlineLevel="1" x14ac:dyDescent="0.25">
      <c r="A94" s="50"/>
      <c r="B94" s="11" t="str">
        <f>CONCATENATE("          ", "4240", " - ", "SALES RETURN TAXABLE-LOGO CLOT")</f>
        <v xml:space="preserve">          4240 - SALES RETURN TAXABLE-LOGO CLOT</v>
      </c>
      <c r="C94" s="11"/>
      <c r="D94" s="3">
        <f>-3368.1</f>
        <v>-3368.1</v>
      </c>
      <c r="E94" s="3"/>
      <c r="F94" s="22"/>
      <c r="G94" s="3"/>
      <c r="H94" s="3">
        <f>-4446.84</f>
        <v>-4446.84</v>
      </c>
      <c r="I94" s="3"/>
      <c r="J94" s="22"/>
      <c r="K94" s="3"/>
      <c r="L94" s="3">
        <f t="shared" si="0"/>
        <v>1078.7400000000002</v>
      </c>
      <c r="M94" s="3"/>
      <c r="N94" s="22">
        <f t="shared" si="1"/>
        <v>-0.24258574628275364</v>
      </c>
      <c r="O94" s="11"/>
      <c r="P94" s="3">
        <f>-3368.1</f>
        <v>-3368.1</v>
      </c>
      <c r="Q94" s="3"/>
      <c r="R94" s="22"/>
      <c r="S94" s="3"/>
      <c r="T94" s="3">
        <f>-4446.84</f>
        <v>-4446.84</v>
      </c>
      <c r="U94" s="3"/>
      <c r="V94" s="22"/>
      <c r="W94" s="3"/>
      <c r="X94" s="3">
        <f t="shared" si="2"/>
        <v>1078.7400000000002</v>
      </c>
      <c r="Y94" s="3"/>
      <c r="Z94" s="22">
        <f t="shared" si="3"/>
        <v>-0.24258574628275364</v>
      </c>
    </row>
    <row r="95" spans="1:26" s="24" customFormat="1" hidden="1" outlineLevel="1" x14ac:dyDescent="0.25">
      <c r="A95" s="50"/>
      <c r="B95" s="11" t="str">
        <f>CONCATENATE("          ", "4241", " - ", "SALES RETURN TAXABLE-LOGO GIFT")</f>
        <v xml:space="preserve">          4241 - SALES RETURN TAXABLE-LOGO GIFT</v>
      </c>
      <c r="C95" s="11"/>
      <c r="D95" s="3">
        <f>-341.98</f>
        <v>-341.98</v>
      </c>
      <c r="E95" s="3"/>
      <c r="F95" s="22"/>
      <c r="G95" s="3"/>
      <c r="H95" s="3">
        <f>-718.9</f>
        <v>-718.9</v>
      </c>
      <c r="I95" s="3"/>
      <c r="J95" s="22"/>
      <c r="K95" s="3"/>
      <c r="L95" s="3">
        <f t="shared" si="0"/>
        <v>376.91999999999996</v>
      </c>
      <c r="M95" s="3"/>
      <c r="N95" s="22">
        <f t="shared" si="1"/>
        <v>-0.52430101544025587</v>
      </c>
      <c r="O95" s="11"/>
      <c r="P95" s="3">
        <f>-341.98</f>
        <v>-341.98</v>
      </c>
      <c r="Q95" s="3"/>
      <c r="R95" s="22"/>
      <c r="S95" s="3"/>
      <c r="T95" s="3">
        <f>-718.9</f>
        <v>-718.9</v>
      </c>
      <c r="U95" s="3"/>
      <c r="V95" s="22"/>
      <c r="W95" s="3"/>
      <c r="X95" s="3">
        <f t="shared" si="2"/>
        <v>376.91999999999996</v>
      </c>
      <c r="Y95" s="3"/>
      <c r="Z95" s="22">
        <f t="shared" si="3"/>
        <v>-0.52430101544025587</v>
      </c>
    </row>
    <row r="96" spans="1:26" s="24" customFormat="1" hidden="1" outlineLevel="1" x14ac:dyDescent="0.25">
      <c r="A96" s="50"/>
      <c r="B96" s="11" t="str">
        <f>CONCATENATE("          ", "4242", " - ", "SALES RETURN TAXABLE-EVERYDAY")</f>
        <v xml:space="preserve">          4242 - SALES RETURN TAXABLE-EVERYDAY</v>
      </c>
      <c r="C96" s="11"/>
      <c r="D96" s="3">
        <f>-178.96</f>
        <v>-178.96</v>
      </c>
      <c r="E96" s="3"/>
      <c r="F96" s="22"/>
      <c r="G96" s="3"/>
      <c r="H96" s="3">
        <f>-373.98</f>
        <v>-373.98</v>
      </c>
      <c r="I96" s="3"/>
      <c r="J96" s="22"/>
      <c r="K96" s="3"/>
      <c r="L96" s="3">
        <f t="shared" si="0"/>
        <v>195.02</v>
      </c>
      <c r="M96" s="3"/>
      <c r="N96" s="22">
        <f t="shared" si="1"/>
        <v>-0.52147173645649503</v>
      </c>
      <c r="O96" s="11"/>
      <c r="P96" s="3">
        <f>-178.96</f>
        <v>-178.96</v>
      </c>
      <c r="Q96" s="3"/>
      <c r="R96" s="22"/>
      <c r="S96" s="3"/>
      <c r="T96" s="3">
        <f>-373.98</f>
        <v>-373.98</v>
      </c>
      <c r="U96" s="3"/>
      <c r="V96" s="22"/>
      <c r="W96" s="3"/>
      <c r="X96" s="3">
        <f t="shared" si="2"/>
        <v>195.02</v>
      </c>
      <c r="Y96" s="3"/>
      <c r="Z96" s="22">
        <f t="shared" si="3"/>
        <v>-0.52147173645649503</v>
      </c>
    </row>
    <row r="97" spans="1:26" s="24" customFormat="1" hidden="1" outlineLevel="1" x14ac:dyDescent="0.25">
      <c r="A97" s="50"/>
      <c r="B97" s="11" t="str">
        <f>CONCATENATE("          ", "4244", " - ", "SALES RETURN TAXABLE-ACCESSORI")</f>
        <v xml:space="preserve">          4244 - SALES RETURN TAXABLE-ACCESSORI</v>
      </c>
      <c r="C97" s="11"/>
      <c r="D97" s="3">
        <f>0</f>
        <v>0</v>
      </c>
      <c r="E97" s="3"/>
      <c r="F97" s="22"/>
      <c r="G97" s="3"/>
      <c r="H97" s="3">
        <f>-106.79</f>
        <v>-106.79</v>
      </c>
      <c r="I97" s="3"/>
      <c r="J97" s="22"/>
      <c r="K97" s="3"/>
      <c r="L97" s="3">
        <f t="shared" si="0"/>
        <v>106.79</v>
      </c>
      <c r="M97" s="3"/>
      <c r="N97" s="22">
        <f t="shared" si="1"/>
        <v>-1</v>
      </c>
      <c r="O97" s="11"/>
      <c r="P97" s="3">
        <f>0</f>
        <v>0</v>
      </c>
      <c r="Q97" s="3"/>
      <c r="R97" s="22"/>
      <c r="S97" s="3"/>
      <c r="T97" s="3">
        <f>-106.79</f>
        <v>-106.79</v>
      </c>
      <c r="U97" s="3"/>
      <c r="V97" s="22"/>
      <c r="W97" s="3"/>
      <c r="X97" s="3">
        <f t="shared" si="2"/>
        <v>106.79</v>
      </c>
      <c r="Y97" s="3"/>
      <c r="Z97" s="22">
        <f t="shared" si="3"/>
        <v>-1</v>
      </c>
    </row>
    <row r="98" spans="1:26" s="24" customFormat="1" hidden="1" outlineLevel="1" x14ac:dyDescent="0.25">
      <c r="A98" s="50"/>
      <c r="B98" s="11" t="str">
        <f>CONCATENATE("          ", "4245", " - ", "SALES RETURN TAXABLE-SPECIAL O")</f>
        <v xml:space="preserve">          4245 - SALES RETURN TAXABLE-SPECIAL O</v>
      </c>
      <c r="C98" s="11"/>
      <c r="D98" s="3">
        <f>-1121</f>
        <v>-1121</v>
      </c>
      <c r="E98" s="3"/>
      <c r="F98" s="22"/>
      <c r="G98" s="3"/>
      <c r="H98" s="3">
        <f>0</f>
        <v>0</v>
      </c>
      <c r="I98" s="3"/>
      <c r="J98" s="22"/>
      <c r="K98" s="3"/>
      <c r="L98" s="3">
        <f t="shared" si="0"/>
        <v>-1121</v>
      </c>
      <c r="M98" s="3"/>
      <c r="N98" s="22">
        <f t="shared" si="1"/>
        <v>0</v>
      </c>
      <c r="O98" s="11"/>
      <c r="P98" s="3">
        <f>-1121</f>
        <v>-1121</v>
      </c>
      <c r="Q98" s="3"/>
      <c r="R98" s="22"/>
      <c r="S98" s="3"/>
      <c r="T98" s="3">
        <f>0</f>
        <v>0</v>
      </c>
      <c r="U98" s="3"/>
      <c r="V98" s="22"/>
      <c r="W98" s="3"/>
      <c r="X98" s="3">
        <f t="shared" si="2"/>
        <v>-1121</v>
      </c>
      <c r="Y98" s="3"/>
      <c r="Z98" s="22">
        <f t="shared" si="3"/>
        <v>0</v>
      </c>
    </row>
    <row r="99" spans="1:26" s="24" customFormat="1" hidden="1" outlineLevel="1" x14ac:dyDescent="0.25">
      <c r="A99" s="50"/>
      <c r="B99" s="11" t="str">
        <f>CONCATENATE("          ", "4281", " - ", "SALES RETURN TAXABLE-ELECTRONI")</f>
        <v xml:space="preserve">          4281 - SALES RETURN TAXABLE-ELECTRONI</v>
      </c>
      <c r="C99" s="11"/>
      <c r="D99" s="3">
        <f>-6291.99</f>
        <v>-6291.99</v>
      </c>
      <c r="E99" s="3"/>
      <c r="F99" s="22"/>
      <c r="G99" s="3"/>
      <c r="H99" s="3">
        <f>-1658.99</f>
        <v>-1658.99</v>
      </c>
      <c r="I99" s="3"/>
      <c r="J99" s="22"/>
      <c r="K99" s="3"/>
      <c r="L99" s="3">
        <f t="shared" si="0"/>
        <v>-4633</v>
      </c>
      <c r="M99" s="3"/>
      <c r="N99" s="22">
        <f t="shared" si="1"/>
        <v>2.7926630058047368</v>
      </c>
      <c r="O99" s="11"/>
      <c r="P99" s="3">
        <f>-6291.99</f>
        <v>-6291.99</v>
      </c>
      <c r="Q99" s="3"/>
      <c r="R99" s="22"/>
      <c r="S99" s="3"/>
      <c r="T99" s="3">
        <f>-1658.99</f>
        <v>-1658.99</v>
      </c>
      <c r="U99" s="3"/>
      <c r="V99" s="22"/>
      <c r="W99" s="3"/>
      <c r="X99" s="3">
        <f t="shared" si="2"/>
        <v>-4633</v>
      </c>
      <c r="Y99" s="3"/>
      <c r="Z99" s="22">
        <f t="shared" si="3"/>
        <v>2.7926630058047368</v>
      </c>
    </row>
    <row r="100" spans="1:26" s="24" customFormat="1" hidden="1" outlineLevel="1" x14ac:dyDescent="0.25">
      <c r="A100" s="50"/>
      <c r="B100" s="11" t="str">
        <f>CONCATENATE("          ", "4282", " - ", "SALES RETURN TAXABLE-COMPUTER")</f>
        <v xml:space="preserve">          4282 - SALES RETURN TAXABLE-COMPUTER</v>
      </c>
      <c r="C100" s="11"/>
      <c r="D100" s="3">
        <f>-18207</f>
        <v>-18207</v>
      </c>
      <c r="E100" s="3"/>
      <c r="F100" s="22"/>
      <c r="G100" s="3"/>
      <c r="H100" s="3">
        <f>-70341.06</f>
        <v>-70341.06</v>
      </c>
      <c r="I100" s="3"/>
      <c r="J100" s="22"/>
      <c r="K100" s="3"/>
      <c r="L100" s="3">
        <f t="shared" si="0"/>
        <v>52134.06</v>
      </c>
      <c r="M100" s="3"/>
      <c r="N100" s="22">
        <f t="shared" si="1"/>
        <v>-0.7411611368950084</v>
      </c>
      <c r="O100" s="11"/>
      <c r="P100" s="3">
        <f>-18207</f>
        <v>-18207</v>
      </c>
      <c r="Q100" s="3"/>
      <c r="R100" s="22"/>
      <c r="S100" s="3"/>
      <c r="T100" s="3">
        <f>-70341.06</f>
        <v>-70341.06</v>
      </c>
      <c r="U100" s="3"/>
      <c r="V100" s="22"/>
      <c r="W100" s="3"/>
      <c r="X100" s="3">
        <f t="shared" si="2"/>
        <v>52134.06</v>
      </c>
      <c r="Y100" s="3"/>
      <c r="Z100" s="22">
        <f t="shared" si="3"/>
        <v>-0.7411611368950084</v>
      </c>
    </row>
    <row r="101" spans="1:26" s="24" customFormat="1" hidden="1" outlineLevel="1" x14ac:dyDescent="0.25">
      <c r="A101" s="50"/>
      <c r="B101" s="11" t="str">
        <f>CONCATENATE("          ", "4283", " - ", "SALES RETURN TAXABLE-COMPUTER")</f>
        <v xml:space="preserve">          4283 - SALES RETURN TAXABLE-COMPUTER</v>
      </c>
      <c r="C101" s="11"/>
      <c r="D101" s="3">
        <f>-818.93</f>
        <v>-818.93</v>
      </c>
      <c r="E101" s="3"/>
      <c r="F101" s="22"/>
      <c r="G101" s="3"/>
      <c r="H101" s="3">
        <f>-226.8</f>
        <v>-226.8</v>
      </c>
      <c r="I101" s="3"/>
      <c r="J101" s="22"/>
      <c r="K101" s="3"/>
      <c r="L101" s="3">
        <f t="shared" si="0"/>
        <v>-592.12999999999988</v>
      </c>
      <c r="M101" s="3"/>
      <c r="N101" s="22">
        <f t="shared" si="1"/>
        <v>2.6108024691358018</v>
      </c>
      <c r="O101" s="11"/>
      <c r="P101" s="3">
        <f>-818.93</f>
        <v>-818.93</v>
      </c>
      <c r="Q101" s="3"/>
      <c r="R101" s="22"/>
      <c r="S101" s="3"/>
      <c r="T101" s="3">
        <f>-226.8</f>
        <v>-226.8</v>
      </c>
      <c r="U101" s="3"/>
      <c r="V101" s="22"/>
      <c r="W101" s="3"/>
      <c r="X101" s="3">
        <f t="shared" si="2"/>
        <v>-592.12999999999988</v>
      </c>
      <c r="Y101" s="3"/>
      <c r="Z101" s="22">
        <f t="shared" si="3"/>
        <v>2.6108024691358018</v>
      </c>
    </row>
    <row r="102" spans="1:26" s="24" customFormat="1" hidden="1" outlineLevel="1" x14ac:dyDescent="0.25">
      <c r="A102" s="50"/>
      <c r="B102" s="11" t="str">
        <f>CONCATENATE("          ", "4285", " - ", "SALES RETURN TAXABLE-SOFTWARE")</f>
        <v xml:space="preserve">          4285 - SALES RETURN TAXABLE-SOFTWARE</v>
      </c>
      <c r="C102" s="11"/>
      <c r="D102" s="3">
        <f t="shared" ref="D102:D105" si="20">0</f>
        <v>0</v>
      </c>
      <c r="E102" s="3"/>
      <c r="F102" s="22"/>
      <c r="G102" s="3"/>
      <c r="H102" s="3">
        <f>-406.99</f>
        <v>-406.99</v>
      </c>
      <c r="I102" s="3"/>
      <c r="J102" s="22"/>
      <c r="K102" s="3"/>
      <c r="L102" s="3">
        <f t="shared" si="0"/>
        <v>406.99</v>
      </c>
      <c r="M102" s="3"/>
      <c r="N102" s="22">
        <f t="shared" si="1"/>
        <v>-1</v>
      </c>
      <c r="O102" s="11"/>
      <c r="P102" s="3">
        <f t="shared" ref="P102:P105" si="21">0</f>
        <v>0</v>
      </c>
      <c r="Q102" s="3"/>
      <c r="R102" s="22"/>
      <c r="S102" s="3"/>
      <c r="T102" s="3">
        <f>-406.99</f>
        <v>-406.99</v>
      </c>
      <c r="U102" s="3"/>
      <c r="V102" s="22"/>
      <c r="W102" s="3"/>
      <c r="X102" s="3">
        <f t="shared" si="2"/>
        <v>406.99</v>
      </c>
      <c r="Y102" s="3"/>
      <c r="Z102" s="22">
        <f t="shared" si="3"/>
        <v>-1</v>
      </c>
    </row>
    <row r="103" spans="1:26" s="24" customFormat="1" hidden="1" outlineLevel="1" x14ac:dyDescent="0.25">
      <c r="A103" s="50"/>
      <c r="B103" s="11" t="str">
        <f>CONCATENATE("          ", "4286", " - ", "SALES RETURN TAXABLE-COMPUTER")</f>
        <v xml:space="preserve">          4286 - SALES RETURN TAXABLE-COMPUTER</v>
      </c>
      <c r="C103" s="11"/>
      <c r="D103" s="3">
        <f t="shared" si="20"/>
        <v>0</v>
      </c>
      <c r="E103" s="3"/>
      <c r="F103" s="22"/>
      <c r="G103" s="3"/>
      <c r="H103" s="3">
        <f>-545.95</f>
        <v>-545.95000000000005</v>
      </c>
      <c r="I103" s="3"/>
      <c r="J103" s="22"/>
      <c r="K103" s="3"/>
      <c r="L103" s="3">
        <f t="shared" si="0"/>
        <v>545.95000000000005</v>
      </c>
      <c r="M103" s="3"/>
      <c r="N103" s="22">
        <f t="shared" si="1"/>
        <v>-1</v>
      </c>
      <c r="O103" s="11"/>
      <c r="P103" s="3">
        <f t="shared" si="21"/>
        <v>0</v>
      </c>
      <c r="Q103" s="3"/>
      <c r="R103" s="22"/>
      <c r="S103" s="3"/>
      <c r="T103" s="3">
        <f>-545.95</f>
        <v>-545.95000000000005</v>
      </c>
      <c r="U103" s="3"/>
      <c r="V103" s="22"/>
      <c r="W103" s="3"/>
      <c r="X103" s="3">
        <f t="shared" si="2"/>
        <v>545.95000000000005</v>
      </c>
      <c r="Y103" s="3"/>
      <c r="Z103" s="22">
        <f t="shared" si="3"/>
        <v>-1</v>
      </c>
    </row>
    <row r="104" spans="1:26" s="24" customFormat="1" hidden="1" outlineLevel="1" x14ac:dyDescent="0.25">
      <c r="A104" s="50"/>
      <c r="B104" s="11" t="str">
        <f>CONCATENATE("          ", "4292", " - ", "SALES RETURN TAXABLE-GRAD MERC")</f>
        <v xml:space="preserve">          4292 - SALES RETURN TAXABLE-GRAD MERC</v>
      </c>
      <c r="C104" s="11"/>
      <c r="D104" s="3">
        <f t="shared" si="20"/>
        <v>0</v>
      </c>
      <c r="E104" s="3"/>
      <c r="F104" s="22"/>
      <c r="G104" s="3"/>
      <c r="H104" s="3">
        <f>-9.95</f>
        <v>-9.9499999999999993</v>
      </c>
      <c r="I104" s="3"/>
      <c r="J104" s="22"/>
      <c r="K104" s="3"/>
      <c r="L104" s="3">
        <f t="shared" si="0"/>
        <v>9.9499999999999993</v>
      </c>
      <c r="M104" s="3"/>
      <c r="N104" s="22">
        <f t="shared" si="1"/>
        <v>-1</v>
      </c>
      <c r="O104" s="11"/>
      <c r="P104" s="3">
        <f t="shared" si="21"/>
        <v>0</v>
      </c>
      <c r="Q104" s="3"/>
      <c r="R104" s="22"/>
      <c r="S104" s="3"/>
      <c r="T104" s="3">
        <f>-9.95</f>
        <v>-9.9499999999999993</v>
      </c>
      <c r="U104" s="3"/>
      <c r="V104" s="22"/>
      <c r="W104" s="3"/>
      <c r="X104" s="3">
        <f t="shared" si="2"/>
        <v>9.9499999999999993</v>
      </c>
      <c r="Y104" s="3"/>
      <c r="Z104" s="22">
        <f t="shared" si="3"/>
        <v>-1</v>
      </c>
    </row>
    <row r="105" spans="1:26" s="24" customFormat="1" hidden="1" outlineLevel="1" x14ac:dyDescent="0.25">
      <c r="A105" s="50"/>
      <c r="B105" s="11" t="str">
        <f>CONCATENATE("          ", "4301", " - ", "SALES RETURN NON TAXABLE-NEW T")</f>
        <v xml:space="preserve">          4301 - SALES RETURN NON TAXABLE-NEW T</v>
      </c>
      <c r="C105" s="11"/>
      <c r="D105" s="3">
        <f t="shared" si="20"/>
        <v>0</v>
      </c>
      <c r="E105" s="3"/>
      <c r="F105" s="22"/>
      <c r="G105" s="3"/>
      <c r="H105" s="3">
        <f>-254.59</f>
        <v>-254.59</v>
      </c>
      <c r="I105" s="3"/>
      <c r="J105" s="22"/>
      <c r="K105" s="3"/>
      <c r="L105" s="3">
        <f t="shared" si="0"/>
        <v>254.59</v>
      </c>
      <c r="M105" s="3"/>
      <c r="N105" s="22">
        <f t="shared" si="1"/>
        <v>-1</v>
      </c>
      <c r="O105" s="11"/>
      <c r="P105" s="3">
        <f t="shared" si="21"/>
        <v>0</v>
      </c>
      <c r="Q105" s="3"/>
      <c r="R105" s="22"/>
      <c r="S105" s="3"/>
      <c r="T105" s="3">
        <f>-254.59</f>
        <v>-254.59</v>
      </c>
      <c r="U105" s="3"/>
      <c r="V105" s="22"/>
      <c r="W105" s="3"/>
      <c r="X105" s="3">
        <f t="shared" si="2"/>
        <v>254.59</v>
      </c>
      <c r="Y105" s="3"/>
      <c r="Z105" s="22">
        <f t="shared" si="3"/>
        <v>-1</v>
      </c>
    </row>
    <row r="106" spans="1:26" s="24" customFormat="1" hidden="1" outlineLevel="1" x14ac:dyDescent="0.25">
      <c r="A106" s="50"/>
      <c r="B106" s="11" t="str">
        <f>CONCATENATE("          ", "4302", " - ", "SALES RETURN NON TAXABLE-TEXT")</f>
        <v xml:space="preserve">          4302 - SALES RETURN NON TAXABLE-TEXT</v>
      </c>
      <c r="C106" s="11"/>
      <c r="D106" s="3">
        <f>-63.67</f>
        <v>-63.67</v>
      </c>
      <c r="E106" s="3"/>
      <c r="F106" s="22"/>
      <c r="G106" s="3"/>
      <c r="H106" s="3">
        <f t="shared" ref="H106:H107" si="22">0</f>
        <v>0</v>
      </c>
      <c r="I106" s="3"/>
      <c r="J106" s="22"/>
      <c r="K106" s="3"/>
      <c r="L106" s="3">
        <f t="shared" si="0"/>
        <v>-63.67</v>
      </c>
      <c r="M106" s="3"/>
      <c r="N106" s="22">
        <f t="shared" si="1"/>
        <v>0</v>
      </c>
      <c r="O106" s="11"/>
      <c r="P106" s="3">
        <f>-63.67</f>
        <v>-63.67</v>
      </c>
      <c r="Q106" s="3"/>
      <c r="R106" s="22"/>
      <c r="S106" s="3"/>
      <c r="T106" s="3">
        <f t="shared" ref="T106:T107" si="23">0</f>
        <v>0</v>
      </c>
      <c r="U106" s="3"/>
      <c r="V106" s="22"/>
      <c r="W106" s="3"/>
      <c r="X106" s="3">
        <f t="shared" si="2"/>
        <v>-63.67</v>
      </c>
      <c r="Y106" s="3"/>
      <c r="Z106" s="22">
        <f t="shared" si="3"/>
        <v>0</v>
      </c>
    </row>
    <row r="107" spans="1:26" s="24" customFormat="1" hidden="1" outlineLevel="1" x14ac:dyDescent="0.25">
      <c r="A107" s="50"/>
      <c r="B107" s="11" t="str">
        <f>CONCATENATE("          ", "4304", " - ", "SALES RETURN NON TAXABLE-DIGIT")</f>
        <v xml:space="preserve">          4304 - SALES RETURN NON TAXABLE-DIGIT</v>
      </c>
      <c r="C107" s="11"/>
      <c r="D107" s="3">
        <f>-452.05</f>
        <v>-452.05</v>
      </c>
      <c r="E107" s="3"/>
      <c r="F107" s="22"/>
      <c r="G107" s="3"/>
      <c r="H107" s="3">
        <f t="shared" si="22"/>
        <v>0</v>
      </c>
      <c r="I107" s="3"/>
      <c r="J107" s="22"/>
      <c r="K107" s="3"/>
      <c r="L107" s="3">
        <f t="shared" si="0"/>
        <v>-452.05</v>
      </c>
      <c r="M107" s="3"/>
      <c r="N107" s="22">
        <f t="shared" si="1"/>
        <v>0</v>
      </c>
      <c r="O107" s="11"/>
      <c r="P107" s="3">
        <f>-452.05</f>
        <v>-452.05</v>
      </c>
      <c r="Q107" s="3"/>
      <c r="R107" s="22"/>
      <c r="S107" s="3"/>
      <c r="T107" s="3">
        <f t="shared" si="23"/>
        <v>0</v>
      </c>
      <c r="U107" s="3"/>
      <c r="V107" s="22"/>
      <c r="W107" s="3"/>
      <c r="X107" s="3">
        <f t="shared" si="2"/>
        <v>-452.05</v>
      </c>
      <c r="Y107" s="3"/>
      <c r="Z107" s="22">
        <f t="shared" si="3"/>
        <v>0</v>
      </c>
    </row>
    <row r="108" spans="1:26" s="24" customFormat="1" hidden="1" outlineLevel="1" x14ac:dyDescent="0.25">
      <c r="A108" s="50"/>
      <c r="B108" s="11" t="str">
        <f>CONCATENATE("          ", "4311", " - ", "SALES RETURN NON TAXABLE-NO VA")</f>
        <v xml:space="preserve">          4311 - SALES RETURN NON TAXABLE-NO VA</v>
      </c>
      <c r="C108" s="11"/>
      <c r="D108" s="3">
        <f>0</f>
        <v>0</v>
      </c>
      <c r="E108" s="3"/>
      <c r="F108" s="22"/>
      <c r="G108" s="3"/>
      <c r="H108" s="3">
        <f>-31.98</f>
        <v>-31.98</v>
      </c>
      <c r="I108" s="3"/>
      <c r="J108" s="22"/>
      <c r="K108" s="3"/>
      <c r="L108" s="3">
        <f t="shared" si="0"/>
        <v>31.98</v>
      </c>
      <c r="M108" s="3"/>
      <c r="N108" s="22">
        <f t="shared" si="1"/>
        <v>-1</v>
      </c>
      <c r="O108" s="11"/>
      <c r="P108" s="3">
        <f>0</f>
        <v>0</v>
      </c>
      <c r="Q108" s="3"/>
      <c r="R108" s="22"/>
      <c r="S108" s="3"/>
      <c r="T108" s="3">
        <f>-31.98</f>
        <v>-31.98</v>
      </c>
      <c r="U108" s="3"/>
      <c r="V108" s="22"/>
      <c r="W108" s="3"/>
      <c r="X108" s="3">
        <f t="shared" si="2"/>
        <v>31.98</v>
      </c>
      <c r="Y108" s="3"/>
      <c r="Z108" s="22">
        <f t="shared" si="3"/>
        <v>-1</v>
      </c>
    </row>
    <row r="109" spans="1:26" s="24" customFormat="1" hidden="1" outlineLevel="1" x14ac:dyDescent="0.25">
      <c r="A109" s="50"/>
      <c r="B109" s="11" t="str">
        <f>CONCATENATE("          ", "4340", " - ", "SALES RETURN NON TAXABLE-LOGO")</f>
        <v xml:space="preserve">          4340 - SALES RETURN NON TAXABLE-LOGO</v>
      </c>
      <c r="C109" s="11"/>
      <c r="D109" s="3">
        <f>-434.24</f>
        <v>-434.24</v>
      </c>
      <c r="E109" s="3"/>
      <c r="F109" s="22"/>
      <c r="G109" s="3"/>
      <c r="H109" s="3">
        <f>-223.55</f>
        <v>-223.55</v>
      </c>
      <c r="I109" s="3"/>
      <c r="J109" s="22"/>
      <c r="K109" s="3"/>
      <c r="L109" s="3">
        <f t="shared" si="0"/>
        <v>-210.69</v>
      </c>
      <c r="M109" s="3"/>
      <c r="N109" s="22">
        <f t="shared" si="1"/>
        <v>0.94247371952583314</v>
      </c>
      <c r="O109" s="11"/>
      <c r="P109" s="3">
        <f>-434.24</f>
        <v>-434.24</v>
      </c>
      <c r="Q109" s="3"/>
      <c r="R109" s="22"/>
      <c r="S109" s="3"/>
      <c r="T109" s="3">
        <f>-223.55</f>
        <v>-223.55</v>
      </c>
      <c r="U109" s="3"/>
      <c r="V109" s="22"/>
      <c r="W109" s="3"/>
      <c r="X109" s="3">
        <f t="shared" si="2"/>
        <v>-210.69</v>
      </c>
      <c r="Y109" s="3"/>
      <c r="Z109" s="22">
        <f t="shared" si="3"/>
        <v>0.94247371952583314</v>
      </c>
    </row>
    <row r="110" spans="1:26" s="24" customFormat="1" hidden="1" outlineLevel="1" x14ac:dyDescent="0.25">
      <c r="A110" s="50"/>
      <c r="B110" s="11" t="str">
        <f>CONCATENATE("          ", "4341", " - ", "SALES RETURN NON TAXABLE-LOGO")</f>
        <v xml:space="preserve">          4341 - SALES RETURN NON TAXABLE-LOGO</v>
      </c>
      <c r="C110" s="11"/>
      <c r="D110" s="3">
        <f>-16.95</f>
        <v>-16.95</v>
      </c>
      <c r="E110" s="3"/>
      <c r="F110" s="22"/>
      <c r="G110" s="3"/>
      <c r="H110" s="3">
        <f t="shared" ref="H110:H112" si="24">0</f>
        <v>0</v>
      </c>
      <c r="I110" s="3"/>
      <c r="J110" s="22"/>
      <c r="K110" s="3"/>
      <c r="L110" s="3">
        <f t="shared" si="0"/>
        <v>-16.95</v>
      </c>
      <c r="M110" s="3"/>
      <c r="N110" s="22">
        <f t="shared" si="1"/>
        <v>0</v>
      </c>
      <c r="O110" s="11"/>
      <c r="P110" s="3">
        <f>-16.95</f>
        <v>-16.95</v>
      </c>
      <c r="Q110" s="3"/>
      <c r="R110" s="22"/>
      <c r="S110" s="3"/>
      <c r="T110" s="3">
        <f t="shared" ref="T110:T112" si="25">0</f>
        <v>0</v>
      </c>
      <c r="U110" s="3"/>
      <c r="V110" s="22"/>
      <c r="W110" s="3"/>
      <c r="X110" s="3">
        <f t="shared" si="2"/>
        <v>-16.95</v>
      </c>
      <c r="Y110" s="3"/>
      <c r="Z110" s="22">
        <f t="shared" si="3"/>
        <v>0</v>
      </c>
    </row>
    <row r="111" spans="1:26" s="24" customFormat="1" hidden="1" outlineLevel="1" x14ac:dyDescent="0.25">
      <c r="A111" s="50"/>
      <c r="B111" s="11" t="str">
        <f>CONCATENATE("          ", "4342", " - ", "SALES RETURN NON TAXABLE-EVERY")</f>
        <v xml:space="preserve">          4342 - SALES RETURN NON TAXABLE-EVERY</v>
      </c>
      <c r="C111" s="11"/>
      <c r="D111" s="3">
        <f>-79.85</f>
        <v>-79.849999999999994</v>
      </c>
      <c r="E111" s="3"/>
      <c r="F111" s="22"/>
      <c r="G111" s="3"/>
      <c r="H111" s="3">
        <f t="shared" si="24"/>
        <v>0</v>
      </c>
      <c r="I111" s="3"/>
      <c r="J111" s="22"/>
      <c r="K111" s="3"/>
      <c r="L111" s="3">
        <f t="shared" si="0"/>
        <v>-79.849999999999994</v>
      </c>
      <c r="M111" s="3"/>
      <c r="N111" s="22">
        <f t="shared" si="1"/>
        <v>0</v>
      </c>
      <c r="O111" s="11"/>
      <c r="P111" s="3">
        <f>-79.85</f>
        <v>-79.849999999999994</v>
      </c>
      <c r="Q111" s="3"/>
      <c r="R111" s="22"/>
      <c r="S111" s="3"/>
      <c r="T111" s="3">
        <f t="shared" si="25"/>
        <v>0</v>
      </c>
      <c r="U111" s="3"/>
      <c r="V111" s="22"/>
      <c r="W111" s="3"/>
      <c r="X111" s="3">
        <f t="shared" si="2"/>
        <v>-79.849999999999994</v>
      </c>
      <c r="Y111" s="3"/>
      <c r="Z111" s="22">
        <f t="shared" si="3"/>
        <v>0</v>
      </c>
    </row>
    <row r="112" spans="1:26" s="24" customFormat="1" hidden="1" outlineLevel="1" x14ac:dyDescent="0.25">
      <c r="A112" s="50"/>
      <c r="B112" s="11" t="str">
        <f>CONCATENATE("          ", "4381", " - ", "SALES RETURN NON TAXABLE-ELECT")</f>
        <v xml:space="preserve">          4381 - SALES RETURN NON TAXABLE-ELECT</v>
      </c>
      <c r="C112" s="11"/>
      <c r="D112" s="3">
        <f>-1749</f>
        <v>-1749</v>
      </c>
      <c r="E112" s="3"/>
      <c r="F112" s="22"/>
      <c r="G112" s="3"/>
      <c r="H112" s="3">
        <f t="shared" si="24"/>
        <v>0</v>
      </c>
      <c r="I112" s="3"/>
      <c r="J112" s="22"/>
      <c r="K112" s="3"/>
      <c r="L112" s="3">
        <f t="shared" si="0"/>
        <v>-1749</v>
      </c>
      <c r="M112" s="3"/>
      <c r="N112" s="22">
        <f t="shared" si="1"/>
        <v>0</v>
      </c>
      <c r="O112" s="11"/>
      <c r="P112" s="3">
        <f>-1749</f>
        <v>-1749</v>
      </c>
      <c r="Q112" s="3"/>
      <c r="R112" s="22"/>
      <c r="S112" s="3"/>
      <c r="T112" s="3">
        <f t="shared" si="25"/>
        <v>0</v>
      </c>
      <c r="U112" s="3"/>
      <c r="V112" s="22"/>
      <c r="W112" s="3"/>
      <c r="X112" s="3">
        <f t="shared" si="2"/>
        <v>-1749</v>
      </c>
      <c r="Y112" s="3"/>
      <c r="Z112" s="22">
        <f t="shared" si="3"/>
        <v>0</v>
      </c>
    </row>
    <row r="113" spans="1:26" x14ac:dyDescent="0.25">
      <c r="A113" s="9"/>
      <c r="B113" s="10"/>
      <c r="C113" s="9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collapsed="1" x14ac:dyDescent="0.25">
      <c r="A114" s="10"/>
      <c r="B114" s="25" t="s">
        <v>8</v>
      </c>
      <c r="C114" s="10"/>
      <c r="D114" s="4">
        <f>SUM(OSRRefD16x_0)</f>
        <v>336814.02000000014</v>
      </c>
      <c r="E114" s="4"/>
      <c r="F114" s="12">
        <f t="shared" ref="F114:F160" si="26">IF(D$12=0,0,D114/D$12)</f>
        <v>0.70624504949223477</v>
      </c>
      <c r="G114" s="4"/>
      <c r="H114" s="4">
        <f>SUM(OSRRefH16x_0)</f>
        <v>789537.64</v>
      </c>
      <c r="I114" s="4"/>
      <c r="J114" s="12">
        <f t="shared" ref="J114:J160" si="27">IF(H$12=0,0,H114/H$12)</f>
        <v>0.52394430785969659</v>
      </c>
      <c r="K114" s="4"/>
      <c r="L114" s="4">
        <f t="shared" ref="L114:L160" si="28">+D114-H114</f>
        <v>-452723.61999999988</v>
      </c>
      <c r="M114" s="4"/>
      <c r="N114" s="12">
        <f t="shared" ref="N114:N160" si="29">IF(H114=0,0,L114/H114)</f>
        <v>-0.57340346686954646</v>
      </c>
      <c r="O114" s="10"/>
      <c r="P114" s="4">
        <f>SUM(OSRRefP16x_0)</f>
        <v>336814.02000000014</v>
      </c>
      <c r="Q114" s="4"/>
      <c r="R114" s="12">
        <f t="shared" ref="R114:R160" si="30">IF(P$12=0,0,P114/P$12)</f>
        <v>0.70624504949223477</v>
      </c>
      <c r="S114" s="4"/>
      <c r="T114" s="4">
        <f>SUM(OSRRefT16x_0)</f>
        <v>789537.64</v>
      </c>
      <c r="U114" s="4"/>
      <c r="V114" s="12">
        <f t="shared" ref="V114:V160" si="31">IF(T$12=0,0,T114/T$12)</f>
        <v>0.52394430785969659</v>
      </c>
      <c r="W114" s="4"/>
      <c r="X114" s="4">
        <f t="shared" ref="X114:X160" si="32">+P114-T114</f>
        <v>-452723.61999999988</v>
      </c>
      <c r="Y114" s="4"/>
      <c r="Z114" s="12">
        <f t="shared" ref="Z114:Z160" si="33">IF(T114=0,0,X114/T114)</f>
        <v>-0.57340346686954646</v>
      </c>
    </row>
    <row r="115" spans="1:26" s="24" customFormat="1" hidden="1" outlineLevel="1" x14ac:dyDescent="0.25">
      <c r="A115" s="50"/>
      <c r="B115" s="11" t="str">
        <f>CONCATENATE("          ", "5001", " - ", "PURCHASES @ COST-NEW TEXT")</f>
        <v xml:space="preserve">          5001 - PURCHASES @ COST-NEW TEXT</v>
      </c>
      <c r="C115" s="11"/>
      <c r="D115" s="3">
        <v>153110.63</v>
      </c>
      <c r="E115" s="3"/>
      <c r="F115" s="22">
        <f t="shared" si="26"/>
        <v>0.32104846604110243</v>
      </c>
      <c r="G115" s="3"/>
      <c r="H115" s="3">
        <v>343994.56</v>
      </c>
      <c r="I115" s="3"/>
      <c r="J115" s="22">
        <f t="shared" si="27"/>
        <v>0.22827789647457575</v>
      </c>
      <c r="K115" s="3"/>
      <c r="L115" s="3">
        <f t="shared" si="28"/>
        <v>-190883.93</v>
      </c>
      <c r="M115" s="3"/>
      <c r="N115" s="22">
        <f t="shared" si="29"/>
        <v>-0.5549039205736277</v>
      </c>
      <c r="O115" s="11"/>
      <c r="P115" s="3">
        <v>153110.63</v>
      </c>
      <c r="Q115" s="3"/>
      <c r="R115" s="22">
        <f t="shared" si="30"/>
        <v>0.32104846604110243</v>
      </c>
      <c r="S115" s="3"/>
      <c r="T115" s="3">
        <v>343994.56</v>
      </c>
      <c r="U115" s="3"/>
      <c r="V115" s="22">
        <f t="shared" si="31"/>
        <v>0.22827789647457575</v>
      </c>
      <c r="W115" s="3"/>
      <c r="X115" s="3">
        <f t="shared" si="32"/>
        <v>-190883.93</v>
      </c>
      <c r="Y115" s="3"/>
      <c r="Z115" s="22">
        <f t="shared" si="33"/>
        <v>-0.5549039205736277</v>
      </c>
    </row>
    <row r="116" spans="1:26" s="24" customFormat="1" hidden="1" outlineLevel="1" x14ac:dyDescent="0.25">
      <c r="A116" s="50"/>
      <c r="B116" s="11" t="str">
        <f>CONCATENATE("          ", "5002", " - ", "PURCHASES @ COST-USED TEXT")</f>
        <v xml:space="preserve">          5002 - PURCHASES @ COST-USED TEXT</v>
      </c>
      <c r="C116" s="11"/>
      <c r="D116" s="3">
        <v>60324.850000000006</v>
      </c>
      <c r="E116" s="3"/>
      <c r="F116" s="22">
        <f t="shared" si="26"/>
        <v>0.12649154769110152</v>
      </c>
      <c r="G116" s="3"/>
      <c r="H116" s="3">
        <v>110293.25</v>
      </c>
      <c r="I116" s="3"/>
      <c r="J116" s="22">
        <f t="shared" si="27"/>
        <v>7.3191596708228474E-2</v>
      </c>
      <c r="K116" s="3"/>
      <c r="L116" s="3">
        <f t="shared" si="28"/>
        <v>-49968.399999999994</v>
      </c>
      <c r="M116" s="3"/>
      <c r="N116" s="22">
        <f t="shared" si="29"/>
        <v>-0.45305039066307318</v>
      </c>
      <c r="O116" s="11"/>
      <c r="P116" s="3">
        <v>60324.850000000006</v>
      </c>
      <c r="Q116" s="3"/>
      <c r="R116" s="22">
        <f t="shared" si="30"/>
        <v>0.12649154769110152</v>
      </c>
      <c r="S116" s="3"/>
      <c r="T116" s="3">
        <v>110293.25</v>
      </c>
      <c r="U116" s="3"/>
      <c r="V116" s="22">
        <f t="shared" si="31"/>
        <v>7.3191596708228474E-2</v>
      </c>
      <c r="W116" s="3"/>
      <c r="X116" s="3">
        <f t="shared" si="32"/>
        <v>-49968.399999999994</v>
      </c>
      <c r="Y116" s="3"/>
      <c r="Z116" s="22">
        <f t="shared" si="33"/>
        <v>-0.45305039066307318</v>
      </c>
    </row>
    <row r="117" spans="1:26" s="24" customFormat="1" hidden="1" outlineLevel="1" x14ac:dyDescent="0.25">
      <c r="A117" s="50"/>
      <c r="B117" s="11" t="str">
        <f>CONCATENATE("          ", "5003", " - ", "PURCHASES @ COST-RENTAL TEXT")</f>
        <v xml:space="preserve">          5003 - PURCHASES @ COST-RENTAL TEXT</v>
      </c>
      <c r="C117" s="11"/>
      <c r="D117" s="3">
        <v>-11926.64</v>
      </c>
      <c r="E117" s="3"/>
      <c r="F117" s="22">
        <f t="shared" si="26"/>
        <v>-2.5008253685746405E-2</v>
      </c>
      <c r="G117" s="3"/>
      <c r="H117" s="3">
        <v>38295.800000000003</v>
      </c>
      <c r="I117" s="3"/>
      <c r="J117" s="22">
        <f t="shared" si="27"/>
        <v>2.5413438711969917E-2</v>
      </c>
      <c r="K117" s="3"/>
      <c r="L117" s="3">
        <f t="shared" si="28"/>
        <v>-50222.44</v>
      </c>
      <c r="M117" s="3"/>
      <c r="N117" s="22">
        <f t="shared" si="29"/>
        <v>-1.311434674298487</v>
      </c>
      <c r="O117" s="11"/>
      <c r="P117" s="3">
        <v>-11926.64</v>
      </c>
      <c r="Q117" s="3"/>
      <c r="R117" s="22">
        <f t="shared" si="30"/>
        <v>-2.5008253685746405E-2</v>
      </c>
      <c r="S117" s="3"/>
      <c r="T117" s="3">
        <v>38295.800000000003</v>
      </c>
      <c r="U117" s="3"/>
      <c r="V117" s="22">
        <f t="shared" si="31"/>
        <v>2.5413438711969917E-2</v>
      </c>
      <c r="W117" s="3"/>
      <c r="X117" s="3">
        <f t="shared" si="32"/>
        <v>-50222.44</v>
      </c>
      <c r="Y117" s="3"/>
      <c r="Z117" s="22">
        <f t="shared" si="33"/>
        <v>-1.311434674298487</v>
      </c>
    </row>
    <row r="118" spans="1:26" s="24" customFormat="1" hidden="1" outlineLevel="1" x14ac:dyDescent="0.25">
      <c r="A118" s="50"/>
      <c r="B118" s="11" t="str">
        <f>CONCATENATE("          ", "5004", " - ", "PURCHASES @ COST-DIGITAL TEXT")</f>
        <v xml:space="preserve">          5004 - PURCHASES @ COST-DIGITAL TEXT</v>
      </c>
      <c r="C118" s="11"/>
      <c r="D118" s="3">
        <v>4925.4799999999996</v>
      </c>
      <c r="E118" s="3"/>
      <c r="F118" s="22">
        <f t="shared" si="26"/>
        <v>1.0327942602784204E-2</v>
      </c>
      <c r="G118" s="3"/>
      <c r="H118" s="3">
        <v>133958.57</v>
      </c>
      <c r="I118" s="3"/>
      <c r="J118" s="22">
        <f t="shared" si="27"/>
        <v>8.8896116770980943E-2</v>
      </c>
      <c r="K118" s="3"/>
      <c r="L118" s="3">
        <f t="shared" si="28"/>
        <v>-129033.09000000001</v>
      </c>
      <c r="M118" s="3"/>
      <c r="N118" s="22">
        <f t="shared" si="29"/>
        <v>-0.96323131845913257</v>
      </c>
      <c r="O118" s="11"/>
      <c r="P118" s="3">
        <v>4925.4799999999996</v>
      </c>
      <c r="Q118" s="3"/>
      <c r="R118" s="22">
        <f t="shared" si="30"/>
        <v>1.0327942602784204E-2</v>
      </c>
      <c r="S118" s="3"/>
      <c r="T118" s="3">
        <v>133958.57</v>
      </c>
      <c r="U118" s="3"/>
      <c r="V118" s="22">
        <f t="shared" si="31"/>
        <v>8.8896116770980943E-2</v>
      </c>
      <c r="W118" s="3"/>
      <c r="X118" s="3">
        <f t="shared" si="32"/>
        <v>-129033.09000000001</v>
      </c>
      <c r="Y118" s="3"/>
      <c r="Z118" s="22">
        <f t="shared" si="33"/>
        <v>-0.96323131845913257</v>
      </c>
    </row>
    <row r="119" spans="1:26" s="24" customFormat="1" hidden="1" outlineLevel="1" x14ac:dyDescent="0.25">
      <c r="A119" s="50"/>
      <c r="B119" s="11" t="str">
        <f>CONCATENATE("          ", "5011", " - ", "PURCHASES @ COST-NO VALUE TEXT")</f>
        <v xml:space="preserve">          5011 - PURCHASES @ COST-NO VALUE TEXT</v>
      </c>
      <c r="C119" s="11"/>
      <c r="D119" s="3"/>
      <c r="E119" s="3"/>
      <c r="F119" s="22">
        <f t="shared" si="26"/>
        <v>0</v>
      </c>
      <c r="G119" s="3"/>
      <c r="H119" s="3">
        <v>288</v>
      </c>
      <c r="I119" s="3"/>
      <c r="J119" s="22">
        <f t="shared" si="27"/>
        <v>1.9111940079714578E-4</v>
      </c>
      <c r="K119" s="3"/>
      <c r="L119" s="3">
        <f t="shared" si="28"/>
        <v>-288</v>
      </c>
      <c r="M119" s="3"/>
      <c r="N119" s="22">
        <f t="shared" si="29"/>
        <v>-1</v>
      </c>
      <c r="O119" s="11"/>
      <c r="P119" s="3"/>
      <c r="Q119" s="3"/>
      <c r="R119" s="22">
        <f t="shared" si="30"/>
        <v>0</v>
      </c>
      <c r="S119" s="3"/>
      <c r="T119" s="3">
        <v>288</v>
      </c>
      <c r="U119" s="3"/>
      <c r="V119" s="22">
        <f t="shared" si="31"/>
        <v>1.9111940079714578E-4</v>
      </c>
      <c r="W119" s="3"/>
      <c r="X119" s="3">
        <f t="shared" si="32"/>
        <v>-288</v>
      </c>
      <c r="Y119" s="3"/>
      <c r="Z119" s="22">
        <f t="shared" si="33"/>
        <v>-1</v>
      </c>
    </row>
    <row r="120" spans="1:26" s="24" customFormat="1" hidden="1" outlineLevel="1" x14ac:dyDescent="0.25">
      <c r="A120" s="50"/>
      <c r="B120" s="11" t="str">
        <f>CONCATENATE("          ", "5013", " - ", "PURCHASES @ COST-TRADE BOOKS")</f>
        <v xml:space="preserve">          5013 - PURCHASES @ COST-TRADE BOOKS</v>
      </c>
      <c r="C120" s="11"/>
      <c r="D120" s="3">
        <v>108.54</v>
      </c>
      <c r="E120" s="3"/>
      <c r="F120" s="22">
        <f t="shared" si="26"/>
        <v>2.2759099419877811E-4</v>
      </c>
      <c r="G120" s="3"/>
      <c r="H120" s="3">
        <v>204.9</v>
      </c>
      <c r="I120" s="3"/>
      <c r="J120" s="22">
        <f t="shared" si="27"/>
        <v>1.359734903588027E-4</v>
      </c>
      <c r="K120" s="3"/>
      <c r="L120" s="3">
        <f t="shared" si="28"/>
        <v>-96.36</v>
      </c>
      <c r="M120" s="3"/>
      <c r="N120" s="22">
        <f t="shared" si="29"/>
        <v>-0.47027818448023423</v>
      </c>
      <c r="O120" s="11"/>
      <c r="P120" s="3">
        <v>108.54</v>
      </c>
      <c r="Q120" s="3"/>
      <c r="R120" s="22">
        <f t="shared" si="30"/>
        <v>2.2759099419877811E-4</v>
      </c>
      <c r="S120" s="3"/>
      <c r="T120" s="3">
        <v>204.9</v>
      </c>
      <c r="U120" s="3"/>
      <c r="V120" s="22">
        <f t="shared" si="31"/>
        <v>1.359734903588027E-4</v>
      </c>
      <c r="W120" s="3"/>
      <c r="X120" s="3">
        <f t="shared" si="32"/>
        <v>-96.36</v>
      </c>
      <c r="Y120" s="3"/>
      <c r="Z120" s="22">
        <f t="shared" si="33"/>
        <v>-0.47027818448023423</v>
      </c>
    </row>
    <row r="121" spans="1:26" s="24" customFormat="1" hidden="1" outlineLevel="1" x14ac:dyDescent="0.25">
      <c r="A121" s="50"/>
      <c r="B121" s="11" t="str">
        <f>CONCATENATE("          ", "5014", " - ", "PURCHASES @ COST-REMAINDERS")</f>
        <v xml:space="preserve">          5014 - PURCHASES @ COST-REMAINDERS</v>
      </c>
      <c r="C121" s="11"/>
      <c r="D121" s="3">
        <v>-12.51</v>
      </c>
      <c r="E121" s="3"/>
      <c r="F121" s="22">
        <f t="shared" si="26"/>
        <v>-2.6231466163872433E-5</v>
      </c>
      <c r="G121" s="3"/>
      <c r="H121" s="3">
        <v>100.48</v>
      </c>
      <c r="I121" s="3"/>
      <c r="J121" s="22">
        <f t="shared" si="27"/>
        <v>6.6679435389226425E-5</v>
      </c>
      <c r="K121" s="3"/>
      <c r="L121" s="3">
        <f t="shared" si="28"/>
        <v>-112.99000000000001</v>
      </c>
      <c r="M121" s="3"/>
      <c r="N121" s="22">
        <f t="shared" si="29"/>
        <v>-1.1245023885350318</v>
      </c>
      <c r="O121" s="11"/>
      <c r="P121" s="3">
        <v>-12.51</v>
      </c>
      <c r="Q121" s="3"/>
      <c r="R121" s="22">
        <f t="shared" si="30"/>
        <v>-2.6231466163872433E-5</v>
      </c>
      <c r="S121" s="3"/>
      <c r="T121" s="3">
        <v>100.48</v>
      </c>
      <c r="U121" s="3"/>
      <c r="V121" s="22">
        <f t="shared" si="31"/>
        <v>6.6679435389226425E-5</v>
      </c>
      <c r="W121" s="3"/>
      <c r="X121" s="3">
        <f t="shared" si="32"/>
        <v>-112.99000000000001</v>
      </c>
      <c r="Y121" s="3"/>
      <c r="Z121" s="22">
        <f t="shared" si="33"/>
        <v>-1.1245023885350318</v>
      </c>
    </row>
    <row r="122" spans="1:26" s="24" customFormat="1" hidden="1" outlineLevel="1" x14ac:dyDescent="0.25">
      <c r="A122" s="50"/>
      <c r="B122" s="11" t="str">
        <f>CONCATENATE("          ", "5018", " - ", "PURCHASES @ COST-STUDY GUIDES")</f>
        <v xml:space="preserve">          5018 - PURCHASES @ COST-STUDY GUIDES</v>
      </c>
      <c r="C122" s="11"/>
      <c r="D122" s="3"/>
      <c r="E122" s="3"/>
      <c r="F122" s="22">
        <f t="shared" si="26"/>
        <v>0</v>
      </c>
      <c r="G122" s="3"/>
      <c r="H122" s="3">
        <v>503.93</v>
      </c>
      <c r="I122" s="3"/>
      <c r="J122" s="22">
        <f t="shared" si="27"/>
        <v>3.3441249876286697E-4</v>
      </c>
      <c r="K122" s="3"/>
      <c r="L122" s="3">
        <f t="shared" si="28"/>
        <v>-503.93</v>
      </c>
      <c r="M122" s="3"/>
      <c r="N122" s="22">
        <f t="shared" si="29"/>
        <v>-1</v>
      </c>
      <c r="O122" s="11"/>
      <c r="P122" s="3"/>
      <c r="Q122" s="3"/>
      <c r="R122" s="22">
        <f t="shared" si="30"/>
        <v>0</v>
      </c>
      <c r="S122" s="3"/>
      <c r="T122" s="3">
        <v>503.93</v>
      </c>
      <c r="U122" s="3"/>
      <c r="V122" s="22">
        <f t="shared" si="31"/>
        <v>3.3441249876286697E-4</v>
      </c>
      <c r="W122" s="3"/>
      <c r="X122" s="3">
        <f t="shared" si="32"/>
        <v>-503.93</v>
      </c>
      <c r="Y122" s="3"/>
      <c r="Z122" s="22">
        <f t="shared" si="33"/>
        <v>-1</v>
      </c>
    </row>
    <row r="123" spans="1:26" s="24" customFormat="1" hidden="1" outlineLevel="1" x14ac:dyDescent="0.25">
      <c r="A123" s="50"/>
      <c r="B123" s="11" t="str">
        <f>CONCATENATE("          ", "5025", " - ", "PURCHASES @ COST-TEST FORMS")</f>
        <v xml:space="preserve">          5025 - PURCHASES @ COST-TEST FORMS</v>
      </c>
      <c r="C123" s="11"/>
      <c r="D123" s="3"/>
      <c r="E123" s="3"/>
      <c r="F123" s="22">
        <f t="shared" si="26"/>
        <v>0</v>
      </c>
      <c r="G123" s="3"/>
      <c r="H123" s="3">
        <v>879.12</v>
      </c>
      <c r="I123" s="3"/>
      <c r="J123" s="22">
        <f t="shared" si="27"/>
        <v>5.8339197093328749E-4</v>
      </c>
      <c r="K123" s="3"/>
      <c r="L123" s="3">
        <f t="shared" si="28"/>
        <v>-879.12</v>
      </c>
      <c r="M123" s="3"/>
      <c r="N123" s="22">
        <f t="shared" si="29"/>
        <v>-1</v>
      </c>
      <c r="O123" s="11"/>
      <c r="P123" s="3"/>
      <c r="Q123" s="3"/>
      <c r="R123" s="22">
        <f t="shared" si="30"/>
        <v>0</v>
      </c>
      <c r="S123" s="3"/>
      <c r="T123" s="3">
        <v>879.12</v>
      </c>
      <c r="U123" s="3"/>
      <c r="V123" s="22">
        <f t="shared" si="31"/>
        <v>5.8339197093328749E-4</v>
      </c>
      <c r="W123" s="3"/>
      <c r="X123" s="3">
        <f t="shared" si="32"/>
        <v>-879.12</v>
      </c>
      <c r="Y123" s="3"/>
      <c r="Z123" s="22">
        <f t="shared" si="33"/>
        <v>-1</v>
      </c>
    </row>
    <row r="124" spans="1:26" s="24" customFormat="1" hidden="1" outlineLevel="1" x14ac:dyDescent="0.25">
      <c r="A124" s="50"/>
      <c r="B124" s="11" t="str">
        <f>CONCATENATE("          ", "5026", " - ", "PURCHASES @ COST-WRITING INSTR")</f>
        <v xml:space="preserve">          5026 - PURCHASES @ COST-WRITING INSTR</v>
      </c>
      <c r="C124" s="11"/>
      <c r="D124" s="3"/>
      <c r="E124" s="3"/>
      <c r="F124" s="22">
        <f t="shared" si="26"/>
        <v>0</v>
      </c>
      <c r="G124" s="3"/>
      <c r="H124" s="3">
        <v>10331.040000000001</v>
      </c>
      <c r="I124" s="3"/>
      <c r="J124" s="22">
        <f t="shared" si="27"/>
        <v>6.8557714389282818E-3</v>
      </c>
      <c r="K124" s="3"/>
      <c r="L124" s="3">
        <f t="shared" si="28"/>
        <v>-10331.040000000001</v>
      </c>
      <c r="M124" s="3"/>
      <c r="N124" s="22">
        <f t="shared" si="29"/>
        <v>-1</v>
      </c>
      <c r="O124" s="11"/>
      <c r="P124" s="3"/>
      <c r="Q124" s="3"/>
      <c r="R124" s="22">
        <f t="shared" si="30"/>
        <v>0</v>
      </c>
      <c r="S124" s="3"/>
      <c r="T124" s="3">
        <v>10331.040000000001</v>
      </c>
      <c r="U124" s="3"/>
      <c r="V124" s="22">
        <f t="shared" si="31"/>
        <v>6.8557714389282818E-3</v>
      </c>
      <c r="W124" s="3"/>
      <c r="X124" s="3">
        <f t="shared" si="32"/>
        <v>-10331.040000000001</v>
      </c>
      <c r="Y124" s="3"/>
      <c r="Z124" s="22">
        <f t="shared" si="33"/>
        <v>-1</v>
      </c>
    </row>
    <row r="125" spans="1:26" s="24" customFormat="1" hidden="1" outlineLevel="1" x14ac:dyDescent="0.25">
      <c r="A125" s="50"/>
      <c r="B125" s="11" t="str">
        <f>CONCATENATE("          ", "5027", " - ", "PURCHASES @ COST-SCHOOL SUPPLI")</f>
        <v xml:space="preserve">          5027 - PURCHASES @ COST-SCHOOL SUPPLI</v>
      </c>
      <c r="C125" s="11"/>
      <c r="D125" s="3">
        <v>8503.4</v>
      </c>
      <c r="E125" s="3"/>
      <c r="F125" s="22">
        <f t="shared" si="26"/>
        <v>1.7830267736040996E-2</v>
      </c>
      <c r="G125" s="3"/>
      <c r="H125" s="3">
        <v>50115.47</v>
      </c>
      <c r="I125" s="3"/>
      <c r="J125" s="22">
        <f t="shared" si="27"/>
        <v>3.3257078462039361E-2</v>
      </c>
      <c r="K125" s="3"/>
      <c r="L125" s="3">
        <f t="shared" si="28"/>
        <v>-41612.07</v>
      </c>
      <c r="M125" s="3"/>
      <c r="N125" s="22">
        <f t="shared" si="29"/>
        <v>-0.83032385010057774</v>
      </c>
      <c r="O125" s="11"/>
      <c r="P125" s="3">
        <v>8503.4</v>
      </c>
      <c r="Q125" s="3"/>
      <c r="R125" s="22">
        <f t="shared" si="30"/>
        <v>1.7830267736040996E-2</v>
      </c>
      <c r="S125" s="3"/>
      <c r="T125" s="3">
        <v>50115.47</v>
      </c>
      <c r="U125" s="3"/>
      <c r="V125" s="22">
        <f t="shared" si="31"/>
        <v>3.3257078462039361E-2</v>
      </c>
      <c r="W125" s="3"/>
      <c r="X125" s="3">
        <f t="shared" si="32"/>
        <v>-41612.07</v>
      </c>
      <c r="Y125" s="3"/>
      <c r="Z125" s="22">
        <f t="shared" si="33"/>
        <v>-0.83032385010057774</v>
      </c>
    </row>
    <row r="126" spans="1:26" s="24" customFormat="1" hidden="1" outlineLevel="1" x14ac:dyDescent="0.25">
      <c r="A126" s="50"/>
      <c r="B126" s="11" t="str">
        <f>CONCATENATE("          ", "5028", " - ", "PURCHASES @ COST-ART/TECH")</f>
        <v xml:space="preserve">          5028 - PURCHASES @ COST-ART/TECH</v>
      </c>
      <c r="C126" s="11"/>
      <c r="D126" s="3"/>
      <c r="E126" s="3"/>
      <c r="F126" s="22">
        <f t="shared" si="26"/>
        <v>0</v>
      </c>
      <c r="G126" s="3"/>
      <c r="H126" s="3">
        <v>28027.649999999998</v>
      </c>
      <c r="I126" s="3"/>
      <c r="J126" s="22">
        <f t="shared" si="27"/>
        <v>1.859940164497265E-2</v>
      </c>
      <c r="K126" s="3"/>
      <c r="L126" s="3">
        <f t="shared" si="28"/>
        <v>-28027.649999999998</v>
      </c>
      <c r="M126" s="3"/>
      <c r="N126" s="22">
        <f t="shared" si="29"/>
        <v>-1</v>
      </c>
      <c r="O126" s="11"/>
      <c r="P126" s="3"/>
      <c r="Q126" s="3"/>
      <c r="R126" s="22">
        <f t="shared" si="30"/>
        <v>0</v>
      </c>
      <c r="S126" s="3"/>
      <c r="T126" s="3">
        <v>28027.649999999998</v>
      </c>
      <c r="U126" s="3"/>
      <c r="V126" s="22">
        <f t="shared" si="31"/>
        <v>1.859940164497265E-2</v>
      </c>
      <c r="W126" s="3"/>
      <c r="X126" s="3">
        <f t="shared" si="32"/>
        <v>-28027.649999999998</v>
      </c>
      <c r="Y126" s="3"/>
      <c r="Z126" s="22">
        <f t="shared" si="33"/>
        <v>-1</v>
      </c>
    </row>
    <row r="127" spans="1:26" s="24" customFormat="1" hidden="1" outlineLevel="1" x14ac:dyDescent="0.25">
      <c r="A127" s="50"/>
      <c r="B127" s="11" t="str">
        <f>CONCATENATE("          ", "5032", " - ", "PURCHASES @ COST-JUICE")</f>
        <v xml:space="preserve">          5032 - PURCHASES @ COST-JUICE</v>
      </c>
      <c r="C127" s="11"/>
      <c r="D127" s="3"/>
      <c r="E127" s="3"/>
      <c r="F127" s="22">
        <f t="shared" si="26"/>
        <v>0</v>
      </c>
      <c r="G127" s="3"/>
      <c r="H127" s="3">
        <v>114.42</v>
      </c>
      <c r="I127" s="3"/>
      <c r="J127" s="22">
        <f t="shared" si="27"/>
        <v>7.5930145275032712E-5</v>
      </c>
      <c r="K127" s="3"/>
      <c r="L127" s="3">
        <f t="shared" si="28"/>
        <v>-114.42</v>
      </c>
      <c r="M127" s="3"/>
      <c r="N127" s="22">
        <f t="shared" si="29"/>
        <v>-1</v>
      </c>
      <c r="O127" s="11"/>
      <c r="P127" s="3"/>
      <c r="Q127" s="3"/>
      <c r="R127" s="22">
        <f t="shared" si="30"/>
        <v>0</v>
      </c>
      <c r="S127" s="3"/>
      <c r="T127" s="3">
        <v>114.42</v>
      </c>
      <c r="U127" s="3"/>
      <c r="V127" s="22">
        <f t="shared" si="31"/>
        <v>7.5930145275032712E-5</v>
      </c>
      <c r="W127" s="3"/>
      <c r="X127" s="3">
        <f t="shared" si="32"/>
        <v>-114.42</v>
      </c>
      <c r="Y127" s="3"/>
      <c r="Z127" s="22">
        <f t="shared" si="33"/>
        <v>-1</v>
      </c>
    </row>
    <row r="128" spans="1:26" s="24" customFormat="1" hidden="1" outlineLevel="1" x14ac:dyDescent="0.25">
      <c r="A128" s="50"/>
      <c r="B128" s="11" t="str">
        <f>CONCATENATE("          ", "5034", " - ", "PURCHASES @ COST-SODA")</f>
        <v xml:space="preserve">          5034 - PURCHASES @ COST-SODA</v>
      </c>
      <c r="C128" s="11"/>
      <c r="D128" s="3"/>
      <c r="E128" s="3"/>
      <c r="F128" s="22">
        <f t="shared" si="26"/>
        <v>0</v>
      </c>
      <c r="G128" s="3"/>
      <c r="H128" s="3">
        <v>-61.54</v>
      </c>
      <c r="I128" s="3"/>
      <c r="J128" s="22">
        <f t="shared" si="27"/>
        <v>-4.0838499739779002E-5</v>
      </c>
      <c r="K128" s="3"/>
      <c r="L128" s="3">
        <f t="shared" si="28"/>
        <v>61.54</v>
      </c>
      <c r="M128" s="3"/>
      <c r="N128" s="22">
        <f t="shared" si="29"/>
        <v>-1</v>
      </c>
      <c r="O128" s="11"/>
      <c r="P128" s="3"/>
      <c r="Q128" s="3"/>
      <c r="R128" s="22">
        <f t="shared" si="30"/>
        <v>0</v>
      </c>
      <c r="S128" s="3"/>
      <c r="T128" s="3">
        <v>-61.54</v>
      </c>
      <c r="U128" s="3"/>
      <c r="V128" s="22">
        <f t="shared" si="31"/>
        <v>-4.0838499739779002E-5</v>
      </c>
      <c r="W128" s="3"/>
      <c r="X128" s="3">
        <f t="shared" si="32"/>
        <v>61.54</v>
      </c>
      <c r="Y128" s="3"/>
      <c r="Z128" s="22">
        <f t="shared" si="33"/>
        <v>-1</v>
      </c>
    </row>
    <row r="129" spans="1:26" s="24" customFormat="1" hidden="1" outlineLevel="1" x14ac:dyDescent="0.25">
      <c r="A129" s="50"/>
      <c r="B129" s="11" t="str">
        <f>CONCATENATE("          ", "5037", " - ", "PURCHASES @ COST-WATER")</f>
        <v xml:space="preserve">          5037 - PURCHASES @ COST-WATER</v>
      </c>
      <c r="C129" s="11"/>
      <c r="D129" s="3"/>
      <c r="E129" s="3"/>
      <c r="F129" s="22">
        <f t="shared" si="26"/>
        <v>0</v>
      </c>
      <c r="G129" s="3"/>
      <c r="H129" s="3">
        <v>33.58</v>
      </c>
      <c r="I129" s="3"/>
      <c r="J129" s="22">
        <f t="shared" si="27"/>
        <v>2.2283991245722761E-5</v>
      </c>
      <c r="K129" s="3"/>
      <c r="L129" s="3">
        <f t="shared" si="28"/>
        <v>-33.58</v>
      </c>
      <c r="M129" s="3"/>
      <c r="N129" s="22">
        <f t="shared" si="29"/>
        <v>-1</v>
      </c>
      <c r="O129" s="11"/>
      <c r="P129" s="3"/>
      <c r="Q129" s="3"/>
      <c r="R129" s="22">
        <f t="shared" si="30"/>
        <v>0</v>
      </c>
      <c r="S129" s="3"/>
      <c r="T129" s="3">
        <v>33.58</v>
      </c>
      <c r="U129" s="3"/>
      <c r="V129" s="22">
        <f t="shared" si="31"/>
        <v>2.2283991245722761E-5</v>
      </c>
      <c r="W129" s="3"/>
      <c r="X129" s="3">
        <f t="shared" si="32"/>
        <v>-33.58</v>
      </c>
      <c r="Y129" s="3"/>
      <c r="Z129" s="22">
        <f t="shared" si="33"/>
        <v>-1</v>
      </c>
    </row>
    <row r="130" spans="1:26" s="24" customFormat="1" hidden="1" outlineLevel="1" x14ac:dyDescent="0.25">
      <c r="A130" s="50"/>
      <c r="B130" s="11" t="str">
        <f>CONCATENATE("          ", "5040", " - ", "PURCHASES @ COST-LOGO CLOTHING")</f>
        <v xml:space="preserve">          5040 - PURCHASES @ COST-LOGO CLOTHING</v>
      </c>
      <c r="C130" s="11"/>
      <c r="D130" s="3">
        <v>1723.07</v>
      </c>
      <c r="E130" s="3"/>
      <c r="F130" s="22">
        <f t="shared" si="26"/>
        <v>3.6130017908060489E-3</v>
      </c>
      <c r="G130" s="3"/>
      <c r="H130" s="3">
        <v>78921.570000000007</v>
      </c>
      <c r="I130" s="3"/>
      <c r="J130" s="22">
        <f t="shared" si="27"/>
        <v>5.2373066556840271E-2</v>
      </c>
      <c r="K130" s="3"/>
      <c r="L130" s="3">
        <f t="shared" si="28"/>
        <v>-77198.5</v>
      </c>
      <c r="M130" s="3"/>
      <c r="N130" s="22">
        <f t="shared" si="29"/>
        <v>-0.97816731218094111</v>
      </c>
      <c r="O130" s="11"/>
      <c r="P130" s="3">
        <v>1723.07</v>
      </c>
      <c r="Q130" s="3"/>
      <c r="R130" s="22">
        <f t="shared" si="30"/>
        <v>3.6130017908060489E-3</v>
      </c>
      <c r="S130" s="3"/>
      <c r="T130" s="3">
        <v>78921.570000000007</v>
      </c>
      <c r="U130" s="3"/>
      <c r="V130" s="22">
        <f t="shared" si="31"/>
        <v>5.2373066556840271E-2</v>
      </c>
      <c r="W130" s="3"/>
      <c r="X130" s="3">
        <f t="shared" si="32"/>
        <v>-77198.5</v>
      </c>
      <c r="Y130" s="3"/>
      <c r="Z130" s="22">
        <f t="shared" si="33"/>
        <v>-0.97816731218094111</v>
      </c>
    </row>
    <row r="131" spans="1:26" s="24" customFormat="1" hidden="1" outlineLevel="1" x14ac:dyDescent="0.25">
      <c r="A131" s="50"/>
      <c r="B131" s="11" t="str">
        <f>CONCATENATE("          ", "5041", " - ", "PURCHASES @ COST-LOGO GIFTS")</f>
        <v xml:space="preserve">          5041 - PURCHASES @ COST-LOGO GIFTS</v>
      </c>
      <c r="C131" s="11"/>
      <c r="D131" s="3">
        <v>-713.75</v>
      </c>
      <c r="E131" s="3"/>
      <c r="F131" s="22">
        <f t="shared" si="26"/>
        <v>-1.4966194224191806E-3</v>
      </c>
      <c r="G131" s="3"/>
      <c r="H131" s="3">
        <v>11950.27</v>
      </c>
      <c r="I131" s="3"/>
      <c r="J131" s="22">
        <f t="shared" si="27"/>
        <v>7.9303070894587071E-3</v>
      </c>
      <c r="K131" s="3"/>
      <c r="L131" s="3">
        <f t="shared" si="28"/>
        <v>-12664.02</v>
      </c>
      <c r="M131" s="3"/>
      <c r="N131" s="22">
        <f t="shared" si="29"/>
        <v>-1.0597266839996085</v>
      </c>
      <c r="O131" s="11"/>
      <c r="P131" s="3">
        <v>-713.75</v>
      </c>
      <c r="Q131" s="3"/>
      <c r="R131" s="22">
        <f t="shared" si="30"/>
        <v>-1.4966194224191806E-3</v>
      </c>
      <c r="S131" s="3"/>
      <c r="T131" s="3">
        <v>11950.27</v>
      </c>
      <c r="U131" s="3"/>
      <c r="V131" s="22">
        <f t="shared" si="31"/>
        <v>7.9303070894587071E-3</v>
      </c>
      <c r="W131" s="3"/>
      <c r="X131" s="3">
        <f t="shared" si="32"/>
        <v>-12664.02</v>
      </c>
      <c r="Y131" s="3"/>
      <c r="Z131" s="22">
        <f t="shared" si="33"/>
        <v>-1.0597266839996085</v>
      </c>
    </row>
    <row r="132" spans="1:26" s="24" customFormat="1" hidden="1" outlineLevel="1" x14ac:dyDescent="0.25">
      <c r="A132" s="50"/>
      <c r="B132" s="11" t="str">
        <f>CONCATENATE("          ", "5042", " - ", "PURCHASES @ COST-EVERYDAY GIFT")</f>
        <v xml:space="preserve">          5042 - PURCHASES @ COST-EVERYDAY GIFT</v>
      </c>
      <c r="C132" s="11"/>
      <c r="D132" s="3">
        <v>236.16</v>
      </c>
      <c r="E132" s="3"/>
      <c r="F132" s="22">
        <f t="shared" si="26"/>
        <v>4.9518969218705945E-4</v>
      </c>
      <c r="G132" s="3"/>
      <c r="H132" s="3">
        <v>7752.36</v>
      </c>
      <c r="I132" s="3"/>
      <c r="J132" s="22">
        <f t="shared" si="27"/>
        <v>5.1445361040408375E-3</v>
      </c>
      <c r="K132" s="3"/>
      <c r="L132" s="3">
        <f t="shared" si="28"/>
        <v>-7516.2</v>
      </c>
      <c r="M132" s="3"/>
      <c r="N132" s="22">
        <f t="shared" si="29"/>
        <v>-0.96953701840471807</v>
      </c>
      <c r="O132" s="11"/>
      <c r="P132" s="3">
        <v>236.16</v>
      </c>
      <c r="Q132" s="3"/>
      <c r="R132" s="22">
        <f t="shared" si="30"/>
        <v>4.9518969218705945E-4</v>
      </c>
      <c r="S132" s="3"/>
      <c r="T132" s="3">
        <v>7752.36</v>
      </c>
      <c r="U132" s="3"/>
      <c r="V132" s="22">
        <f t="shared" si="31"/>
        <v>5.1445361040408375E-3</v>
      </c>
      <c r="W132" s="3"/>
      <c r="X132" s="3">
        <f t="shared" si="32"/>
        <v>-7516.2</v>
      </c>
      <c r="Y132" s="3"/>
      <c r="Z132" s="22">
        <f t="shared" si="33"/>
        <v>-0.96953701840471807</v>
      </c>
    </row>
    <row r="133" spans="1:26" s="24" customFormat="1" hidden="1" outlineLevel="1" x14ac:dyDescent="0.25">
      <c r="A133" s="50"/>
      <c r="B133" s="11" t="str">
        <f>CONCATENATE("          ", "5043", " - ", "PURCHASES @ COST-CARDS")</f>
        <v xml:space="preserve">          5043 - PURCHASES @ COST-CARDS</v>
      </c>
      <c r="C133" s="11"/>
      <c r="D133" s="3">
        <v>308.7</v>
      </c>
      <c r="E133" s="3"/>
      <c r="F133" s="22">
        <f t="shared" si="26"/>
        <v>6.4729445282073704E-4</v>
      </c>
      <c r="G133" s="3"/>
      <c r="H133" s="3">
        <v>498.26</v>
      </c>
      <c r="I133" s="3"/>
      <c r="J133" s="22">
        <f t="shared" si="27"/>
        <v>3.3064983555967313E-4</v>
      </c>
      <c r="K133" s="3"/>
      <c r="L133" s="3">
        <f t="shared" si="28"/>
        <v>-189.56</v>
      </c>
      <c r="M133" s="3"/>
      <c r="N133" s="22">
        <f t="shared" si="29"/>
        <v>-0.38044394492835065</v>
      </c>
      <c r="O133" s="11"/>
      <c r="P133" s="3">
        <v>308.7</v>
      </c>
      <c r="Q133" s="3"/>
      <c r="R133" s="22">
        <f t="shared" si="30"/>
        <v>6.4729445282073704E-4</v>
      </c>
      <c r="S133" s="3"/>
      <c r="T133" s="3">
        <v>498.26</v>
      </c>
      <c r="U133" s="3"/>
      <c r="V133" s="22">
        <f t="shared" si="31"/>
        <v>3.3064983555967313E-4</v>
      </c>
      <c r="W133" s="3"/>
      <c r="X133" s="3">
        <f t="shared" si="32"/>
        <v>-189.56</v>
      </c>
      <c r="Y133" s="3"/>
      <c r="Z133" s="22">
        <f t="shared" si="33"/>
        <v>-0.38044394492835065</v>
      </c>
    </row>
    <row r="134" spans="1:26" s="24" customFormat="1" hidden="1" outlineLevel="1" x14ac:dyDescent="0.25">
      <c r="A134" s="50"/>
      <c r="B134" s="11" t="str">
        <f>CONCATENATE("          ", "5044", " - ", "PURCHASES @ COST-ACCESSORIES")</f>
        <v xml:space="preserve">          5044 - PURCHASES @ COST-ACCESSORIES</v>
      </c>
      <c r="C134" s="11"/>
      <c r="D134" s="3"/>
      <c r="E134" s="3"/>
      <c r="F134" s="22">
        <f t="shared" si="26"/>
        <v>0</v>
      </c>
      <c r="G134" s="3"/>
      <c r="H134" s="3">
        <v>4839</v>
      </c>
      <c r="I134" s="3"/>
      <c r="J134" s="22">
        <f t="shared" si="27"/>
        <v>3.2112040988103766E-3</v>
      </c>
      <c r="K134" s="3"/>
      <c r="L134" s="3">
        <f t="shared" si="28"/>
        <v>-4839</v>
      </c>
      <c r="M134" s="3"/>
      <c r="N134" s="22">
        <f t="shared" si="29"/>
        <v>-1</v>
      </c>
      <c r="O134" s="11"/>
      <c r="P134" s="3"/>
      <c r="Q134" s="3"/>
      <c r="R134" s="22">
        <f t="shared" si="30"/>
        <v>0</v>
      </c>
      <c r="S134" s="3"/>
      <c r="T134" s="3">
        <v>4839</v>
      </c>
      <c r="U134" s="3"/>
      <c r="V134" s="22">
        <f t="shared" si="31"/>
        <v>3.2112040988103766E-3</v>
      </c>
      <c r="W134" s="3"/>
      <c r="X134" s="3">
        <f t="shared" si="32"/>
        <v>-4839</v>
      </c>
      <c r="Y134" s="3"/>
      <c r="Z134" s="22">
        <f t="shared" si="33"/>
        <v>-1</v>
      </c>
    </row>
    <row r="135" spans="1:26" s="24" customFormat="1" hidden="1" outlineLevel="1" x14ac:dyDescent="0.25">
      <c r="A135" s="50"/>
      <c r="B135" s="11" t="str">
        <f>CONCATENATE("          ", "5045", " - ", "PURCHASES @ COST-SPECIAL ORDER")</f>
        <v xml:space="preserve">          5045 - PURCHASES @ COST-SPECIAL ORDER</v>
      </c>
      <c r="C135" s="11"/>
      <c r="D135" s="3">
        <v>2756.21</v>
      </c>
      <c r="E135" s="3"/>
      <c r="F135" s="22">
        <f t="shared" si="26"/>
        <v>5.7793308837351589E-3</v>
      </c>
      <c r="G135" s="3"/>
      <c r="H135" s="3">
        <v>15992.849999999999</v>
      </c>
      <c r="I135" s="3"/>
      <c r="J135" s="22">
        <f t="shared" si="27"/>
        <v>1.061299968416192E-2</v>
      </c>
      <c r="K135" s="3"/>
      <c r="L135" s="3">
        <f t="shared" si="28"/>
        <v>-13236.64</v>
      </c>
      <c r="M135" s="3"/>
      <c r="N135" s="22">
        <f t="shared" si="29"/>
        <v>-0.82765986050016105</v>
      </c>
      <c r="O135" s="11"/>
      <c r="P135" s="3">
        <v>2756.21</v>
      </c>
      <c r="Q135" s="3"/>
      <c r="R135" s="22">
        <f t="shared" si="30"/>
        <v>5.7793308837351589E-3</v>
      </c>
      <c r="S135" s="3"/>
      <c r="T135" s="3">
        <v>15992.849999999999</v>
      </c>
      <c r="U135" s="3"/>
      <c r="V135" s="22">
        <f t="shared" si="31"/>
        <v>1.061299968416192E-2</v>
      </c>
      <c r="W135" s="3"/>
      <c r="X135" s="3">
        <f t="shared" si="32"/>
        <v>-13236.64</v>
      </c>
      <c r="Y135" s="3"/>
      <c r="Z135" s="22">
        <f t="shared" si="33"/>
        <v>-0.82765986050016105</v>
      </c>
    </row>
    <row r="136" spans="1:26" s="24" customFormat="1" hidden="1" outlineLevel="1" x14ac:dyDescent="0.25">
      <c r="A136" s="50"/>
      <c r="B136" s="11" t="str">
        <f>CONCATENATE("          ", "5053", " - ", "PURCHASES @ COST-FOOD")</f>
        <v xml:space="preserve">          5053 - PURCHASES @ COST-FOOD</v>
      </c>
      <c r="C136" s="11"/>
      <c r="D136" s="3">
        <v>8053.75</v>
      </c>
      <c r="E136" s="3"/>
      <c r="F136" s="22">
        <f t="shared" si="26"/>
        <v>1.6887423710414677E-2</v>
      </c>
      <c r="G136" s="3"/>
      <c r="H136" s="3">
        <v>273630.76999999996</v>
      </c>
      <c r="I136" s="3"/>
      <c r="J136" s="22">
        <f t="shared" si="27"/>
        <v>0.18158385000715838</v>
      </c>
      <c r="K136" s="3"/>
      <c r="L136" s="3">
        <f t="shared" si="28"/>
        <v>-265577.01999999996</v>
      </c>
      <c r="M136" s="3"/>
      <c r="N136" s="22">
        <f t="shared" si="29"/>
        <v>-0.97056708936644809</v>
      </c>
      <c r="O136" s="11"/>
      <c r="P136" s="3">
        <v>8053.75</v>
      </c>
      <c r="Q136" s="3"/>
      <c r="R136" s="22">
        <f t="shared" si="30"/>
        <v>1.6887423710414677E-2</v>
      </c>
      <c r="S136" s="3"/>
      <c r="T136" s="3">
        <v>273630.76999999996</v>
      </c>
      <c r="U136" s="3"/>
      <c r="V136" s="22">
        <f t="shared" si="31"/>
        <v>0.18158385000715838</v>
      </c>
      <c r="W136" s="3"/>
      <c r="X136" s="3">
        <f t="shared" si="32"/>
        <v>-265577.01999999996</v>
      </c>
      <c r="Y136" s="3"/>
      <c r="Z136" s="22">
        <f t="shared" si="33"/>
        <v>-0.97056708936644809</v>
      </c>
    </row>
    <row r="137" spans="1:26" s="24" customFormat="1" hidden="1" outlineLevel="1" x14ac:dyDescent="0.25">
      <c r="A137" s="50"/>
      <c r="B137" s="11" t="str">
        <f>CONCATENATE("          ", "5059", " - ", "PURCHASES @ COST-FOOD")</f>
        <v xml:space="preserve">          5059 - PURCHASES @ COST-FOOD</v>
      </c>
      <c r="C137" s="11"/>
      <c r="D137" s="3">
        <v>3409</v>
      </c>
      <c r="E137" s="3"/>
      <c r="F137" s="22">
        <f t="shared" si="26"/>
        <v>7.1481269506507693E-3</v>
      </c>
      <c r="G137" s="3"/>
      <c r="H137" s="3">
        <v>-20335.75</v>
      </c>
      <c r="I137" s="3"/>
      <c r="J137" s="22">
        <f t="shared" si="27"/>
        <v>-1.3494987342918603E-2</v>
      </c>
      <c r="K137" s="3"/>
      <c r="L137" s="3">
        <f t="shared" si="28"/>
        <v>23744.75</v>
      </c>
      <c r="M137" s="3"/>
      <c r="N137" s="22">
        <f t="shared" si="29"/>
        <v>-1.1676358137762315</v>
      </c>
      <c r="O137" s="11"/>
      <c r="P137" s="3">
        <v>3409</v>
      </c>
      <c r="Q137" s="3"/>
      <c r="R137" s="22">
        <f t="shared" si="30"/>
        <v>7.1481269506507693E-3</v>
      </c>
      <c r="S137" s="3"/>
      <c r="T137" s="3">
        <v>-20335.75</v>
      </c>
      <c r="U137" s="3"/>
      <c r="V137" s="22">
        <f t="shared" si="31"/>
        <v>-1.3494987342918603E-2</v>
      </c>
      <c r="W137" s="3"/>
      <c r="X137" s="3">
        <f t="shared" si="32"/>
        <v>23744.75</v>
      </c>
      <c r="Y137" s="3"/>
      <c r="Z137" s="22">
        <f t="shared" si="33"/>
        <v>-1.1676358137762315</v>
      </c>
    </row>
    <row r="138" spans="1:26" s="24" customFormat="1" hidden="1" outlineLevel="1" x14ac:dyDescent="0.25">
      <c r="A138" s="50"/>
      <c r="B138" s="11" t="str">
        <f>CONCATENATE("          ", "5081", " - ", "PURCHASES @ COST-ELECTRONICS")</f>
        <v xml:space="preserve">          5081 - PURCHASES @ COST-ELECTRONICS</v>
      </c>
      <c r="C138" s="11"/>
      <c r="D138" s="3">
        <v>6676.92</v>
      </c>
      <c r="E138" s="3"/>
      <c r="F138" s="22">
        <f t="shared" si="26"/>
        <v>1.4000431739319195E-2</v>
      </c>
      <c r="G138" s="3"/>
      <c r="H138" s="3">
        <v>66058.349999999991</v>
      </c>
      <c r="I138" s="3"/>
      <c r="J138" s="22">
        <f t="shared" si="27"/>
        <v>4.3836917602944912E-2</v>
      </c>
      <c r="K138" s="3"/>
      <c r="L138" s="3">
        <f t="shared" si="28"/>
        <v>-59381.429999999993</v>
      </c>
      <c r="M138" s="3"/>
      <c r="N138" s="22">
        <f t="shared" si="29"/>
        <v>-0.89892390591045646</v>
      </c>
      <c r="O138" s="11"/>
      <c r="P138" s="3">
        <v>6676.92</v>
      </c>
      <c r="Q138" s="3"/>
      <c r="R138" s="22">
        <f t="shared" si="30"/>
        <v>1.4000431739319195E-2</v>
      </c>
      <c r="S138" s="3"/>
      <c r="T138" s="3">
        <v>66058.349999999991</v>
      </c>
      <c r="U138" s="3"/>
      <c r="V138" s="22">
        <f t="shared" si="31"/>
        <v>4.3836917602944912E-2</v>
      </c>
      <c r="W138" s="3"/>
      <c r="X138" s="3">
        <f t="shared" si="32"/>
        <v>-59381.429999999993</v>
      </c>
      <c r="Y138" s="3"/>
      <c r="Z138" s="22">
        <f t="shared" si="33"/>
        <v>-0.89892390591045646</v>
      </c>
    </row>
    <row r="139" spans="1:26" s="24" customFormat="1" hidden="1" outlineLevel="1" x14ac:dyDescent="0.25">
      <c r="A139" s="50"/>
      <c r="B139" s="11" t="str">
        <f>CONCATENATE("          ", "5082", " - ", "PURCHASES @ COST-COMPUTER HARD")</f>
        <v xml:space="preserve">          5082 - PURCHASES @ COST-COMPUTER HARD</v>
      </c>
      <c r="C139" s="11"/>
      <c r="D139" s="3">
        <v>186472.57</v>
      </c>
      <c r="E139" s="3"/>
      <c r="F139" s="22">
        <f t="shared" si="26"/>
        <v>0.39100311034734886</v>
      </c>
      <c r="G139" s="3"/>
      <c r="H139" s="3">
        <v>356559.97</v>
      </c>
      <c r="I139" s="3"/>
      <c r="J139" s="22">
        <f t="shared" si="27"/>
        <v>0.23661641602308428</v>
      </c>
      <c r="K139" s="3"/>
      <c r="L139" s="3">
        <f t="shared" si="28"/>
        <v>-170087.39999999997</v>
      </c>
      <c r="M139" s="3"/>
      <c r="N139" s="22">
        <f t="shared" si="29"/>
        <v>-0.4770232620335928</v>
      </c>
      <c r="O139" s="11"/>
      <c r="P139" s="3">
        <v>186472.57</v>
      </c>
      <c r="Q139" s="3"/>
      <c r="R139" s="22">
        <f t="shared" si="30"/>
        <v>0.39100311034734886</v>
      </c>
      <c r="S139" s="3"/>
      <c r="T139" s="3">
        <v>356559.97</v>
      </c>
      <c r="U139" s="3"/>
      <c r="V139" s="22">
        <f t="shared" si="31"/>
        <v>0.23661641602308428</v>
      </c>
      <c r="W139" s="3"/>
      <c r="X139" s="3">
        <f t="shared" si="32"/>
        <v>-170087.39999999997</v>
      </c>
      <c r="Y139" s="3"/>
      <c r="Z139" s="22">
        <f t="shared" si="33"/>
        <v>-0.4770232620335928</v>
      </c>
    </row>
    <row r="140" spans="1:26" s="24" customFormat="1" hidden="1" outlineLevel="1" x14ac:dyDescent="0.25">
      <c r="A140" s="50"/>
      <c r="B140" s="11" t="str">
        <f>CONCATENATE("          ", "5083", " - ", "PURCHASES @ COST-COMPUTER EQUI")</f>
        <v xml:space="preserve">          5083 - PURCHASES @ COST-COMPUTER EQUI</v>
      </c>
      <c r="C140" s="11"/>
      <c r="D140" s="3">
        <v>29938.300000000003</v>
      </c>
      <c r="E140" s="3"/>
      <c r="F140" s="22">
        <f t="shared" si="26"/>
        <v>6.2775819620612489E-2</v>
      </c>
      <c r="G140" s="3"/>
      <c r="H140" s="3">
        <v>7276.14</v>
      </c>
      <c r="I140" s="3"/>
      <c r="J140" s="22">
        <f t="shared" si="27"/>
        <v>4.8285122115143903E-3</v>
      </c>
      <c r="K140" s="3"/>
      <c r="L140" s="3">
        <f t="shared" si="28"/>
        <v>22662.160000000003</v>
      </c>
      <c r="M140" s="3"/>
      <c r="N140" s="22">
        <f t="shared" si="29"/>
        <v>3.1145854807631523</v>
      </c>
      <c r="O140" s="11"/>
      <c r="P140" s="3">
        <v>29938.300000000003</v>
      </c>
      <c r="Q140" s="3"/>
      <c r="R140" s="22">
        <f t="shared" si="30"/>
        <v>6.2775819620612489E-2</v>
      </c>
      <c r="S140" s="3"/>
      <c r="T140" s="3">
        <v>7276.14</v>
      </c>
      <c r="U140" s="3"/>
      <c r="V140" s="22">
        <f t="shared" si="31"/>
        <v>4.8285122115143903E-3</v>
      </c>
      <c r="W140" s="3"/>
      <c r="X140" s="3">
        <f t="shared" si="32"/>
        <v>22662.160000000003</v>
      </c>
      <c r="Y140" s="3"/>
      <c r="Z140" s="22">
        <f t="shared" si="33"/>
        <v>3.1145854807631523</v>
      </c>
    </row>
    <row r="141" spans="1:26" s="24" customFormat="1" hidden="1" outlineLevel="1" x14ac:dyDescent="0.25">
      <c r="A141" s="50"/>
      <c r="B141" s="11" t="str">
        <f>CONCATENATE("          ", "5085", " - ", "PURCHASES @ COST-SOFTWARE")</f>
        <v xml:space="preserve">          5085 - PURCHASES @ COST-SOFTWARE</v>
      </c>
      <c r="C141" s="11"/>
      <c r="D141" s="3">
        <v>3864.34</v>
      </c>
      <c r="E141" s="3"/>
      <c r="F141" s="22">
        <f t="shared" si="26"/>
        <v>8.1029019948600164E-3</v>
      </c>
      <c r="G141" s="3"/>
      <c r="H141" s="3"/>
      <c r="I141" s="3"/>
      <c r="J141" s="22">
        <f t="shared" si="27"/>
        <v>0</v>
      </c>
      <c r="K141" s="3"/>
      <c r="L141" s="3">
        <f t="shared" si="28"/>
        <v>3864.34</v>
      </c>
      <c r="M141" s="3"/>
      <c r="N141" s="22">
        <f t="shared" si="29"/>
        <v>0</v>
      </c>
      <c r="O141" s="11"/>
      <c r="P141" s="3">
        <v>3864.34</v>
      </c>
      <c r="Q141" s="3"/>
      <c r="R141" s="22">
        <f t="shared" si="30"/>
        <v>8.1029019948600164E-3</v>
      </c>
      <c r="S141" s="3"/>
      <c r="T141" s="3"/>
      <c r="U141" s="3"/>
      <c r="V141" s="22">
        <f t="shared" si="31"/>
        <v>0</v>
      </c>
      <c r="W141" s="3"/>
      <c r="X141" s="3">
        <f t="shared" si="32"/>
        <v>3864.34</v>
      </c>
      <c r="Y141" s="3"/>
      <c r="Z141" s="22">
        <f t="shared" si="33"/>
        <v>0</v>
      </c>
    </row>
    <row r="142" spans="1:26" s="24" customFormat="1" hidden="1" outlineLevel="1" x14ac:dyDescent="0.25">
      <c r="A142" s="50"/>
      <c r="B142" s="11" t="str">
        <f>CONCATENATE("          ", "5086", " - ", "PURCHASES @ COST-COMPUTER SUPP")</f>
        <v xml:space="preserve">          5086 - PURCHASES @ COST-COMPUTER SUPP</v>
      </c>
      <c r="C142" s="11"/>
      <c r="D142" s="3">
        <v>87.25</v>
      </c>
      <c r="E142" s="3"/>
      <c r="F142" s="22">
        <f t="shared" si="26"/>
        <v>1.8294927440430615E-4</v>
      </c>
      <c r="G142" s="3"/>
      <c r="H142" s="3">
        <v>3427.07</v>
      </c>
      <c r="I142" s="3"/>
      <c r="J142" s="22">
        <f t="shared" si="27"/>
        <v>2.2742346003120639E-3</v>
      </c>
      <c r="K142" s="3"/>
      <c r="L142" s="3">
        <f t="shared" si="28"/>
        <v>-3339.82</v>
      </c>
      <c r="M142" s="3"/>
      <c r="N142" s="22">
        <f t="shared" si="29"/>
        <v>-0.97454093438418243</v>
      </c>
      <c r="O142" s="11"/>
      <c r="P142" s="3">
        <v>87.25</v>
      </c>
      <c r="Q142" s="3"/>
      <c r="R142" s="22">
        <f t="shared" si="30"/>
        <v>1.8294927440430615E-4</v>
      </c>
      <c r="S142" s="3"/>
      <c r="T142" s="3">
        <v>3427.07</v>
      </c>
      <c r="U142" s="3"/>
      <c r="V142" s="22">
        <f t="shared" si="31"/>
        <v>2.2742346003120639E-3</v>
      </c>
      <c r="W142" s="3"/>
      <c r="X142" s="3">
        <f t="shared" si="32"/>
        <v>-3339.82</v>
      </c>
      <c r="Y142" s="3"/>
      <c r="Z142" s="22">
        <f t="shared" si="33"/>
        <v>-0.97454093438418243</v>
      </c>
    </row>
    <row r="143" spans="1:26" s="24" customFormat="1" hidden="1" outlineLevel="1" x14ac:dyDescent="0.25">
      <c r="A143" s="50"/>
      <c r="B143" s="11" t="str">
        <f>CONCATENATE("          ", "5088", " - ", "PURCHASES @ COST-MUSIC")</f>
        <v xml:space="preserve">          5088 - PURCHASES @ COST-MUSIC</v>
      </c>
      <c r="C143" s="11"/>
      <c r="D143" s="3"/>
      <c r="E143" s="3"/>
      <c r="F143" s="22">
        <f t="shared" si="26"/>
        <v>0</v>
      </c>
      <c r="G143" s="3"/>
      <c r="H143" s="3">
        <v>82</v>
      </c>
      <c r="I143" s="3"/>
      <c r="J143" s="22">
        <f t="shared" si="27"/>
        <v>5.4415940504742899E-5</v>
      </c>
      <c r="K143" s="3"/>
      <c r="L143" s="3">
        <f t="shared" si="28"/>
        <v>-82</v>
      </c>
      <c r="M143" s="3"/>
      <c r="N143" s="22">
        <f t="shared" si="29"/>
        <v>-1</v>
      </c>
      <c r="O143" s="11"/>
      <c r="P143" s="3"/>
      <c r="Q143" s="3"/>
      <c r="R143" s="22">
        <f t="shared" si="30"/>
        <v>0</v>
      </c>
      <c r="S143" s="3"/>
      <c r="T143" s="3">
        <v>82</v>
      </c>
      <c r="U143" s="3"/>
      <c r="V143" s="22">
        <f t="shared" si="31"/>
        <v>5.4415940504742899E-5</v>
      </c>
      <c r="W143" s="3"/>
      <c r="X143" s="3">
        <f t="shared" si="32"/>
        <v>-82</v>
      </c>
      <c r="Y143" s="3"/>
      <c r="Z143" s="22">
        <f t="shared" si="33"/>
        <v>-1</v>
      </c>
    </row>
    <row r="144" spans="1:26" s="24" customFormat="1" hidden="1" outlineLevel="1" x14ac:dyDescent="0.25">
      <c r="A144" s="50"/>
      <c r="B144" s="11" t="str">
        <f>CONCATENATE("          ", "5092", " - ", "PURCHASES @ COST-GRAD MERCH")</f>
        <v xml:space="preserve">          5092 - PURCHASES @ COST-GRAD MERCH</v>
      </c>
      <c r="C144" s="11"/>
      <c r="D144" s="3"/>
      <c r="E144" s="3"/>
      <c r="F144" s="22">
        <f t="shared" si="26"/>
        <v>0</v>
      </c>
      <c r="G144" s="3"/>
      <c r="H144" s="3">
        <v>1228.5999999999999</v>
      </c>
      <c r="I144" s="3"/>
      <c r="J144" s="22">
        <f t="shared" si="27"/>
        <v>8.1531005492837952E-4</v>
      </c>
      <c r="K144" s="3"/>
      <c r="L144" s="3">
        <f t="shared" si="28"/>
        <v>-1228.5999999999999</v>
      </c>
      <c r="M144" s="3"/>
      <c r="N144" s="22">
        <f t="shared" si="29"/>
        <v>-1</v>
      </c>
      <c r="O144" s="11"/>
      <c r="P144" s="3"/>
      <c r="Q144" s="3"/>
      <c r="R144" s="22">
        <f t="shared" si="30"/>
        <v>0</v>
      </c>
      <c r="S144" s="3"/>
      <c r="T144" s="3">
        <v>1228.5999999999999</v>
      </c>
      <c r="U144" s="3"/>
      <c r="V144" s="22">
        <f t="shared" si="31"/>
        <v>8.1531005492837952E-4</v>
      </c>
      <c r="W144" s="3"/>
      <c r="X144" s="3">
        <f t="shared" si="32"/>
        <v>-1228.5999999999999</v>
      </c>
      <c r="Y144" s="3"/>
      <c r="Z144" s="22">
        <f t="shared" si="33"/>
        <v>-1</v>
      </c>
    </row>
    <row r="145" spans="1:26" s="24" customFormat="1" hidden="1" outlineLevel="1" x14ac:dyDescent="0.25">
      <c r="A145" s="50"/>
      <c r="B145" s="11" t="str">
        <f>CONCATENATE("          ", "5095", " - ", "PURCHASES @ COST-CUSTOMER SERV")</f>
        <v xml:space="preserve">          5095 - PURCHASES @ COST-CUSTOMER SERV</v>
      </c>
      <c r="C145" s="11"/>
      <c r="D145" s="3"/>
      <c r="E145" s="3"/>
      <c r="F145" s="22">
        <f t="shared" si="26"/>
        <v>0</v>
      </c>
      <c r="G145" s="3"/>
      <c r="H145" s="3">
        <v>0</v>
      </c>
      <c r="I145" s="3"/>
      <c r="J145" s="22">
        <f t="shared" si="27"/>
        <v>0</v>
      </c>
      <c r="K145" s="3"/>
      <c r="L145" s="3">
        <f t="shared" si="28"/>
        <v>0</v>
      </c>
      <c r="M145" s="3"/>
      <c r="N145" s="22">
        <f t="shared" si="29"/>
        <v>0</v>
      </c>
      <c r="O145" s="11"/>
      <c r="P145" s="3"/>
      <c r="Q145" s="3"/>
      <c r="R145" s="22">
        <f t="shared" si="30"/>
        <v>0</v>
      </c>
      <c r="S145" s="3"/>
      <c r="T145" s="3">
        <v>0</v>
      </c>
      <c r="U145" s="3"/>
      <c r="V145" s="22">
        <f t="shared" si="31"/>
        <v>0</v>
      </c>
      <c r="W145" s="3"/>
      <c r="X145" s="3">
        <f t="shared" si="32"/>
        <v>0</v>
      </c>
      <c r="Y145" s="3"/>
      <c r="Z145" s="22">
        <f t="shared" si="33"/>
        <v>0</v>
      </c>
    </row>
    <row r="146" spans="1:26" s="24" customFormat="1" hidden="1" outlineLevel="1" x14ac:dyDescent="0.25">
      <c r="A146" s="50"/>
      <c r="B146" s="11" t="str">
        <f>CONCATENATE("          ", "5200", " - ", "PURCHASES OFFSET")</f>
        <v xml:space="preserve">          5200 - PURCHASES OFFSET</v>
      </c>
      <c r="C146" s="11"/>
      <c r="D146" s="3">
        <v>-442822.05</v>
      </c>
      <c r="E146" s="3"/>
      <c r="F146" s="22">
        <f t="shared" si="26"/>
        <v>-0.92852690816879513</v>
      </c>
      <c r="G146" s="3"/>
      <c r="H146" s="3">
        <v>-1262309</v>
      </c>
      <c r="I146" s="3"/>
      <c r="J146" s="22">
        <f t="shared" si="27"/>
        <v>-0.83767965173904269</v>
      </c>
      <c r="K146" s="3"/>
      <c r="L146" s="3">
        <f t="shared" si="28"/>
        <v>819486.95</v>
      </c>
      <c r="M146" s="3"/>
      <c r="N146" s="22">
        <f t="shared" si="29"/>
        <v>-0.64919678937565994</v>
      </c>
      <c r="O146" s="11"/>
      <c r="P146" s="3">
        <v>-442822.05</v>
      </c>
      <c r="Q146" s="3"/>
      <c r="R146" s="22">
        <f t="shared" si="30"/>
        <v>-0.92852690816879513</v>
      </c>
      <c r="S146" s="3"/>
      <c r="T146" s="3">
        <v>-1262309</v>
      </c>
      <c r="U146" s="3"/>
      <c r="V146" s="22">
        <f t="shared" si="31"/>
        <v>-0.83767965173904269</v>
      </c>
      <c r="W146" s="3"/>
      <c r="X146" s="3">
        <f t="shared" si="32"/>
        <v>819486.95</v>
      </c>
      <c r="Y146" s="3"/>
      <c r="Z146" s="22">
        <f t="shared" si="33"/>
        <v>-0.64919678937565994</v>
      </c>
    </row>
    <row r="147" spans="1:26" s="24" customFormat="1" hidden="1" outlineLevel="1" x14ac:dyDescent="0.25">
      <c r="A147" s="50"/>
      <c r="B147" s="11" t="str">
        <f>CONCATENATE("          ", "5300", " - ", "COG$ OFFSET")</f>
        <v xml:space="preserve">          5300 - COG$ OFFSET</v>
      </c>
      <c r="C147" s="11"/>
      <c r="D147" s="3">
        <v>319584</v>
      </c>
      <c r="E147" s="3"/>
      <c r="F147" s="22">
        <f t="shared" si="26"/>
        <v>0.67011645743525239</v>
      </c>
      <c r="G147" s="3"/>
      <c r="H147" s="3">
        <v>523490</v>
      </c>
      <c r="I147" s="3"/>
      <c r="J147" s="22">
        <f t="shared" si="27"/>
        <v>0.34739269140033974</v>
      </c>
      <c r="K147" s="3"/>
      <c r="L147" s="3">
        <f t="shared" si="28"/>
        <v>-203906</v>
      </c>
      <c r="M147" s="3"/>
      <c r="N147" s="22">
        <f t="shared" si="29"/>
        <v>-0.38951269365221874</v>
      </c>
      <c r="O147" s="11"/>
      <c r="P147" s="3">
        <v>319584</v>
      </c>
      <c r="Q147" s="3"/>
      <c r="R147" s="22">
        <f t="shared" si="30"/>
        <v>0.67011645743525239</v>
      </c>
      <c r="S147" s="3"/>
      <c r="T147" s="3">
        <v>523490</v>
      </c>
      <c r="U147" s="3"/>
      <c r="V147" s="22">
        <f t="shared" si="31"/>
        <v>0.34739269140033974</v>
      </c>
      <c r="W147" s="3"/>
      <c r="X147" s="3">
        <f t="shared" si="32"/>
        <v>-203906</v>
      </c>
      <c r="Y147" s="3"/>
      <c r="Z147" s="22">
        <f t="shared" si="33"/>
        <v>-0.38951269365221874</v>
      </c>
    </row>
    <row r="148" spans="1:26" s="24" customFormat="1" hidden="1" outlineLevel="1" x14ac:dyDescent="0.25">
      <c r="A148" s="50"/>
      <c r="B148" s="11" t="str">
        <f>CONCATENATE("          ", "5500", " - ", "FREIGHT-IN")</f>
        <v xml:space="preserve">          5500 - FREIGHT-IN</v>
      </c>
      <c r="C148" s="11"/>
      <c r="D148" s="3"/>
      <c r="E148" s="3"/>
      <c r="F148" s="22">
        <f t="shared" si="26"/>
        <v>0</v>
      </c>
      <c r="G148" s="3"/>
      <c r="H148" s="3">
        <v>49</v>
      </c>
      <c r="I148" s="3"/>
      <c r="J148" s="22">
        <f t="shared" si="27"/>
        <v>3.2516842496736612E-5</v>
      </c>
      <c r="K148" s="3"/>
      <c r="L148" s="3">
        <f t="shared" si="28"/>
        <v>-49</v>
      </c>
      <c r="M148" s="3"/>
      <c r="N148" s="22">
        <f t="shared" si="29"/>
        <v>-1</v>
      </c>
      <c r="O148" s="11"/>
      <c r="P148" s="3"/>
      <c r="Q148" s="3"/>
      <c r="R148" s="22">
        <f t="shared" si="30"/>
        <v>0</v>
      </c>
      <c r="S148" s="3"/>
      <c r="T148" s="3">
        <v>49</v>
      </c>
      <c r="U148" s="3"/>
      <c r="V148" s="22">
        <f t="shared" si="31"/>
        <v>3.2516842496736612E-5</v>
      </c>
      <c r="W148" s="3"/>
      <c r="X148" s="3">
        <f t="shared" si="32"/>
        <v>-49</v>
      </c>
      <c r="Y148" s="3"/>
      <c r="Z148" s="22">
        <f t="shared" si="33"/>
        <v>-1</v>
      </c>
    </row>
    <row r="149" spans="1:26" s="24" customFormat="1" hidden="1" outlineLevel="1" x14ac:dyDescent="0.25">
      <c r="A149" s="50"/>
      <c r="B149" s="11" t="str">
        <f>CONCATENATE("          ", "5501", " - ", "FREIGHT-IN-NEW TEXT")</f>
        <v xml:space="preserve">          5501 - FREIGHT-IN-NEW TEXT</v>
      </c>
      <c r="C149" s="11"/>
      <c r="D149" s="3">
        <v>802.72</v>
      </c>
      <c r="E149" s="3"/>
      <c r="F149" s="22">
        <f t="shared" si="26"/>
        <v>1.6831752613160416E-3</v>
      </c>
      <c r="G149" s="3"/>
      <c r="H149" s="3">
        <v>1716.08</v>
      </c>
      <c r="I149" s="3"/>
      <c r="J149" s="22">
        <f t="shared" si="27"/>
        <v>1.1388061851387707E-3</v>
      </c>
      <c r="K149" s="3"/>
      <c r="L149" s="3">
        <f t="shared" si="28"/>
        <v>-913.3599999999999</v>
      </c>
      <c r="M149" s="3"/>
      <c r="N149" s="22">
        <f t="shared" si="29"/>
        <v>-0.53223625938184693</v>
      </c>
      <c r="O149" s="11"/>
      <c r="P149" s="3">
        <v>802.72</v>
      </c>
      <c r="Q149" s="3"/>
      <c r="R149" s="22">
        <f t="shared" si="30"/>
        <v>1.6831752613160416E-3</v>
      </c>
      <c r="S149" s="3"/>
      <c r="T149" s="3">
        <v>1716.08</v>
      </c>
      <c r="U149" s="3"/>
      <c r="V149" s="22">
        <f t="shared" si="31"/>
        <v>1.1388061851387707E-3</v>
      </c>
      <c r="W149" s="3"/>
      <c r="X149" s="3">
        <f t="shared" si="32"/>
        <v>-913.3599999999999</v>
      </c>
      <c r="Y149" s="3"/>
      <c r="Z149" s="22">
        <f t="shared" si="33"/>
        <v>-0.53223625938184693</v>
      </c>
    </row>
    <row r="150" spans="1:26" s="24" customFormat="1" hidden="1" outlineLevel="1" x14ac:dyDescent="0.25">
      <c r="A150" s="50"/>
      <c r="B150" s="11" t="str">
        <f>CONCATENATE("          ", "5502", " - ", "FREIGHT-IN-USED TEXT")</f>
        <v xml:space="preserve">          5502 - FREIGHT-IN-USED TEXT</v>
      </c>
      <c r="C150" s="11"/>
      <c r="D150" s="3">
        <v>47.89</v>
      </c>
      <c r="E150" s="3"/>
      <c r="F150" s="22">
        <f t="shared" si="26"/>
        <v>1.0041765903979623E-4</v>
      </c>
      <c r="G150" s="3"/>
      <c r="H150" s="3">
        <v>277.49</v>
      </c>
      <c r="I150" s="3"/>
      <c r="J150" s="22">
        <f t="shared" si="27"/>
        <v>1.8414486988611108E-4</v>
      </c>
      <c r="K150" s="3"/>
      <c r="L150" s="3">
        <f t="shared" si="28"/>
        <v>-229.60000000000002</v>
      </c>
      <c r="M150" s="3"/>
      <c r="N150" s="22">
        <f t="shared" si="29"/>
        <v>-0.82741720422357568</v>
      </c>
      <c r="O150" s="11"/>
      <c r="P150" s="3">
        <v>47.89</v>
      </c>
      <c r="Q150" s="3"/>
      <c r="R150" s="22">
        <f t="shared" si="30"/>
        <v>1.0041765903979623E-4</v>
      </c>
      <c r="S150" s="3"/>
      <c r="T150" s="3">
        <v>277.49</v>
      </c>
      <c r="U150" s="3"/>
      <c r="V150" s="22">
        <f t="shared" si="31"/>
        <v>1.8414486988611108E-4</v>
      </c>
      <c r="W150" s="3"/>
      <c r="X150" s="3">
        <f t="shared" si="32"/>
        <v>-229.60000000000002</v>
      </c>
      <c r="Y150" s="3"/>
      <c r="Z150" s="22">
        <f t="shared" si="33"/>
        <v>-0.82741720422357568</v>
      </c>
    </row>
    <row r="151" spans="1:26" s="24" customFormat="1" hidden="1" outlineLevel="1" x14ac:dyDescent="0.25">
      <c r="A151" s="50"/>
      <c r="B151" s="11" t="str">
        <f>CONCATENATE("          ", "5526", " - ", "FREIGHT-IN-WRITING INSTRUMENTS")</f>
        <v xml:space="preserve">          5526 - FREIGHT-IN-WRITING INSTRUMENTS</v>
      </c>
      <c r="C151" s="11"/>
      <c r="D151" s="3"/>
      <c r="E151" s="3"/>
      <c r="F151" s="22">
        <f t="shared" si="26"/>
        <v>0</v>
      </c>
      <c r="G151" s="3"/>
      <c r="H151" s="3">
        <v>39.11</v>
      </c>
      <c r="I151" s="3"/>
      <c r="J151" s="22">
        <f t="shared" si="27"/>
        <v>2.5953749184640181E-5</v>
      </c>
      <c r="K151" s="3"/>
      <c r="L151" s="3">
        <f t="shared" si="28"/>
        <v>-39.11</v>
      </c>
      <c r="M151" s="3"/>
      <c r="N151" s="22">
        <f t="shared" si="29"/>
        <v>-1</v>
      </c>
      <c r="O151" s="11"/>
      <c r="P151" s="3"/>
      <c r="Q151" s="3"/>
      <c r="R151" s="22">
        <f t="shared" si="30"/>
        <v>0</v>
      </c>
      <c r="S151" s="3"/>
      <c r="T151" s="3">
        <v>39.11</v>
      </c>
      <c r="U151" s="3"/>
      <c r="V151" s="22">
        <f t="shared" si="31"/>
        <v>2.5953749184640181E-5</v>
      </c>
      <c r="W151" s="3"/>
      <c r="X151" s="3">
        <f t="shared" si="32"/>
        <v>-39.11</v>
      </c>
      <c r="Y151" s="3"/>
      <c r="Z151" s="22">
        <f t="shared" si="33"/>
        <v>-1</v>
      </c>
    </row>
    <row r="152" spans="1:26" s="24" customFormat="1" hidden="1" outlineLevel="1" x14ac:dyDescent="0.25">
      <c r="A152" s="50"/>
      <c r="B152" s="11" t="str">
        <f>CONCATENATE("          ", "5527", " - ", "FREIGHT-IN-SCHOOL SUPPLIES")</f>
        <v xml:space="preserve">          5527 - FREIGHT-IN-SCHOOL SUPPLIES</v>
      </c>
      <c r="C152" s="11"/>
      <c r="D152" s="3"/>
      <c r="E152" s="3"/>
      <c r="F152" s="22">
        <f t="shared" si="26"/>
        <v>0</v>
      </c>
      <c r="G152" s="3"/>
      <c r="H152" s="3">
        <v>250.02</v>
      </c>
      <c r="I152" s="3"/>
      <c r="J152" s="22">
        <f t="shared" si="27"/>
        <v>1.6591552981702219E-4</v>
      </c>
      <c r="K152" s="3"/>
      <c r="L152" s="3">
        <f t="shared" si="28"/>
        <v>-250.02</v>
      </c>
      <c r="M152" s="3"/>
      <c r="N152" s="22">
        <f t="shared" si="29"/>
        <v>-1</v>
      </c>
      <c r="O152" s="11"/>
      <c r="P152" s="3"/>
      <c r="Q152" s="3"/>
      <c r="R152" s="22">
        <f t="shared" si="30"/>
        <v>0</v>
      </c>
      <c r="S152" s="3"/>
      <c r="T152" s="3">
        <v>250.02</v>
      </c>
      <c r="U152" s="3"/>
      <c r="V152" s="22">
        <f t="shared" si="31"/>
        <v>1.6591552981702219E-4</v>
      </c>
      <c r="W152" s="3"/>
      <c r="X152" s="3">
        <f t="shared" si="32"/>
        <v>-250.02</v>
      </c>
      <c r="Y152" s="3"/>
      <c r="Z152" s="22">
        <f t="shared" si="33"/>
        <v>-1</v>
      </c>
    </row>
    <row r="153" spans="1:26" s="24" customFormat="1" hidden="1" outlineLevel="1" x14ac:dyDescent="0.25">
      <c r="A153" s="50"/>
      <c r="B153" s="11" t="str">
        <f>CONCATENATE("          ", "5528", " - ", "FREIGHT-IN-ART/TECH")</f>
        <v xml:space="preserve">          5528 - FREIGHT-IN-ART/TECH</v>
      </c>
      <c r="C153" s="11"/>
      <c r="D153" s="3">
        <v>38.049999999999997</v>
      </c>
      <c r="E153" s="3"/>
      <c r="F153" s="22">
        <f t="shared" si="26"/>
        <v>7.9784755198668744E-5</v>
      </c>
      <c r="G153" s="3"/>
      <c r="H153" s="3">
        <v>44.35</v>
      </c>
      <c r="I153" s="3"/>
      <c r="J153" s="22">
        <f t="shared" si="27"/>
        <v>2.9431060504699361E-5</v>
      </c>
      <c r="K153" s="3"/>
      <c r="L153" s="3">
        <f t="shared" si="28"/>
        <v>-6.3000000000000043</v>
      </c>
      <c r="M153" s="3"/>
      <c r="N153" s="22">
        <f t="shared" si="29"/>
        <v>-0.14205186020293131</v>
      </c>
      <c r="O153" s="11"/>
      <c r="P153" s="3">
        <v>38.049999999999997</v>
      </c>
      <c r="Q153" s="3"/>
      <c r="R153" s="22">
        <f t="shared" si="30"/>
        <v>7.9784755198668744E-5</v>
      </c>
      <c r="S153" s="3"/>
      <c r="T153" s="3">
        <v>44.35</v>
      </c>
      <c r="U153" s="3"/>
      <c r="V153" s="22">
        <f t="shared" si="31"/>
        <v>2.9431060504699361E-5</v>
      </c>
      <c r="W153" s="3"/>
      <c r="X153" s="3">
        <f t="shared" si="32"/>
        <v>-6.3000000000000043</v>
      </c>
      <c r="Y153" s="3"/>
      <c r="Z153" s="22">
        <f t="shared" si="33"/>
        <v>-0.14205186020293131</v>
      </c>
    </row>
    <row r="154" spans="1:26" s="24" customFormat="1" hidden="1" outlineLevel="1" x14ac:dyDescent="0.25">
      <c r="A154" s="50"/>
      <c r="B154" s="11" t="str">
        <f>CONCATENATE("          ", "5540", " - ", "FREIGHT-IN-LOGO CLOTHING")</f>
        <v xml:space="preserve">          5540 - FREIGHT-IN-LOGO CLOTHING</v>
      </c>
      <c r="C154" s="11"/>
      <c r="D154" s="3">
        <v>909.83</v>
      </c>
      <c r="E154" s="3"/>
      <c r="F154" s="22">
        <f t="shared" si="26"/>
        <v>1.9077677745704283E-3</v>
      </c>
      <c r="G154" s="3"/>
      <c r="H154" s="3">
        <v>395.22</v>
      </c>
      <c r="I154" s="3"/>
      <c r="J154" s="22">
        <f t="shared" si="27"/>
        <v>2.6227156105224986E-4</v>
      </c>
      <c r="K154" s="3"/>
      <c r="L154" s="3">
        <f t="shared" si="28"/>
        <v>514.61</v>
      </c>
      <c r="M154" s="3"/>
      <c r="N154" s="22">
        <f t="shared" si="29"/>
        <v>1.3020849147310358</v>
      </c>
      <c r="O154" s="11"/>
      <c r="P154" s="3">
        <v>909.83</v>
      </c>
      <c r="Q154" s="3"/>
      <c r="R154" s="22">
        <f t="shared" si="30"/>
        <v>1.9077677745704283E-3</v>
      </c>
      <c r="S154" s="3"/>
      <c r="T154" s="3">
        <v>395.22</v>
      </c>
      <c r="U154" s="3"/>
      <c r="V154" s="22">
        <f t="shared" si="31"/>
        <v>2.6227156105224986E-4</v>
      </c>
      <c r="W154" s="3"/>
      <c r="X154" s="3">
        <f t="shared" si="32"/>
        <v>514.61</v>
      </c>
      <c r="Y154" s="3"/>
      <c r="Z154" s="22">
        <f t="shared" si="33"/>
        <v>1.3020849147310358</v>
      </c>
    </row>
    <row r="155" spans="1:26" s="24" customFormat="1" hidden="1" outlineLevel="1" x14ac:dyDescent="0.25">
      <c r="A155" s="50"/>
      <c r="B155" s="11" t="str">
        <f>CONCATENATE("          ", "5541", " - ", "FREIGHT-IN-LOGO GIFTS")</f>
        <v xml:space="preserve">          5541 - FREIGHT-IN-LOGO GIFTS</v>
      </c>
      <c r="C155" s="11"/>
      <c r="D155" s="3">
        <v>83.58</v>
      </c>
      <c r="E155" s="3"/>
      <c r="F155" s="22">
        <f t="shared" si="26"/>
        <v>1.7525387226030839E-4</v>
      </c>
      <c r="G155" s="3"/>
      <c r="H155" s="3">
        <v>314.49</v>
      </c>
      <c r="I155" s="3"/>
      <c r="J155" s="22">
        <f t="shared" si="27"/>
        <v>2.0869840401629993E-4</v>
      </c>
      <c r="K155" s="3"/>
      <c r="L155" s="3">
        <f t="shared" si="28"/>
        <v>-230.91000000000003</v>
      </c>
      <c r="M155" s="3"/>
      <c r="N155" s="22">
        <f t="shared" si="29"/>
        <v>-0.73423638271487179</v>
      </c>
      <c r="O155" s="11"/>
      <c r="P155" s="3">
        <v>83.58</v>
      </c>
      <c r="Q155" s="3"/>
      <c r="R155" s="22">
        <f t="shared" si="30"/>
        <v>1.7525387226030839E-4</v>
      </c>
      <c r="S155" s="3"/>
      <c r="T155" s="3">
        <v>314.49</v>
      </c>
      <c r="U155" s="3"/>
      <c r="V155" s="22">
        <f t="shared" si="31"/>
        <v>2.0869840401629993E-4</v>
      </c>
      <c r="W155" s="3"/>
      <c r="X155" s="3">
        <f t="shared" si="32"/>
        <v>-230.91000000000003</v>
      </c>
      <c r="Y155" s="3"/>
      <c r="Z155" s="22">
        <f t="shared" si="33"/>
        <v>-0.73423638271487179</v>
      </c>
    </row>
    <row r="156" spans="1:26" s="24" customFormat="1" hidden="1" outlineLevel="1" x14ac:dyDescent="0.25">
      <c r="A156" s="50"/>
      <c r="B156" s="11" t="str">
        <f>CONCATENATE("          ", "5542", " - ", "FREIGHT-IN-EVERYDAY GIFTS")</f>
        <v xml:space="preserve">          5542 - FREIGHT-IN-EVERYDAY GIFTS</v>
      </c>
      <c r="C156" s="11"/>
      <c r="D156" s="3">
        <v>5.94</v>
      </c>
      <c r="E156" s="3"/>
      <c r="F156" s="22">
        <f t="shared" si="26"/>
        <v>1.2455228538241588E-5</v>
      </c>
      <c r="G156" s="3"/>
      <c r="H156" s="3">
        <v>29.72</v>
      </c>
      <c r="I156" s="3"/>
      <c r="J156" s="22">
        <f t="shared" si="27"/>
        <v>1.9722460387816573E-5</v>
      </c>
      <c r="K156" s="3"/>
      <c r="L156" s="3">
        <f t="shared" si="28"/>
        <v>-23.779999999999998</v>
      </c>
      <c r="M156" s="3"/>
      <c r="N156" s="22">
        <f t="shared" si="29"/>
        <v>-0.80013458950201877</v>
      </c>
      <c r="O156" s="11"/>
      <c r="P156" s="3">
        <v>5.94</v>
      </c>
      <c r="Q156" s="3"/>
      <c r="R156" s="22">
        <f t="shared" si="30"/>
        <v>1.2455228538241588E-5</v>
      </c>
      <c r="S156" s="3"/>
      <c r="T156" s="3">
        <v>29.72</v>
      </c>
      <c r="U156" s="3"/>
      <c r="V156" s="22">
        <f t="shared" si="31"/>
        <v>1.9722460387816573E-5</v>
      </c>
      <c r="W156" s="3"/>
      <c r="X156" s="3">
        <f t="shared" si="32"/>
        <v>-23.779999999999998</v>
      </c>
      <c r="Y156" s="3"/>
      <c r="Z156" s="22">
        <f t="shared" si="33"/>
        <v>-0.80013458950201877</v>
      </c>
    </row>
    <row r="157" spans="1:26" s="24" customFormat="1" hidden="1" outlineLevel="1" x14ac:dyDescent="0.25">
      <c r="A157" s="50"/>
      <c r="B157" s="11" t="str">
        <f>CONCATENATE("          ", "5544", " - ", "FREIGHT-IN-ACCESSORIES")</f>
        <v xml:space="preserve">          5544 - FREIGHT-IN-ACCESSORIES</v>
      </c>
      <c r="C157" s="11"/>
      <c r="D157" s="3"/>
      <c r="E157" s="3"/>
      <c r="F157" s="22">
        <f t="shared" si="26"/>
        <v>0</v>
      </c>
      <c r="G157" s="3"/>
      <c r="H157" s="3">
        <v>16.73</v>
      </c>
      <c r="I157" s="3"/>
      <c r="J157" s="22">
        <f t="shared" si="27"/>
        <v>1.1102179081028643E-5</v>
      </c>
      <c r="K157" s="3"/>
      <c r="L157" s="3">
        <f t="shared" si="28"/>
        <v>-16.73</v>
      </c>
      <c r="M157" s="3"/>
      <c r="N157" s="22">
        <f t="shared" si="29"/>
        <v>-1</v>
      </c>
      <c r="O157" s="11"/>
      <c r="P157" s="3"/>
      <c r="Q157" s="3"/>
      <c r="R157" s="22">
        <f t="shared" si="30"/>
        <v>0</v>
      </c>
      <c r="S157" s="3"/>
      <c r="T157" s="3">
        <v>16.73</v>
      </c>
      <c r="U157" s="3"/>
      <c r="V157" s="22">
        <f t="shared" si="31"/>
        <v>1.1102179081028643E-5</v>
      </c>
      <c r="W157" s="3"/>
      <c r="X157" s="3">
        <f t="shared" si="32"/>
        <v>-16.73</v>
      </c>
      <c r="Y157" s="3"/>
      <c r="Z157" s="22">
        <f t="shared" si="33"/>
        <v>-1</v>
      </c>
    </row>
    <row r="158" spans="1:26" s="24" customFormat="1" hidden="1" outlineLevel="1" x14ac:dyDescent="0.25">
      <c r="A158" s="50"/>
      <c r="B158" s="11" t="str">
        <f>CONCATENATE("          ", "5545", " - ", "FREIGHT-IN-SPECIAL ORDERS")</f>
        <v xml:space="preserve">          5545 - FREIGHT-IN-SPECIAL ORDERS</v>
      </c>
      <c r="C158" s="11"/>
      <c r="D158" s="3">
        <v>300.39999999999998</v>
      </c>
      <c r="E158" s="3"/>
      <c r="F158" s="22">
        <f t="shared" si="26"/>
        <v>6.2989068230433882E-4</v>
      </c>
      <c r="G158" s="3"/>
      <c r="H158" s="3">
        <v>227.08</v>
      </c>
      <c r="I158" s="3"/>
      <c r="J158" s="22">
        <f t="shared" si="27"/>
        <v>1.5069233865630511E-4</v>
      </c>
      <c r="K158" s="3"/>
      <c r="L158" s="3">
        <f t="shared" si="28"/>
        <v>73.319999999999965</v>
      </c>
      <c r="M158" s="3"/>
      <c r="N158" s="22">
        <f t="shared" si="29"/>
        <v>0.32288180376959646</v>
      </c>
      <c r="O158" s="11"/>
      <c r="P158" s="3">
        <v>300.39999999999998</v>
      </c>
      <c r="Q158" s="3"/>
      <c r="R158" s="22">
        <f t="shared" si="30"/>
        <v>6.2989068230433882E-4</v>
      </c>
      <c r="S158" s="3"/>
      <c r="T158" s="3">
        <v>227.08</v>
      </c>
      <c r="U158" s="3"/>
      <c r="V158" s="22">
        <f t="shared" si="31"/>
        <v>1.5069233865630511E-4</v>
      </c>
      <c r="W158" s="3"/>
      <c r="X158" s="3">
        <f t="shared" si="32"/>
        <v>73.319999999999965</v>
      </c>
      <c r="Y158" s="3"/>
      <c r="Z158" s="22">
        <f t="shared" si="33"/>
        <v>0.32288180376959646</v>
      </c>
    </row>
    <row r="159" spans="1:26" s="24" customFormat="1" hidden="1" outlineLevel="1" x14ac:dyDescent="0.25">
      <c r="A159" s="50"/>
      <c r="B159" s="11" t="str">
        <f>CONCATENATE("          ", "5583", " - ", "FREIGHT-IN-COMPUTER EQUIPMENT")</f>
        <v xml:space="preserve">          5583 - FREIGHT-IN-COMPUTER EQUIPMENT</v>
      </c>
      <c r="C159" s="11"/>
      <c r="D159" s="3">
        <v>17.39</v>
      </c>
      <c r="E159" s="3"/>
      <c r="F159" s="22">
        <f t="shared" si="26"/>
        <v>3.6464044491586063E-5</v>
      </c>
      <c r="G159" s="3"/>
      <c r="H159" s="3">
        <v>6.99</v>
      </c>
      <c r="I159" s="3"/>
      <c r="J159" s="22">
        <f t="shared" si="27"/>
        <v>4.6386271235140594E-6</v>
      </c>
      <c r="K159" s="3"/>
      <c r="L159" s="3">
        <f t="shared" si="28"/>
        <v>10.4</v>
      </c>
      <c r="M159" s="3"/>
      <c r="N159" s="22">
        <f t="shared" si="29"/>
        <v>1.4878397711015736</v>
      </c>
      <c r="O159" s="11"/>
      <c r="P159" s="3">
        <v>17.39</v>
      </c>
      <c r="Q159" s="3"/>
      <c r="R159" s="22">
        <f t="shared" si="30"/>
        <v>3.6464044491586063E-5</v>
      </c>
      <c r="S159" s="3"/>
      <c r="T159" s="3">
        <v>6.99</v>
      </c>
      <c r="U159" s="3"/>
      <c r="V159" s="22">
        <f t="shared" si="31"/>
        <v>4.6386271235140594E-6</v>
      </c>
      <c r="W159" s="3"/>
      <c r="X159" s="3">
        <f t="shared" si="32"/>
        <v>10.4</v>
      </c>
      <c r="Y159" s="3"/>
      <c r="Z159" s="22">
        <f t="shared" si="33"/>
        <v>1.4878397711015736</v>
      </c>
    </row>
    <row r="160" spans="1:26" s="24" customFormat="1" hidden="1" outlineLevel="1" x14ac:dyDescent="0.25">
      <c r="A160" s="50"/>
      <c r="B160" s="11" t="str">
        <f>CONCATENATE("          ", "5586", " - ", "FREIGHT-IN-COMPUTER SUPPLIES")</f>
        <v xml:space="preserve">          5586 - FREIGHT-IN-COMPUTER SUPPLIES</v>
      </c>
      <c r="C160" s="11"/>
      <c r="D160" s="3"/>
      <c r="E160" s="3"/>
      <c r="F160" s="22">
        <f t="shared" si="26"/>
        <v>0</v>
      </c>
      <c r="G160" s="3"/>
      <c r="H160" s="3">
        <v>29.67</v>
      </c>
      <c r="I160" s="3"/>
      <c r="J160" s="22">
        <f t="shared" si="27"/>
        <v>1.9689279936289292E-5</v>
      </c>
      <c r="K160" s="3"/>
      <c r="L160" s="3">
        <f t="shared" si="28"/>
        <v>-29.67</v>
      </c>
      <c r="M160" s="3"/>
      <c r="N160" s="22">
        <f t="shared" si="29"/>
        <v>-1</v>
      </c>
      <c r="O160" s="11"/>
      <c r="P160" s="3"/>
      <c r="Q160" s="3"/>
      <c r="R160" s="22">
        <f t="shared" si="30"/>
        <v>0</v>
      </c>
      <c r="S160" s="3"/>
      <c r="T160" s="3">
        <v>29.67</v>
      </c>
      <c r="U160" s="3"/>
      <c r="V160" s="22">
        <f t="shared" si="31"/>
        <v>1.9689279936289292E-5</v>
      </c>
      <c r="W160" s="3"/>
      <c r="X160" s="3">
        <f t="shared" si="32"/>
        <v>-29.67</v>
      </c>
      <c r="Y160" s="3"/>
      <c r="Z160" s="22">
        <f t="shared" si="33"/>
        <v>-1</v>
      </c>
    </row>
    <row r="161" spans="1:26" x14ac:dyDescent="0.25">
      <c r="A161" s="9"/>
      <c r="B161" s="10"/>
      <c r="C161" s="10"/>
      <c r="D161" s="2"/>
      <c r="E161" s="2"/>
      <c r="F161" s="6"/>
      <c r="G161" s="2"/>
      <c r="H161" s="2"/>
      <c r="I161" s="2"/>
      <c r="J161" s="6"/>
      <c r="K161" s="2"/>
      <c r="L161" s="2"/>
      <c r="M161" s="2"/>
      <c r="N161" s="6"/>
      <c r="O161" s="10"/>
      <c r="P161" s="2"/>
      <c r="Q161" s="2"/>
      <c r="R161" s="6"/>
      <c r="S161" s="2"/>
      <c r="T161" s="2"/>
      <c r="U161" s="2"/>
      <c r="V161" s="6"/>
      <c r="W161" s="2"/>
      <c r="X161" s="2"/>
      <c r="Y161" s="2"/>
      <c r="Z161" s="6"/>
    </row>
    <row r="162" spans="1:26" s="23" customFormat="1" x14ac:dyDescent="0.25">
      <c r="A162" s="10"/>
      <c r="B162" s="26" t="s">
        <v>6</v>
      </c>
      <c r="C162" s="26"/>
      <c r="D162" s="19">
        <f>D12-D114</f>
        <v>140094.12999999989</v>
      </c>
      <c r="E162" s="13"/>
      <c r="F162" s="20">
        <f>IF(D$12=0,0,D162/D$12)</f>
        <v>0.29375495050776523</v>
      </c>
      <c r="G162" s="13"/>
      <c r="H162" s="19">
        <f>H12-H114</f>
        <v>717373.73999999964</v>
      </c>
      <c r="I162" s="13"/>
      <c r="J162" s="20">
        <f>IF(H$12=0,0,H162/H$12)</f>
        <v>0.47605569214030341</v>
      </c>
      <c r="K162" s="16"/>
      <c r="L162" s="19">
        <f>+D162-H162</f>
        <v>-577279.60999999975</v>
      </c>
      <c r="M162" s="16"/>
      <c r="N162" s="20">
        <f>IF(H162=0,0,L162/H162)</f>
        <v>-0.80471249198500083</v>
      </c>
      <c r="O162" s="25"/>
      <c r="P162" s="19">
        <f>P12-P114</f>
        <v>140094.12999999989</v>
      </c>
      <c r="Q162" s="13"/>
      <c r="R162" s="20">
        <f>IF(P$12=0,0,P162/P$12)</f>
        <v>0.29375495050776523</v>
      </c>
      <c r="S162" s="13"/>
      <c r="T162" s="19">
        <f>T12-T114</f>
        <v>717373.73999999964</v>
      </c>
      <c r="U162" s="13"/>
      <c r="V162" s="20">
        <f>IF(T$12=0,0,T162/T$12)</f>
        <v>0.47605569214030341</v>
      </c>
      <c r="W162" s="16"/>
      <c r="X162" s="19">
        <f>+P162-T162</f>
        <v>-577279.60999999975</v>
      </c>
      <c r="Y162" s="16"/>
      <c r="Z162" s="20">
        <f>IF(T162=0,0,X162/T162)</f>
        <v>-0.80471249198500083</v>
      </c>
    </row>
    <row r="163" spans="1:26" x14ac:dyDescent="0.25">
      <c r="A163" s="9"/>
      <c r="B163" s="10"/>
      <c r="C163" s="9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7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x14ac:dyDescent="0.25">
      <c r="A164" s="10"/>
      <c r="B164" s="25" t="s">
        <v>9</v>
      </c>
      <c r="C164" s="10"/>
      <c r="D164" s="21">
        <f>SUM(OSRRefD22x_0)</f>
        <v>699886.54999999993</v>
      </c>
      <c r="E164" s="21"/>
      <c r="F164" s="34">
        <f t="shared" ref="F164:F175" si="34">IF(D$12=0,0,D164/D$12)</f>
        <v>1.4675499883992336</v>
      </c>
      <c r="G164" s="21"/>
      <c r="H164" s="21">
        <f>SUM(OSRRefH22x_0)</f>
        <v>1312659.17</v>
      </c>
      <c r="I164" s="21"/>
      <c r="J164" s="34">
        <f t="shared" ref="J164:J175" si="35">IF(H$12=0,0,H164/H$12)</f>
        <v>0.87109247924055111</v>
      </c>
      <c r="K164" s="4"/>
      <c r="L164" s="21">
        <f t="shared" ref="L164:L175" si="36">+D164-H164</f>
        <v>-612772.62</v>
      </c>
      <c r="M164" s="4"/>
      <c r="N164" s="34">
        <f t="shared" ref="N164:N175" si="37">IF(H164=0,0,L164/H164)</f>
        <v>-0.46681776504101979</v>
      </c>
      <c r="O164" s="10"/>
      <c r="P164" s="21">
        <f>SUM(OSRRefP22x_0)</f>
        <v>699886.54999999993</v>
      </c>
      <c r="Q164" s="21"/>
      <c r="R164" s="34">
        <f t="shared" ref="R164:R175" si="38">IF(P$12=0,0,P164/P$12)</f>
        <v>1.4675499883992336</v>
      </c>
      <c r="S164" s="21"/>
      <c r="T164" s="21">
        <f>SUM(OSRRefT22x_0)</f>
        <v>1312659.17</v>
      </c>
      <c r="U164" s="21"/>
      <c r="V164" s="34">
        <f t="shared" ref="V164:V175" si="39">IF(T$12=0,0,T164/T$12)</f>
        <v>0.87109247924055111</v>
      </c>
      <c r="W164" s="4"/>
      <c r="X164" s="21">
        <f t="shared" ref="X164:X175" si="40">+P164-T164</f>
        <v>-612772.62</v>
      </c>
      <c r="Y164" s="4"/>
      <c r="Z164" s="34">
        <f t="shared" ref="Z164:Z175" si="41">IF(T164=0,0,X164/T164)</f>
        <v>-0.46681776504101979</v>
      </c>
    </row>
    <row r="165" spans="1:26" s="27" customFormat="1" outlineLevel="1" collapsed="1" x14ac:dyDescent="0.25">
      <c r="A165" s="28"/>
      <c r="B165" s="14" t="str">
        <f>CONCATENATE("     ","*Benefits                                         ")</f>
        <v xml:space="preserve">     *Benefits                                         </v>
      </c>
      <c r="C165" s="14"/>
      <c r="D165" s="1">
        <f>SUM(OSRRefD22_0x_0)</f>
        <v>154113.13999999998</v>
      </c>
      <c r="E165" s="1"/>
      <c r="F165" s="5">
        <f t="shared" si="34"/>
        <v>0.32315056893030658</v>
      </c>
      <c r="G165" s="1"/>
      <c r="H165" s="1">
        <f>SUM(OSRRefH22_0x_0)</f>
        <v>243835.67</v>
      </c>
      <c r="I165" s="1"/>
      <c r="J165" s="5">
        <f t="shared" si="35"/>
        <v>0.16181155258114785</v>
      </c>
      <c r="K165" s="1"/>
      <c r="L165" s="1">
        <f t="shared" si="36"/>
        <v>-89722.530000000028</v>
      </c>
      <c r="M165" s="1"/>
      <c r="N165" s="5">
        <f t="shared" si="37"/>
        <v>-0.36796310400361038</v>
      </c>
      <c r="O165" s="14"/>
      <c r="P165" s="1">
        <f>SUM(OSRRefP22_0x_0)</f>
        <v>154113.13999999998</v>
      </c>
      <c r="Q165" s="1"/>
      <c r="R165" s="5">
        <f t="shared" si="38"/>
        <v>0.32315056893030658</v>
      </c>
      <c r="S165" s="1"/>
      <c r="T165" s="1">
        <f>SUM(OSRRefT22_0x_0)</f>
        <v>243835.67</v>
      </c>
      <c r="U165" s="1"/>
      <c r="V165" s="5">
        <f t="shared" si="39"/>
        <v>0.16181155258114785</v>
      </c>
      <c r="W165" s="1"/>
      <c r="X165" s="1">
        <f t="shared" si="40"/>
        <v>-89722.530000000028</v>
      </c>
      <c r="Y165" s="1"/>
      <c r="Z165" s="5">
        <f t="shared" si="41"/>
        <v>-0.36796310400361038</v>
      </c>
    </row>
    <row r="166" spans="1:26" s="24" customFormat="1" hidden="1" outlineLevel="2" x14ac:dyDescent="0.25">
      <c r="A166" s="29"/>
      <c r="B166" s="11" t="str">
        <f>CONCATENATE("          ", "6111", " - ", "F.I.C.A.")</f>
        <v xml:space="preserve">          6111 - F.I.C.A.</v>
      </c>
      <c r="C166" s="11"/>
      <c r="D166" s="8">
        <v>18869.66</v>
      </c>
      <c r="E166" s="3"/>
      <c r="F166" s="7">
        <f t="shared" si="34"/>
        <v>3.9566654501500965E-2</v>
      </c>
      <c r="G166" s="3"/>
      <c r="H166" s="8">
        <v>38198.86</v>
      </c>
      <c r="I166" s="3"/>
      <c r="J166" s="7">
        <f t="shared" si="35"/>
        <v>2.534910845254882E-2</v>
      </c>
      <c r="K166" s="3"/>
      <c r="L166" s="8">
        <f t="shared" si="36"/>
        <v>-19329.2</v>
      </c>
      <c r="M166" s="3"/>
      <c r="N166" s="7">
        <f t="shared" si="37"/>
        <v>-0.50601510097421754</v>
      </c>
      <c r="O166" s="11"/>
      <c r="P166" s="8">
        <v>18869.66</v>
      </c>
      <c r="Q166" s="3"/>
      <c r="R166" s="7">
        <f t="shared" si="38"/>
        <v>3.9566654501500965E-2</v>
      </c>
      <c r="S166" s="3"/>
      <c r="T166" s="8">
        <v>38198.86</v>
      </c>
      <c r="U166" s="3"/>
      <c r="V166" s="7">
        <f t="shared" si="39"/>
        <v>2.534910845254882E-2</v>
      </c>
      <c r="W166" s="3"/>
      <c r="X166" s="8">
        <f t="shared" si="40"/>
        <v>-19329.2</v>
      </c>
      <c r="Y166" s="3"/>
      <c r="Z166" s="7">
        <f t="shared" si="41"/>
        <v>-0.50601510097421754</v>
      </c>
    </row>
    <row r="167" spans="1:26" s="24" customFormat="1" hidden="1" outlineLevel="2" x14ac:dyDescent="0.25">
      <c r="A167" s="29"/>
      <c r="B167" s="11" t="str">
        <f>CONCATENATE("          ", "6112", " - ", "COMPENSATION INSURANCE")</f>
        <v xml:space="preserve">          6112 - COMPENSATION INSURANCE</v>
      </c>
      <c r="C167" s="11"/>
      <c r="D167" s="8">
        <v>6219.84</v>
      </c>
      <c r="E167" s="3"/>
      <c r="F167" s="7">
        <f t="shared" si="34"/>
        <v>1.3042008193820969E-2</v>
      </c>
      <c r="G167" s="3"/>
      <c r="H167" s="8">
        <v>14840.14</v>
      </c>
      <c r="I167" s="3"/>
      <c r="J167" s="7">
        <f t="shared" si="35"/>
        <v>9.8480509185616492E-3</v>
      </c>
      <c r="K167" s="3"/>
      <c r="L167" s="8">
        <f t="shared" si="36"/>
        <v>-8620.2999999999993</v>
      </c>
      <c r="M167" s="3"/>
      <c r="N167" s="7">
        <f t="shared" si="37"/>
        <v>-0.58087726935190631</v>
      </c>
      <c r="O167" s="11"/>
      <c r="P167" s="8">
        <v>6219.84</v>
      </c>
      <c r="Q167" s="3"/>
      <c r="R167" s="7">
        <f t="shared" si="38"/>
        <v>1.3042008193820969E-2</v>
      </c>
      <c r="S167" s="3"/>
      <c r="T167" s="8">
        <v>14840.14</v>
      </c>
      <c r="U167" s="3"/>
      <c r="V167" s="7">
        <f t="shared" si="39"/>
        <v>9.8480509185616492E-3</v>
      </c>
      <c r="W167" s="3"/>
      <c r="X167" s="8">
        <f t="shared" si="40"/>
        <v>-8620.2999999999993</v>
      </c>
      <c r="Y167" s="3"/>
      <c r="Z167" s="7">
        <f t="shared" si="41"/>
        <v>-0.58087726935190631</v>
      </c>
    </row>
    <row r="168" spans="1:26" s="24" customFormat="1" hidden="1" outlineLevel="2" x14ac:dyDescent="0.25">
      <c r="A168" s="29"/>
      <c r="B168" s="11" t="str">
        <f>CONCATENATE("          ", "6113", " - ", "GROUP INSURANCE")</f>
        <v xml:space="preserve">          6113 - GROUP INSURANCE</v>
      </c>
      <c r="C168" s="11"/>
      <c r="D168" s="8">
        <v>75665</v>
      </c>
      <c r="E168" s="3"/>
      <c r="F168" s="7">
        <f t="shared" si="34"/>
        <v>0.15865738507509256</v>
      </c>
      <c r="G168" s="3"/>
      <c r="H168" s="8">
        <v>92648.05</v>
      </c>
      <c r="I168" s="3"/>
      <c r="J168" s="7">
        <f t="shared" si="35"/>
        <v>6.1482082642444459E-2</v>
      </c>
      <c r="K168" s="3"/>
      <c r="L168" s="8">
        <f t="shared" si="36"/>
        <v>-16983.050000000003</v>
      </c>
      <c r="M168" s="3"/>
      <c r="N168" s="7">
        <f t="shared" si="37"/>
        <v>-0.18330715001556971</v>
      </c>
      <c r="O168" s="11"/>
      <c r="P168" s="8">
        <v>75665</v>
      </c>
      <c r="Q168" s="3"/>
      <c r="R168" s="7">
        <f t="shared" si="38"/>
        <v>0.15865738507509256</v>
      </c>
      <c r="S168" s="3"/>
      <c r="T168" s="8">
        <v>92648.05</v>
      </c>
      <c r="U168" s="3"/>
      <c r="V168" s="7">
        <f t="shared" si="39"/>
        <v>6.1482082642444459E-2</v>
      </c>
      <c r="W168" s="3"/>
      <c r="X168" s="8">
        <f t="shared" si="40"/>
        <v>-16983.050000000003</v>
      </c>
      <c r="Y168" s="3"/>
      <c r="Z168" s="7">
        <f t="shared" si="41"/>
        <v>-0.18330715001556971</v>
      </c>
    </row>
    <row r="169" spans="1:26" s="24" customFormat="1" hidden="1" outlineLevel="2" x14ac:dyDescent="0.25">
      <c r="A169" s="29"/>
      <c r="B169" s="11" t="str">
        <f>CONCATENATE("          ", "6114", " - ", "STATE UNEMPLOYMENT INSURANCE")</f>
        <v xml:space="preserve">          6114 - STATE UNEMPLOYMENT INSURANCE</v>
      </c>
      <c r="C169" s="11"/>
      <c r="D169" s="8">
        <v>722.18</v>
      </c>
      <c r="E169" s="3"/>
      <c r="F169" s="7">
        <f t="shared" si="34"/>
        <v>1.5142957821123416E-3</v>
      </c>
      <c r="G169" s="3"/>
      <c r="H169" s="8">
        <v>1323.33</v>
      </c>
      <c r="I169" s="3"/>
      <c r="J169" s="7">
        <f t="shared" si="35"/>
        <v>8.7817373839196855E-4</v>
      </c>
      <c r="K169" s="3"/>
      <c r="L169" s="8">
        <f t="shared" si="36"/>
        <v>-601.15</v>
      </c>
      <c r="M169" s="3"/>
      <c r="N169" s="7">
        <f t="shared" si="37"/>
        <v>-0.45427066566918306</v>
      </c>
      <c r="O169" s="11"/>
      <c r="P169" s="8">
        <v>722.18</v>
      </c>
      <c r="Q169" s="3"/>
      <c r="R169" s="7">
        <f t="shared" si="38"/>
        <v>1.5142957821123416E-3</v>
      </c>
      <c r="S169" s="3"/>
      <c r="T169" s="8">
        <v>1323.33</v>
      </c>
      <c r="U169" s="3"/>
      <c r="V169" s="7">
        <f t="shared" si="39"/>
        <v>8.7817373839196855E-4</v>
      </c>
      <c r="W169" s="3"/>
      <c r="X169" s="8">
        <f t="shared" si="40"/>
        <v>-601.15</v>
      </c>
      <c r="Y169" s="3"/>
      <c r="Z169" s="7">
        <f t="shared" si="41"/>
        <v>-0.45427066566918306</v>
      </c>
    </row>
    <row r="170" spans="1:26" s="24" customFormat="1" hidden="1" outlineLevel="2" x14ac:dyDescent="0.25">
      <c r="A170" s="29"/>
      <c r="B170" s="11" t="str">
        <f>CONCATENATE("          ", "6115", " - ", "P.E.R.S.")</f>
        <v xml:space="preserve">          6115 - P.E.R.S.</v>
      </c>
      <c r="C170" s="11"/>
      <c r="D170" s="8">
        <v>21251.449999999997</v>
      </c>
      <c r="E170" s="3"/>
      <c r="F170" s="7">
        <f t="shared" si="34"/>
        <v>4.4560886619362652E-2</v>
      </c>
      <c r="G170" s="3"/>
      <c r="H170" s="8">
        <v>18146.929999999997</v>
      </c>
      <c r="I170" s="3"/>
      <c r="J170" s="7">
        <f t="shared" si="35"/>
        <v>1.2042466624679681E-2</v>
      </c>
      <c r="K170" s="3"/>
      <c r="L170" s="8">
        <f t="shared" si="36"/>
        <v>3104.5200000000004</v>
      </c>
      <c r="M170" s="3"/>
      <c r="N170" s="7">
        <f t="shared" si="37"/>
        <v>0.17107687085363757</v>
      </c>
      <c r="O170" s="11"/>
      <c r="P170" s="8">
        <v>21251.449999999997</v>
      </c>
      <c r="Q170" s="3"/>
      <c r="R170" s="7">
        <f t="shared" si="38"/>
        <v>4.4560886619362652E-2</v>
      </c>
      <c r="S170" s="3"/>
      <c r="T170" s="8">
        <v>18146.929999999997</v>
      </c>
      <c r="U170" s="3"/>
      <c r="V170" s="7">
        <f t="shared" si="39"/>
        <v>1.2042466624679681E-2</v>
      </c>
      <c r="W170" s="3"/>
      <c r="X170" s="8">
        <f t="shared" si="40"/>
        <v>3104.5200000000004</v>
      </c>
      <c r="Y170" s="3"/>
      <c r="Z170" s="7">
        <f t="shared" si="41"/>
        <v>0.17107687085363757</v>
      </c>
    </row>
    <row r="171" spans="1:26" s="24" customFormat="1" hidden="1" outlineLevel="2" x14ac:dyDescent="0.25">
      <c r="A171" s="29"/>
      <c r="B171" s="11" t="str">
        <f>CONCATENATE("          ", "6116", " - ", "EDUCATIONAL BENEFITS")</f>
        <v xml:space="preserve">          6116 - EDUCATIONAL BENEFITS</v>
      </c>
      <c r="C171" s="11"/>
      <c r="D171" s="8">
        <v>0</v>
      </c>
      <c r="E171" s="3"/>
      <c r="F171" s="7">
        <f t="shared" si="34"/>
        <v>0</v>
      </c>
      <c r="G171" s="3"/>
      <c r="H171" s="8"/>
      <c r="I171" s="3"/>
      <c r="J171" s="7">
        <f t="shared" si="35"/>
        <v>0</v>
      </c>
      <c r="K171" s="3"/>
      <c r="L171" s="8">
        <f t="shared" si="36"/>
        <v>0</v>
      </c>
      <c r="M171" s="3"/>
      <c r="N171" s="7">
        <f t="shared" si="37"/>
        <v>0</v>
      </c>
      <c r="O171" s="11"/>
      <c r="P171" s="8">
        <v>0</v>
      </c>
      <c r="Q171" s="3"/>
      <c r="R171" s="7">
        <f t="shared" si="38"/>
        <v>0</v>
      </c>
      <c r="S171" s="3"/>
      <c r="T171" s="8"/>
      <c r="U171" s="3"/>
      <c r="V171" s="7">
        <f t="shared" si="39"/>
        <v>0</v>
      </c>
      <c r="W171" s="3"/>
      <c r="X171" s="8">
        <f t="shared" si="40"/>
        <v>0</v>
      </c>
      <c r="Y171" s="3"/>
      <c r="Z171" s="7">
        <f t="shared" si="41"/>
        <v>0</v>
      </c>
    </row>
    <row r="172" spans="1:26" s="24" customFormat="1" hidden="1" outlineLevel="2" x14ac:dyDescent="0.25">
      <c r="A172" s="29"/>
      <c r="B172" s="11" t="str">
        <f>CONCATENATE("          ", "6117", " - ", "RETIREMENT STAFF HOURLY")</f>
        <v xml:space="preserve">          6117 - RETIREMENT STAFF HOURLY</v>
      </c>
      <c r="C172" s="11"/>
      <c r="D172" s="8">
        <v>2649.82</v>
      </c>
      <c r="E172" s="3"/>
      <c r="F172" s="7">
        <f t="shared" si="34"/>
        <v>5.5562480951520752E-3</v>
      </c>
      <c r="G172" s="3"/>
      <c r="H172" s="8">
        <v>1799.07</v>
      </c>
      <c r="I172" s="3"/>
      <c r="J172" s="7">
        <f t="shared" si="35"/>
        <v>1.1938790985837537E-3</v>
      </c>
      <c r="K172" s="3"/>
      <c r="L172" s="8">
        <f t="shared" si="36"/>
        <v>850.75000000000023</v>
      </c>
      <c r="M172" s="3"/>
      <c r="N172" s="7">
        <f t="shared" si="37"/>
        <v>0.47288321188169458</v>
      </c>
      <c r="O172" s="11"/>
      <c r="P172" s="8">
        <v>2649.82</v>
      </c>
      <c r="Q172" s="3"/>
      <c r="R172" s="7">
        <f t="shared" si="38"/>
        <v>5.5562480951520752E-3</v>
      </c>
      <c r="S172" s="3"/>
      <c r="T172" s="8">
        <v>1799.07</v>
      </c>
      <c r="U172" s="3"/>
      <c r="V172" s="7">
        <f t="shared" si="39"/>
        <v>1.1938790985837537E-3</v>
      </c>
      <c r="W172" s="3"/>
      <c r="X172" s="8">
        <f t="shared" si="40"/>
        <v>850.75000000000023</v>
      </c>
      <c r="Y172" s="3"/>
      <c r="Z172" s="7">
        <f t="shared" si="41"/>
        <v>0.47288321188169458</v>
      </c>
    </row>
    <row r="173" spans="1:26" s="24" customFormat="1" hidden="1" outlineLevel="2" x14ac:dyDescent="0.25">
      <c r="A173" s="29"/>
      <c r="B173" s="11" t="str">
        <f>CONCATENATE("          ", "6118", " - ", "VACATION")</f>
        <v xml:space="preserve">          6118 - VACATION</v>
      </c>
      <c r="C173" s="11"/>
      <c r="D173" s="8">
        <v>14322.85</v>
      </c>
      <c r="E173" s="3"/>
      <c r="F173" s="7">
        <f t="shared" si="34"/>
        <v>3.003272223383056E-2</v>
      </c>
      <c r="G173" s="3"/>
      <c r="H173" s="8">
        <v>29319.82</v>
      </c>
      <c r="I173" s="3"/>
      <c r="J173" s="7">
        <f t="shared" si="35"/>
        <v>1.9456897325972815E-2</v>
      </c>
      <c r="K173" s="3"/>
      <c r="L173" s="8">
        <f t="shared" si="36"/>
        <v>-14996.97</v>
      </c>
      <c r="M173" s="3"/>
      <c r="N173" s="7">
        <f t="shared" si="37"/>
        <v>-0.51149597780613931</v>
      </c>
      <c r="O173" s="11"/>
      <c r="P173" s="8">
        <v>14322.85</v>
      </c>
      <c r="Q173" s="3"/>
      <c r="R173" s="7">
        <f t="shared" si="38"/>
        <v>3.003272223383056E-2</v>
      </c>
      <c r="S173" s="3"/>
      <c r="T173" s="8">
        <v>29319.82</v>
      </c>
      <c r="U173" s="3"/>
      <c r="V173" s="7">
        <f t="shared" si="39"/>
        <v>1.9456897325972815E-2</v>
      </c>
      <c r="W173" s="3"/>
      <c r="X173" s="8">
        <f t="shared" si="40"/>
        <v>-14996.97</v>
      </c>
      <c r="Y173" s="3"/>
      <c r="Z173" s="7">
        <f t="shared" si="41"/>
        <v>-0.51149597780613931</v>
      </c>
    </row>
    <row r="174" spans="1:26" s="24" customFormat="1" hidden="1" outlineLevel="2" x14ac:dyDescent="0.25">
      <c r="A174" s="29"/>
      <c r="B174" s="11" t="str">
        <f>CONCATENATE("          ", "6119", " - ", "SICK LEAVE")</f>
        <v xml:space="preserve">          6119 - SICK LEAVE</v>
      </c>
      <c r="C174" s="11"/>
      <c r="D174" s="8">
        <v>10199.56</v>
      </c>
      <c r="E174" s="3"/>
      <c r="F174" s="7">
        <f t="shared" si="34"/>
        <v>2.1386843567257133E-2</v>
      </c>
      <c r="G174" s="3"/>
      <c r="H174" s="8">
        <v>39810.800000000003</v>
      </c>
      <c r="I174" s="3"/>
      <c r="J174" s="7">
        <f t="shared" si="35"/>
        <v>2.641880639324657E-2</v>
      </c>
      <c r="K174" s="3"/>
      <c r="L174" s="8">
        <f t="shared" si="36"/>
        <v>-29611.240000000005</v>
      </c>
      <c r="M174" s="3"/>
      <c r="N174" s="7">
        <f t="shared" si="37"/>
        <v>-0.74379917007445229</v>
      </c>
      <c r="O174" s="11"/>
      <c r="P174" s="8">
        <v>10199.56</v>
      </c>
      <c r="Q174" s="3"/>
      <c r="R174" s="7">
        <f t="shared" si="38"/>
        <v>2.1386843567257133E-2</v>
      </c>
      <c r="S174" s="3"/>
      <c r="T174" s="8">
        <v>39810.800000000003</v>
      </c>
      <c r="U174" s="3"/>
      <c r="V174" s="7">
        <f t="shared" si="39"/>
        <v>2.641880639324657E-2</v>
      </c>
      <c r="W174" s="3"/>
      <c r="X174" s="8">
        <f t="shared" si="40"/>
        <v>-29611.240000000005</v>
      </c>
      <c r="Y174" s="3"/>
      <c r="Z174" s="7">
        <f t="shared" si="41"/>
        <v>-0.74379917007445229</v>
      </c>
    </row>
    <row r="175" spans="1:26" s="24" customFormat="1" hidden="1" outlineLevel="2" x14ac:dyDescent="0.25">
      <c r="A175" s="29"/>
      <c r="B175" s="11" t="str">
        <f>CONCATENATE("          ", "6156", " - ", "EMPLOYEE MEALS")</f>
        <v xml:space="preserve">          6156 - EMPLOYEE MEALS</v>
      </c>
      <c r="C175" s="11"/>
      <c r="D175" s="8">
        <v>4212.78</v>
      </c>
      <c r="E175" s="3"/>
      <c r="F175" s="7">
        <f t="shared" si="34"/>
        <v>8.8335248621773388E-3</v>
      </c>
      <c r="G175" s="3"/>
      <c r="H175" s="8">
        <v>7748.67</v>
      </c>
      <c r="I175" s="3"/>
      <c r="J175" s="7">
        <f t="shared" si="35"/>
        <v>5.1420873867181237E-3</v>
      </c>
      <c r="K175" s="3"/>
      <c r="L175" s="8">
        <f t="shared" si="36"/>
        <v>-3535.8900000000003</v>
      </c>
      <c r="M175" s="3"/>
      <c r="N175" s="7">
        <f t="shared" si="37"/>
        <v>-0.45632218174215705</v>
      </c>
      <c r="O175" s="11"/>
      <c r="P175" s="8">
        <v>4212.78</v>
      </c>
      <c r="Q175" s="3"/>
      <c r="R175" s="7">
        <f t="shared" si="38"/>
        <v>8.8335248621773388E-3</v>
      </c>
      <c r="S175" s="3"/>
      <c r="T175" s="8">
        <v>7748.67</v>
      </c>
      <c r="U175" s="3"/>
      <c r="V175" s="7">
        <f t="shared" si="39"/>
        <v>5.1420873867181237E-3</v>
      </c>
      <c r="W175" s="3"/>
      <c r="X175" s="8">
        <f t="shared" si="40"/>
        <v>-3535.8900000000003</v>
      </c>
      <c r="Y175" s="3"/>
      <c r="Z175" s="7">
        <f t="shared" si="41"/>
        <v>-0.45632218174215705</v>
      </c>
    </row>
    <row r="176" spans="1:26" s="27" customFormat="1" outlineLevel="1" collapsed="1" x14ac:dyDescent="0.25">
      <c r="A176" s="28"/>
      <c r="B176" s="14" t="str">
        <f>CONCATENATE("     ","*Payroll                                          ")</f>
        <v xml:space="preserve">     *Payroll                                          </v>
      </c>
      <c r="C176" s="14"/>
      <c r="D176" s="1">
        <f>SUM(OSRRefD22_1x_0)</f>
        <v>277403.17000000004</v>
      </c>
      <c r="E176" s="1"/>
      <c r="F176" s="5">
        <f t="shared" ref="F176:F183" si="42">IF(D$12=0,0,D176/D$12)</f>
        <v>0.58167001339775815</v>
      </c>
      <c r="G176" s="1"/>
      <c r="H176" s="1">
        <f>SUM(OSRRefH22_1x_0)</f>
        <v>599576.9</v>
      </c>
      <c r="I176" s="1"/>
      <c r="J176" s="5">
        <f t="shared" ref="J176:J183" si="43">IF(H$12=0,0,H176/H$12)</f>
        <v>0.3978846453465632</v>
      </c>
      <c r="K176" s="1"/>
      <c r="L176" s="1">
        <f t="shared" ref="L176:L183" si="44">+D176-H176</f>
        <v>-322173.73</v>
      </c>
      <c r="M176" s="1"/>
      <c r="N176" s="5">
        <f t="shared" ref="N176:N183" si="45">IF(H176=0,0,L176/H176)</f>
        <v>-0.53733512748739987</v>
      </c>
      <c r="O176" s="14"/>
      <c r="P176" s="1">
        <f>SUM(OSRRefP22_1x_0)</f>
        <v>277403.17000000004</v>
      </c>
      <c r="Q176" s="1"/>
      <c r="R176" s="5">
        <f t="shared" ref="R176:R183" si="46">IF(P$12=0,0,P176/P$12)</f>
        <v>0.58167001339775815</v>
      </c>
      <c r="S176" s="1"/>
      <c r="T176" s="1">
        <f>SUM(OSRRefT22_1x_0)</f>
        <v>599576.9</v>
      </c>
      <c r="U176" s="1"/>
      <c r="V176" s="5">
        <f t="shared" ref="V176:V183" si="47">IF(T$12=0,0,T176/T$12)</f>
        <v>0.3978846453465632</v>
      </c>
      <c r="W176" s="1"/>
      <c r="X176" s="1">
        <f t="shared" ref="X176:X183" si="48">+P176-T176</f>
        <v>-322173.73</v>
      </c>
      <c r="Y176" s="1"/>
      <c r="Z176" s="5">
        <f t="shared" ref="Z176:Z183" si="49">IF(T176=0,0,X176/T176)</f>
        <v>-0.53733512748739987</v>
      </c>
    </row>
    <row r="177" spans="1:26" s="24" customFormat="1" hidden="1" outlineLevel="2" x14ac:dyDescent="0.25">
      <c r="A177" s="29"/>
      <c r="B177" s="11" t="str">
        <f>CONCATENATE("          ", "6001", " - ", "ADMINISTRATIVE SALARIES")</f>
        <v xml:space="preserve">          6001 - ADMINISTRATIVE SALARIES</v>
      </c>
      <c r="C177" s="11"/>
      <c r="D177" s="8">
        <v>32190.44</v>
      </c>
      <c r="E177" s="3"/>
      <c r="F177" s="7">
        <f t="shared" si="42"/>
        <v>6.7498196455648737E-2</v>
      </c>
      <c r="G177" s="3"/>
      <c r="H177" s="8">
        <v>41024.480000000003</v>
      </c>
      <c r="I177" s="3"/>
      <c r="J177" s="7">
        <f t="shared" si="43"/>
        <v>2.7224215401439208E-2</v>
      </c>
      <c r="K177" s="3"/>
      <c r="L177" s="8">
        <f t="shared" si="44"/>
        <v>-8834.0400000000045</v>
      </c>
      <c r="M177" s="3"/>
      <c r="N177" s="7">
        <f t="shared" si="45"/>
        <v>-0.2153358190036779</v>
      </c>
      <c r="O177" s="11"/>
      <c r="P177" s="8">
        <v>32190.44</v>
      </c>
      <c r="Q177" s="3"/>
      <c r="R177" s="7">
        <f t="shared" si="46"/>
        <v>6.7498196455648737E-2</v>
      </c>
      <c r="S177" s="3"/>
      <c r="T177" s="8">
        <v>41024.480000000003</v>
      </c>
      <c r="U177" s="3"/>
      <c r="V177" s="7">
        <f t="shared" si="47"/>
        <v>2.7224215401439208E-2</v>
      </c>
      <c r="W177" s="3"/>
      <c r="X177" s="8">
        <f t="shared" si="48"/>
        <v>-8834.0400000000045</v>
      </c>
      <c r="Y177" s="3"/>
      <c r="Z177" s="7">
        <f t="shared" si="49"/>
        <v>-0.2153358190036779</v>
      </c>
    </row>
    <row r="178" spans="1:26" s="24" customFormat="1" hidden="1" outlineLevel="2" x14ac:dyDescent="0.25">
      <c r="A178" s="29"/>
      <c r="B178" s="11" t="str">
        <f>CONCATENATE("          ", "6002", " - ", "STAFF SALARIES")</f>
        <v xml:space="preserve">          6002 - STAFF SALARIES</v>
      </c>
      <c r="C178" s="11"/>
      <c r="D178" s="8">
        <v>135928.07</v>
      </c>
      <c r="E178" s="3"/>
      <c r="F178" s="7">
        <f t="shared" si="42"/>
        <v>0.28501939000203708</v>
      </c>
      <c r="G178" s="3"/>
      <c r="H178" s="8">
        <v>196528.5</v>
      </c>
      <c r="I178" s="3"/>
      <c r="J178" s="7">
        <f t="shared" si="43"/>
        <v>0.13041808735958982</v>
      </c>
      <c r="K178" s="3"/>
      <c r="L178" s="8">
        <f t="shared" si="44"/>
        <v>-60600.429999999993</v>
      </c>
      <c r="M178" s="3"/>
      <c r="N178" s="7">
        <f t="shared" si="45"/>
        <v>-0.30835441170110184</v>
      </c>
      <c r="O178" s="11"/>
      <c r="P178" s="8">
        <v>135928.07</v>
      </c>
      <c r="Q178" s="3"/>
      <c r="R178" s="7">
        <f t="shared" si="46"/>
        <v>0.28501939000203708</v>
      </c>
      <c r="S178" s="3"/>
      <c r="T178" s="8">
        <v>196528.5</v>
      </c>
      <c r="U178" s="3"/>
      <c r="V178" s="7">
        <f t="shared" si="47"/>
        <v>0.13041808735958982</v>
      </c>
      <c r="W178" s="3"/>
      <c r="X178" s="8">
        <f t="shared" si="48"/>
        <v>-60600.429999999993</v>
      </c>
      <c r="Y178" s="3"/>
      <c r="Z178" s="7">
        <f t="shared" si="49"/>
        <v>-0.30835441170110184</v>
      </c>
    </row>
    <row r="179" spans="1:26" s="24" customFormat="1" hidden="1" outlineLevel="2" x14ac:dyDescent="0.25">
      <c r="A179" s="29"/>
      <c r="B179" s="11" t="str">
        <f>CONCATENATE("          ", "6004", " - ", "STAFF HOURLY")</f>
        <v xml:space="preserve">          6004 - STAFF HOURLY</v>
      </c>
      <c r="C179" s="11"/>
      <c r="D179" s="8">
        <v>54669.48</v>
      </c>
      <c r="E179" s="3"/>
      <c r="F179" s="7">
        <f t="shared" si="42"/>
        <v>0.11463314267118312</v>
      </c>
      <c r="G179" s="3"/>
      <c r="H179" s="8">
        <v>63088.429999999993</v>
      </c>
      <c r="I179" s="3"/>
      <c r="J179" s="7">
        <f t="shared" si="43"/>
        <v>4.1866051870946788E-2</v>
      </c>
      <c r="K179" s="3"/>
      <c r="L179" s="8">
        <f t="shared" si="44"/>
        <v>-8418.9499999999898</v>
      </c>
      <c r="M179" s="3"/>
      <c r="N179" s="7">
        <f t="shared" si="45"/>
        <v>-0.13344681425738428</v>
      </c>
      <c r="O179" s="11"/>
      <c r="P179" s="8">
        <v>54669.48</v>
      </c>
      <c r="Q179" s="3"/>
      <c r="R179" s="7">
        <f t="shared" si="46"/>
        <v>0.11463314267118312</v>
      </c>
      <c r="S179" s="3"/>
      <c r="T179" s="8">
        <v>63088.429999999993</v>
      </c>
      <c r="U179" s="3"/>
      <c r="V179" s="7">
        <f t="shared" si="47"/>
        <v>4.1866051870946788E-2</v>
      </c>
      <c r="W179" s="3"/>
      <c r="X179" s="8">
        <f t="shared" si="48"/>
        <v>-8418.9499999999898</v>
      </c>
      <c r="Y179" s="3"/>
      <c r="Z179" s="7">
        <f t="shared" si="49"/>
        <v>-0.13344681425738428</v>
      </c>
    </row>
    <row r="180" spans="1:26" s="24" customFormat="1" hidden="1" outlineLevel="2" x14ac:dyDescent="0.25">
      <c r="A180" s="29"/>
      <c r="B180" s="11" t="str">
        <f>CONCATENATE("          ", "6005", " - ", "TEMPORARY WAGES-HOURLY")</f>
        <v xml:space="preserve">          6005 - TEMPORARY WAGES-HOURLY</v>
      </c>
      <c r="C180" s="11"/>
      <c r="D180" s="8">
        <v>19122.939999999999</v>
      </c>
      <c r="E180" s="3"/>
      <c r="F180" s="7">
        <f t="shared" si="42"/>
        <v>4.0097742091427871E-2</v>
      </c>
      <c r="G180" s="3"/>
      <c r="H180" s="8">
        <v>90123.94</v>
      </c>
      <c r="I180" s="3"/>
      <c r="J180" s="7">
        <f t="shared" si="43"/>
        <v>5.9807060452353886E-2</v>
      </c>
      <c r="K180" s="3"/>
      <c r="L180" s="8">
        <f t="shared" si="44"/>
        <v>-71001</v>
      </c>
      <c r="M180" s="3"/>
      <c r="N180" s="7">
        <f t="shared" si="45"/>
        <v>-0.78781509108456638</v>
      </c>
      <c r="O180" s="11"/>
      <c r="P180" s="8">
        <v>19122.939999999999</v>
      </c>
      <c r="Q180" s="3"/>
      <c r="R180" s="7">
        <f t="shared" si="46"/>
        <v>4.0097742091427871E-2</v>
      </c>
      <c r="S180" s="3"/>
      <c r="T180" s="8">
        <v>90123.94</v>
      </c>
      <c r="U180" s="3"/>
      <c r="V180" s="7">
        <f t="shared" si="47"/>
        <v>5.9807060452353886E-2</v>
      </c>
      <c r="W180" s="3"/>
      <c r="X180" s="8">
        <f t="shared" si="48"/>
        <v>-71001</v>
      </c>
      <c r="Y180" s="3"/>
      <c r="Z180" s="7">
        <f t="shared" si="49"/>
        <v>-0.78781509108456638</v>
      </c>
    </row>
    <row r="181" spans="1:26" s="24" customFormat="1" hidden="1" outlineLevel="2" x14ac:dyDescent="0.25">
      <c r="A181" s="29"/>
      <c r="B181" s="11" t="str">
        <f>CONCATENATE("          ", "6006", " - ", "TEMPORARY PART TIME")</f>
        <v xml:space="preserve">          6006 - TEMPORARY PART TIME</v>
      </c>
      <c r="C181" s="11"/>
      <c r="D181" s="8">
        <v>2048.21</v>
      </c>
      <c r="E181" s="3"/>
      <c r="F181" s="7">
        <f t="shared" si="42"/>
        <v>4.2947682902881824E-3</v>
      </c>
      <c r="G181" s="3"/>
      <c r="H181" s="8">
        <v>13941.84</v>
      </c>
      <c r="I181" s="3"/>
      <c r="J181" s="7">
        <f t="shared" si="43"/>
        <v>9.2519309264224962E-3</v>
      </c>
      <c r="K181" s="3"/>
      <c r="L181" s="8">
        <f t="shared" si="44"/>
        <v>-11893.630000000001</v>
      </c>
      <c r="M181" s="3"/>
      <c r="N181" s="7">
        <f t="shared" si="45"/>
        <v>-0.85308897534328332</v>
      </c>
      <c r="O181" s="11"/>
      <c r="P181" s="8">
        <v>2048.21</v>
      </c>
      <c r="Q181" s="3"/>
      <c r="R181" s="7">
        <f t="shared" si="46"/>
        <v>4.2947682902881824E-3</v>
      </c>
      <c r="S181" s="3"/>
      <c r="T181" s="8">
        <v>13941.84</v>
      </c>
      <c r="U181" s="3"/>
      <c r="V181" s="7">
        <f t="shared" si="47"/>
        <v>9.2519309264224962E-3</v>
      </c>
      <c r="W181" s="3"/>
      <c r="X181" s="8">
        <f t="shared" si="48"/>
        <v>-11893.630000000001</v>
      </c>
      <c r="Y181" s="3"/>
      <c r="Z181" s="7">
        <f t="shared" si="49"/>
        <v>-0.85308897534328332</v>
      </c>
    </row>
    <row r="182" spans="1:26" s="24" customFormat="1" hidden="1" outlineLevel="2" x14ac:dyDescent="0.25">
      <c r="A182" s="29"/>
      <c r="B182" s="11" t="str">
        <f>CONCATENATE("          ", "6007", " - ", "STUDENT HOURLY")</f>
        <v xml:space="preserve">          6007 - STUDENT HOURLY</v>
      </c>
      <c r="C182" s="11"/>
      <c r="D182" s="8">
        <v>33444.03</v>
      </c>
      <c r="E182" s="3"/>
      <c r="F182" s="7">
        <f t="shared" si="42"/>
        <v>7.0126773887173033E-2</v>
      </c>
      <c r="G182" s="3"/>
      <c r="H182" s="8">
        <v>182277.38</v>
      </c>
      <c r="I182" s="3"/>
      <c r="J182" s="7">
        <f t="shared" si="43"/>
        <v>0.12096091543220017</v>
      </c>
      <c r="K182" s="3"/>
      <c r="L182" s="8">
        <f t="shared" si="44"/>
        <v>-148833.35</v>
      </c>
      <c r="M182" s="3"/>
      <c r="N182" s="7">
        <f t="shared" si="45"/>
        <v>-0.8165212271539124</v>
      </c>
      <c r="O182" s="11"/>
      <c r="P182" s="8">
        <v>33444.03</v>
      </c>
      <c r="Q182" s="3"/>
      <c r="R182" s="7">
        <f t="shared" si="46"/>
        <v>7.0126773887173033E-2</v>
      </c>
      <c r="S182" s="3"/>
      <c r="T182" s="8">
        <v>182277.38</v>
      </c>
      <c r="U182" s="3"/>
      <c r="V182" s="7">
        <f t="shared" si="47"/>
        <v>0.12096091543220017</v>
      </c>
      <c r="W182" s="3"/>
      <c r="X182" s="8">
        <f t="shared" si="48"/>
        <v>-148833.35</v>
      </c>
      <c r="Y182" s="3"/>
      <c r="Z182" s="7">
        <f t="shared" si="49"/>
        <v>-0.8165212271539124</v>
      </c>
    </row>
    <row r="183" spans="1:26" s="24" customFormat="1" hidden="1" outlineLevel="2" x14ac:dyDescent="0.25">
      <c r="A183" s="29"/>
      <c r="B183" s="11" t="str">
        <f>CONCATENATE("          ", "6008", " - ", "STUDENT HOURLY-FICA EXEMPT")</f>
        <v xml:space="preserve">          6008 - STUDENT HOURLY-FICA EXEMPT</v>
      </c>
      <c r="C183" s="11"/>
      <c r="D183" s="8"/>
      <c r="E183" s="3"/>
      <c r="F183" s="7">
        <f t="shared" si="42"/>
        <v>0</v>
      </c>
      <c r="G183" s="3"/>
      <c r="H183" s="8">
        <v>12592.33</v>
      </c>
      <c r="I183" s="3"/>
      <c r="J183" s="7">
        <f t="shared" si="43"/>
        <v>8.3563839036108426E-3</v>
      </c>
      <c r="K183" s="3"/>
      <c r="L183" s="8">
        <f t="shared" si="44"/>
        <v>-12592.33</v>
      </c>
      <c r="M183" s="3"/>
      <c r="N183" s="7">
        <f t="shared" si="45"/>
        <v>-1</v>
      </c>
      <c r="O183" s="11"/>
      <c r="P183" s="8"/>
      <c r="Q183" s="3"/>
      <c r="R183" s="7">
        <f t="shared" si="46"/>
        <v>0</v>
      </c>
      <c r="S183" s="3"/>
      <c r="T183" s="8">
        <v>12592.33</v>
      </c>
      <c r="U183" s="3"/>
      <c r="V183" s="7">
        <f t="shared" si="47"/>
        <v>8.3563839036108426E-3</v>
      </c>
      <c r="W183" s="3"/>
      <c r="X183" s="8">
        <f t="shared" si="48"/>
        <v>-12592.33</v>
      </c>
      <c r="Y183" s="3"/>
      <c r="Z183" s="7">
        <f t="shared" si="49"/>
        <v>-1</v>
      </c>
    </row>
    <row r="184" spans="1:26" s="27" customFormat="1" outlineLevel="1" collapsed="1" x14ac:dyDescent="0.25">
      <c r="A184" s="28"/>
      <c r="B184" s="14" t="str">
        <f>CONCATENATE("     ","Advertising/Promo                                 ")</f>
        <v xml:space="preserve">     Advertising/Promo                                 </v>
      </c>
      <c r="C184" s="14"/>
      <c r="D184" s="1">
        <f>SUM(OSRRefD22_2x_0)</f>
        <v>3510.94</v>
      </c>
      <c r="E184" s="1"/>
      <c r="F184" s="5">
        <f t="shared" ref="F184:F193" si="50">IF(D$12=0,0,D184/D$12)</f>
        <v>7.3618788020292794E-3</v>
      </c>
      <c r="G184" s="1"/>
      <c r="H184" s="1">
        <f>SUM(OSRRefH22_2x_0)</f>
        <v>5207.8900000000003</v>
      </c>
      <c r="I184" s="1"/>
      <c r="J184" s="5">
        <f t="shared" ref="J184:J193" si="51">IF(H$12=0,0,H184/H$12)</f>
        <v>3.4560028340883601E-3</v>
      </c>
      <c r="K184" s="1"/>
      <c r="L184" s="1">
        <f t="shared" ref="L184:L193" si="52">+D184-H184</f>
        <v>-1696.9500000000003</v>
      </c>
      <c r="M184" s="1"/>
      <c r="N184" s="5">
        <f t="shared" ref="N184:N193" si="53">IF(H184=0,0,L184/H184)</f>
        <v>-0.32584213568258935</v>
      </c>
      <c r="O184" s="14"/>
      <c r="P184" s="1">
        <f>SUM(OSRRefP22_2x_0)</f>
        <v>3510.94</v>
      </c>
      <c r="Q184" s="1"/>
      <c r="R184" s="5">
        <f t="shared" ref="R184:R193" si="54">IF(P$12=0,0,P184/P$12)</f>
        <v>7.3618788020292794E-3</v>
      </c>
      <c r="S184" s="1"/>
      <c r="T184" s="1">
        <f>SUM(OSRRefT22_2x_0)</f>
        <v>5207.8900000000003</v>
      </c>
      <c r="U184" s="1"/>
      <c r="V184" s="5">
        <f t="shared" ref="V184:V193" si="55">IF(T$12=0,0,T184/T$12)</f>
        <v>3.4560028340883601E-3</v>
      </c>
      <c r="W184" s="1"/>
      <c r="X184" s="1">
        <f t="shared" ref="X184:X193" si="56">+P184-T184</f>
        <v>-1696.9500000000003</v>
      </c>
      <c r="Y184" s="1"/>
      <c r="Z184" s="5">
        <f t="shared" ref="Z184:Z193" si="57">IF(T184=0,0,X184/T184)</f>
        <v>-0.32584213568258935</v>
      </c>
    </row>
    <row r="185" spans="1:26" s="24" customFormat="1" hidden="1" outlineLevel="2" x14ac:dyDescent="0.25">
      <c r="A185" s="29"/>
      <c r="B185" s="11" t="str">
        <f>CONCATENATE("          ", "6362", " - ", "ADVERTISING EXPENSE")</f>
        <v xml:space="preserve">          6362 - ADVERTISING EXPENSE</v>
      </c>
      <c r="C185" s="11"/>
      <c r="D185" s="8">
        <v>3510.94</v>
      </c>
      <c r="E185" s="3"/>
      <c r="F185" s="7">
        <f t="shared" si="50"/>
        <v>7.3618788020292794E-3</v>
      </c>
      <c r="G185" s="3"/>
      <c r="H185" s="8">
        <v>5207.8900000000003</v>
      </c>
      <c r="I185" s="3"/>
      <c r="J185" s="7">
        <f t="shared" si="51"/>
        <v>3.4560028340883601E-3</v>
      </c>
      <c r="K185" s="3"/>
      <c r="L185" s="8">
        <f t="shared" si="52"/>
        <v>-1696.9500000000003</v>
      </c>
      <c r="M185" s="3"/>
      <c r="N185" s="7">
        <f t="shared" si="53"/>
        <v>-0.32584213568258935</v>
      </c>
      <c r="O185" s="11"/>
      <c r="P185" s="8">
        <v>3510.94</v>
      </c>
      <c r="Q185" s="3"/>
      <c r="R185" s="7">
        <f t="shared" si="54"/>
        <v>7.3618788020292794E-3</v>
      </c>
      <c r="S185" s="3"/>
      <c r="T185" s="8">
        <v>5207.8900000000003</v>
      </c>
      <c r="U185" s="3"/>
      <c r="V185" s="7">
        <f t="shared" si="55"/>
        <v>3.4560028340883601E-3</v>
      </c>
      <c r="W185" s="3"/>
      <c r="X185" s="8">
        <f t="shared" si="56"/>
        <v>-1696.9500000000003</v>
      </c>
      <c r="Y185" s="3"/>
      <c r="Z185" s="7">
        <f t="shared" si="57"/>
        <v>-0.32584213568258935</v>
      </c>
    </row>
    <row r="186" spans="1:26" s="27" customFormat="1" outlineLevel="1" collapsed="1" x14ac:dyDescent="0.25">
      <c r="A186" s="28"/>
      <c r="B186" s="14" t="str">
        <f>CONCATENATE("     ","Bad Debts/Over/Short                              ")</f>
        <v xml:space="preserve">     Bad Debts/Over/Short                              </v>
      </c>
      <c r="C186" s="14"/>
      <c r="D186" s="1">
        <f>SUM(OSRRefD22_3x_0)</f>
        <v>4.9800000000000004</v>
      </c>
      <c r="E186" s="1"/>
      <c r="F186" s="5">
        <f t="shared" si="50"/>
        <v>1.0442262309838907E-5</v>
      </c>
      <c r="G186" s="1"/>
      <c r="H186" s="1">
        <f>SUM(OSRRefH22_3x_0)</f>
        <v>-41.56</v>
      </c>
      <c r="I186" s="1"/>
      <c r="J186" s="5">
        <f t="shared" si="51"/>
        <v>-2.7579591309477011E-5</v>
      </c>
      <c r="K186" s="1"/>
      <c r="L186" s="1">
        <f t="shared" si="52"/>
        <v>46.540000000000006</v>
      </c>
      <c r="M186" s="1"/>
      <c r="N186" s="5">
        <f t="shared" si="53"/>
        <v>-1.1198267564966315</v>
      </c>
      <c r="O186" s="14"/>
      <c r="P186" s="1">
        <f>SUM(OSRRefP22_3x_0)</f>
        <v>4.9800000000000004</v>
      </c>
      <c r="Q186" s="1"/>
      <c r="R186" s="5">
        <f t="shared" si="54"/>
        <v>1.0442262309838907E-5</v>
      </c>
      <c r="S186" s="1"/>
      <c r="T186" s="1">
        <f>SUM(OSRRefT22_3x_0)</f>
        <v>-41.56</v>
      </c>
      <c r="U186" s="1"/>
      <c r="V186" s="5">
        <f t="shared" si="55"/>
        <v>-2.7579591309477011E-5</v>
      </c>
      <c r="W186" s="1"/>
      <c r="X186" s="1">
        <f t="shared" si="56"/>
        <v>46.540000000000006</v>
      </c>
      <c r="Y186" s="1"/>
      <c r="Z186" s="5">
        <f t="shared" si="57"/>
        <v>-1.1198267564966315</v>
      </c>
    </row>
    <row r="187" spans="1:26" s="24" customFormat="1" hidden="1" outlineLevel="2" x14ac:dyDescent="0.25">
      <c r="A187" s="29"/>
      <c r="B187" s="11" t="str">
        <f>CONCATENATE("          ", "6272", " - ", "CASH (OVER/SHORT)")</f>
        <v xml:space="preserve">          6272 - CASH (OVER/SHORT)</v>
      </c>
      <c r="C187" s="11"/>
      <c r="D187" s="8">
        <v>4.9800000000000004</v>
      </c>
      <c r="E187" s="3"/>
      <c r="F187" s="7">
        <f t="shared" si="50"/>
        <v>1.0442262309838907E-5</v>
      </c>
      <c r="G187" s="3"/>
      <c r="H187" s="8">
        <v>-41.56</v>
      </c>
      <c r="I187" s="3"/>
      <c r="J187" s="7">
        <f t="shared" si="51"/>
        <v>-2.7579591309477011E-5</v>
      </c>
      <c r="K187" s="3"/>
      <c r="L187" s="8">
        <f t="shared" si="52"/>
        <v>46.540000000000006</v>
      </c>
      <c r="M187" s="3"/>
      <c r="N187" s="7">
        <f t="shared" si="53"/>
        <v>-1.1198267564966315</v>
      </c>
      <c r="O187" s="11"/>
      <c r="P187" s="8">
        <v>4.9800000000000004</v>
      </c>
      <c r="Q187" s="3"/>
      <c r="R187" s="7">
        <f t="shared" si="54"/>
        <v>1.0442262309838907E-5</v>
      </c>
      <c r="S187" s="3"/>
      <c r="T187" s="8">
        <v>-41.56</v>
      </c>
      <c r="U187" s="3"/>
      <c r="V187" s="7">
        <f t="shared" si="55"/>
        <v>-2.7579591309477011E-5</v>
      </c>
      <c r="W187" s="3"/>
      <c r="X187" s="8">
        <f t="shared" si="56"/>
        <v>46.540000000000006</v>
      </c>
      <c r="Y187" s="3"/>
      <c r="Z187" s="7">
        <f t="shared" si="57"/>
        <v>-1.1198267564966315</v>
      </c>
    </row>
    <row r="188" spans="1:26" s="27" customFormat="1" outlineLevel="1" collapsed="1" x14ac:dyDescent="0.25">
      <c r="A188" s="28"/>
      <c r="B188" s="14" t="str">
        <f>CONCATENATE("     ","Bank/card Fees                                    ")</f>
        <v xml:space="preserve">     Bank/card Fees                                    </v>
      </c>
      <c r="C188" s="14"/>
      <c r="D188" s="1">
        <f>SUM(OSRRefD22_4x_0)</f>
        <v>3706.36</v>
      </c>
      <c r="E188" s="1"/>
      <c r="F188" s="5">
        <f t="shared" si="50"/>
        <v>7.7716432398985003E-3</v>
      </c>
      <c r="G188" s="1"/>
      <c r="H188" s="1">
        <f>SUM(OSRRefH22_4x_0)</f>
        <v>12197.69</v>
      </c>
      <c r="I188" s="1"/>
      <c r="J188" s="5">
        <f t="shared" si="51"/>
        <v>8.0944972357963104E-3</v>
      </c>
      <c r="K188" s="1"/>
      <c r="L188" s="1">
        <f t="shared" si="52"/>
        <v>-8491.33</v>
      </c>
      <c r="M188" s="1"/>
      <c r="N188" s="5">
        <f t="shared" si="53"/>
        <v>-0.69614246631944243</v>
      </c>
      <c r="O188" s="14"/>
      <c r="P188" s="1">
        <f>SUM(OSRRefP22_4x_0)</f>
        <v>3706.36</v>
      </c>
      <c r="Q188" s="1"/>
      <c r="R188" s="5">
        <f t="shared" si="54"/>
        <v>7.7716432398985003E-3</v>
      </c>
      <c r="S188" s="1"/>
      <c r="T188" s="1">
        <f>SUM(OSRRefT22_4x_0)</f>
        <v>12197.69</v>
      </c>
      <c r="U188" s="1"/>
      <c r="V188" s="5">
        <f t="shared" si="55"/>
        <v>8.0944972357963104E-3</v>
      </c>
      <c r="W188" s="1"/>
      <c r="X188" s="1">
        <f t="shared" si="56"/>
        <v>-8491.33</v>
      </c>
      <c r="Y188" s="1"/>
      <c r="Z188" s="5">
        <f t="shared" si="57"/>
        <v>-0.69614246631944243</v>
      </c>
    </row>
    <row r="189" spans="1:26" s="24" customFormat="1" hidden="1" outlineLevel="2" x14ac:dyDescent="0.25">
      <c r="A189" s="29"/>
      <c r="B189" s="11" t="str">
        <f>CONCATENATE("          ", "6381", " - ", "BANK/CREDIT CARD FEES")</f>
        <v xml:space="preserve">          6381 - BANK/CREDIT CARD FEES</v>
      </c>
      <c r="C189" s="11"/>
      <c r="D189" s="8">
        <v>3706.36</v>
      </c>
      <c r="E189" s="3"/>
      <c r="F189" s="7">
        <f t="shared" si="50"/>
        <v>7.7716432398985003E-3</v>
      </c>
      <c r="G189" s="3"/>
      <c r="H189" s="8">
        <v>12197.69</v>
      </c>
      <c r="I189" s="3"/>
      <c r="J189" s="7">
        <f t="shared" si="51"/>
        <v>8.0944972357963104E-3</v>
      </c>
      <c r="K189" s="3"/>
      <c r="L189" s="8">
        <f t="shared" si="52"/>
        <v>-8491.33</v>
      </c>
      <c r="M189" s="3"/>
      <c r="N189" s="7">
        <f t="shared" si="53"/>
        <v>-0.69614246631944243</v>
      </c>
      <c r="O189" s="11"/>
      <c r="P189" s="8">
        <v>3706.36</v>
      </c>
      <c r="Q189" s="3"/>
      <c r="R189" s="7">
        <f t="shared" si="54"/>
        <v>7.7716432398985003E-3</v>
      </c>
      <c r="S189" s="3"/>
      <c r="T189" s="8">
        <v>12197.69</v>
      </c>
      <c r="U189" s="3"/>
      <c r="V189" s="7">
        <f t="shared" si="55"/>
        <v>8.0944972357963104E-3</v>
      </c>
      <c r="W189" s="3"/>
      <c r="X189" s="8">
        <f t="shared" si="56"/>
        <v>-8491.33</v>
      </c>
      <c r="Y189" s="3"/>
      <c r="Z189" s="7">
        <f t="shared" si="57"/>
        <v>-0.69614246631944243</v>
      </c>
    </row>
    <row r="190" spans="1:26" s="27" customFormat="1" outlineLevel="1" collapsed="1" x14ac:dyDescent="0.25">
      <c r="A190" s="28"/>
      <c r="B190" s="14" t="str">
        <f>CONCATENATE("     ","Depreciation                                      ")</f>
        <v xml:space="preserve">     Depreciation                                      </v>
      </c>
      <c r="C190" s="14"/>
      <c r="D190" s="1">
        <f>SUM(OSRRefD22_5x_0)</f>
        <v>77387.06</v>
      </c>
      <c r="E190" s="1"/>
      <c r="F190" s="5">
        <f t="shared" si="50"/>
        <v>0.16226826905767913</v>
      </c>
      <c r="G190" s="1"/>
      <c r="H190" s="1">
        <f>SUM(OSRRefH22_5x_0)</f>
        <v>77862.400000000009</v>
      </c>
      <c r="I190" s="1"/>
      <c r="J190" s="5">
        <f t="shared" si="51"/>
        <v>5.1670191779957242E-2</v>
      </c>
      <c r="K190" s="1"/>
      <c r="L190" s="1">
        <f t="shared" si="52"/>
        <v>-475.34000000001106</v>
      </c>
      <c r="M190" s="1"/>
      <c r="N190" s="5">
        <f t="shared" si="53"/>
        <v>-6.1048721847773895E-3</v>
      </c>
      <c r="O190" s="14"/>
      <c r="P190" s="1">
        <f>SUM(OSRRefP22_5x_0)</f>
        <v>77387.06</v>
      </c>
      <c r="Q190" s="1"/>
      <c r="R190" s="5">
        <f t="shared" si="54"/>
        <v>0.16226826905767913</v>
      </c>
      <c r="S190" s="1"/>
      <c r="T190" s="1">
        <f>SUM(OSRRefT22_5x_0)</f>
        <v>77862.400000000009</v>
      </c>
      <c r="U190" s="1"/>
      <c r="V190" s="5">
        <f t="shared" si="55"/>
        <v>5.1670191779957242E-2</v>
      </c>
      <c r="W190" s="1"/>
      <c r="X190" s="1">
        <f t="shared" si="56"/>
        <v>-475.34000000001106</v>
      </c>
      <c r="Y190" s="1"/>
      <c r="Z190" s="5">
        <f t="shared" si="57"/>
        <v>-6.1048721847773895E-3</v>
      </c>
    </row>
    <row r="191" spans="1:26" s="24" customFormat="1" hidden="1" outlineLevel="2" x14ac:dyDescent="0.25">
      <c r="A191" s="29"/>
      <c r="B191" s="11" t="str">
        <f>CONCATENATE("          ", "6321", " - ", "BUILDING DEPRECIATION")</f>
        <v xml:space="preserve">          6321 - BUILDING DEPRECIATION</v>
      </c>
      <c r="C191" s="11"/>
      <c r="D191" s="8">
        <v>45321.919999999998</v>
      </c>
      <c r="E191" s="3"/>
      <c r="F191" s="7">
        <f t="shared" si="50"/>
        <v>9.5032806631633354E-2</v>
      </c>
      <c r="G191" s="3"/>
      <c r="H191" s="8">
        <v>45519.990000000005</v>
      </c>
      <c r="I191" s="3"/>
      <c r="J191" s="7">
        <f t="shared" si="51"/>
        <v>3.0207476434347465E-2</v>
      </c>
      <c r="K191" s="3"/>
      <c r="L191" s="8">
        <f t="shared" si="52"/>
        <v>-198.07000000000698</v>
      </c>
      <c r="M191" s="3"/>
      <c r="N191" s="7">
        <f t="shared" si="53"/>
        <v>-4.3512751211062864E-3</v>
      </c>
      <c r="O191" s="11"/>
      <c r="P191" s="8">
        <v>45321.919999999998</v>
      </c>
      <c r="Q191" s="3"/>
      <c r="R191" s="7">
        <f t="shared" si="54"/>
        <v>9.5032806631633354E-2</v>
      </c>
      <c r="S191" s="3"/>
      <c r="T191" s="8">
        <v>45519.990000000005</v>
      </c>
      <c r="U191" s="3"/>
      <c r="V191" s="7">
        <f t="shared" si="55"/>
        <v>3.0207476434347465E-2</v>
      </c>
      <c r="W191" s="3"/>
      <c r="X191" s="8">
        <f t="shared" si="56"/>
        <v>-198.07000000000698</v>
      </c>
      <c r="Y191" s="3"/>
      <c r="Z191" s="7">
        <f t="shared" si="57"/>
        <v>-4.3512751211062864E-3</v>
      </c>
    </row>
    <row r="192" spans="1:26" s="24" customFormat="1" hidden="1" outlineLevel="2" x14ac:dyDescent="0.25">
      <c r="A192" s="29"/>
      <c r="B192" s="11" t="str">
        <f>CONCATENATE("          ", "6322", " - ", "EQUIPMENT DEPRECIATION EXPENSE")</f>
        <v xml:space="preserve">          6322 - EQUIPMENT DEPRECIATION EXPENSE</v>
      </c>
      <c r="C192" s="11"/>
      <c r="D192" s="8">
        <v>32065.139999999996</v>
      </c>
      <c r="E192" s="3"/>
      <c r="F192" s="7">
        <f t="shared" si="50"/>
        <v>6.7235462426045764E-2</v>
      </c>
      <c r="G192" s="3"/>
      <c r="H192" s="8">
        <v>31918.16</v>
      </c>
      <c r="I192" s="3"/>
      <c r="J192" s="7">
        <f t="shared" si="51"/>
        <v>2.1181179214400787E-2</v>
      </c>
      <c r="K192" s="3"/>
      <c r="L192" s="8">
        <f t="shared" si="52"/>
        <v>146.97999999999593</v>
      </c>
      <c r="M192" s="3"/>
      <c r="N192" s="7">
        <f t="shared" si="53"/>
        <v>4.6049020369593966E-3</v>
      </c>
      <c r="O192" s="11"/>
      <c r="P192" s="8">
        <v>32065.139999999996</v>
      </c>
      <c r="Q192" s="3"/>
      <c r="R192" s="7">
        <f t="shared" si="54"/>
        <v>6.7235462426045764E-2</v>
      </c>
      <c r="S192" s="3"/>
      <c r="T192" s="8">
        <v>31918.16</v>
      </c>
      <c r="U192" s="3"/>
      <c r="V192" s="7">
        <f t="shared" si="55"/>
        <v>2.1181179214400787E-2</v>
      </c>
      <c r="W192" s="3"/>
      <c r="X192" s="8">
        <f t="shared" si="56"/>
        <v>146.97999999999593</v>
      </c>
      <c r="Y192" s="3"/>
      <c r="Z192" s="7">
        <f t="shared" si="57"/>
        <v>4.6049020369593966E-3</v>
      </c>
    </row>
    <row r="193" spans="1:26" s="24" customFormat="1" hidden="1" outlineLevel="2" x14ac:dyDescent="0.25">
      <c r="A193" s="29"/>
      <c r="B193" s="11" t="str">
        <f>CONCATENATE("          ", "6326", " - ", "VEHICLES DEPRECIATION EXPENSE")</f>
        <v xml:space="preserve">          6326 - VEHICLES DEPRECIATION EXPENSE</v>
      </c>
      <c r="C193" s="11"/>
      <c r="D193" s="8"/>
      <c r="E193" s="3"/>
      <c r="F193" s="7">
        <f t="shared" si="50"/>
        <v>0</v>
      </c>
      <c r="G193" s="3"/>
      <c r="H193" s="8">
        <v>424.25</v>
      </c>
      <c r="I193" s="3"/>
      <c r="J193" s="7">
        <f t="shared" si="51"/>
        <v>2.8153613120898994E-4</v>
      </c>
      <c r="K193" s="3"/>
      <c r="L193" s="8">
        <f t="shared" si="52"/>
        <v>-424.25</v>
      </c>
      <c r="M193" s="3"/>
      <c r="N193" s="7">
        <f t="shared" si="53"/>
        <v>-1</v>
      </c>
      <c r="O193" s="11"/>
      <c r="P193" s="8"/>
      <c r="Q193" s="3"/>
      <c r="R193" s="7">
        <f t="shared" si="54"/>
        <v>0</v>
      </c>
      <c r="S193" s="3"/>
      <c r="T193" s="8">
        <v>424.25</v>
      </c>
      <c r="U193" s="3"/>
      <c r="V193" s="7">
        <f t="shared" si="55"/>
        <v>2.8153613120898994E-4</v>
      </c>
      <c r="W193" s="3"/>
      <c r="X193" s="8">
        <f t="shared" si="56"/>
        <v>-424.25</v>
      </c>
      <c r="Y193" s="3"/>
      <c r="Z193" s="7">
        <f t="shared" si="57"/>
        <v>-1</v>
      </c>
    </row>
    <row r="194" spans="1:26" s="27" customFormat="1" outlineLevel="1" collapsed="1" x14ac:dyDescent="0.25">
      <c r="A194" s="28"/>
      <c r="B194" s="14" t="str">
        <f>CONCATENATE("     ","Discounts and Markdowns                           ")</f>
        <v xml:space="preserve">     Discounts and Markdowns                           </v>
      </c>
      <c r="C194" s="14"/>
      <c r="D194" s="1">
        <f>SUM(OSRRefD22_6x_0)</f>
        <v>0</v>
      </c>
      <c r="E194" s="1"/>
      <c r="F194" s="5">
        <f t="shared" ref="F194:F196" si="58">IF(D$12=0,0,D194/D$12)</f>
        <v>0</v>
      </c>
      <c r="G194" s="1"/>
      <c r="H194" s="1">
        <f>SUM(OSRRefH22_6x_0)</f>
        <v>37407.770000000004</v>
      </c>
      <c r="I194" s="1"/>
      <c r="J194" s="5">
        <f t="shared" ref="J194:J196" si="59">IF(H$12=0,0,H194/H$12)</f>
        <v>2.4824133984574469E-2</v>
      </c>
      <c r="K194" s="1"/>
      <c r="L194" s="1">
        <f t="shared" ref="L194:L196" si="60">+D194-H194</f>
        <v>-37407.770000000004</v>
      </c>
      <c r="M194" s="1"/>
      <c r="N194" s="5">
        <f t="shared" ref="N194:N196" si="61">IF(H194=0,0,L194/H194)</f>
        <v>-1</v>
      </c>
      <c r="O194" s="14"/>
      <c r="P194" s="1">
        <f>SUM(OSRRefP22_6x_0)</f>
        <v>0</v>
      </c>
      <c r="Q194" s="1"/>
      <c r="R194" s="5">
        <f t="shared" ref="R194:R196" si="62">IF(P$12=0,0,P194/P$12)</f>
        <v>0</v>
      </c>
      <c r="S194" s="1"/>
      <c r="T194" s="1">
        <f>SUM(OSRRefT22_6x_0)</f>
        <v>37407.770000000004</v>
      </c>
      <c r="U194" s="1"/>
      <c r="V194" s="5">
        <f t="shared" ref="V194:V196" si="63">IF(T$12=0,0,T194/T$12)</f>
        <v>2.4824133984574469E-2</v>
      </c>
      <c r="W194" s="1"/>
      <c r="X194" s="1">
        <f t="shared" ref="X194:X196" si="64">+P194-T194</f>
        <v>-37407.770000000004</v>
      </c>
      <c r="Y194" s="1"/>
      <c r="Z194" s="5">
        <f t="shared" ref="Z194:Z196" si="65">IF(T194=0,0,X194/T194)</f>
        <v>-1</v>
      </c>
    </row>
    <row r="195" spans="1:26" s="24" customFormat="1" hidden="1" outlineLevel="2" x14ac:dyDescent="0.25">
      <c r="A195" s="29"/>
      <c r="B195" s="11" t="str">
        <f>CONCATENATE("          ", "6382", " - ", "DISCOUNTS/MARK DOWNS")</f>
        <v xml:space="preserve">          6382 - DISCOUNTS/MARK DOWNS</v>
      </c>
      <c r="C195" s="11"/>
      <c r="D195" s="8"/>
      <c r="E195" s="3"/>
      <c r="F195" s="7">
        <f t="shared" si="58"/>
        <v>0</v>
      </c>
      <c r="G195" s="3"/>
      <c r="H195" s="8">
        <v>37851.480000000003</v>
      </c>
      <c r="I195" s="3"/>
      <c r="J195" s="7">
        <f t="shared" si="59"/>
        <v>2.5118583947517877E-2</v>
      </c>
      <c r="K195" s="3"/>
      <c r="L195" s="8">
        <f t="shared" si="60"/>
        <v>-37851.480000000003</v>
      </c>
      <c r="M195" s="3"/>
      <c r="N195" s="7">
        <f t="shared" si="61"/>
        <v>-1</v>
      </c>
      <c r="O195" s="11"/>
      <c r="P195" s="8"/>
      <c r="Q195" s="3"/>
      <c r="R195" s="7">
        <f t="shared" si="62"/>
        <v>0</v>
      </c>
      <c r="S195" s="3"/>
      <c r="T195" s="8">
        <v>37851.480000000003</v>
      </c>
      <c r="U195" s="3"/>
      <c r="V195" s="7">
        <f t="shared" si="63"/>
        <v>2.5118583947517877E-2</v>
      </c>
      <c r="W195" s="3"/>
      <c r="X195" s="8">
        <f t="shared" si="64"/>
        <v>-37851.480000000003</v>
      </c>
      <c r="Y195" s="3"/>
      <c r="Z195" s="7">
        <f t="shared" si="65"/>
        <v>-1</v>
      </c>
    </row>
    <row r="196" spans="1:26" s="24" customFormat="1" hidden="1" outlineLevel="2" x14ac:dyDescent="0.25">
      <c r="A196" s="29"/>
      <c r="B196" s="11" t="str">
        <f>CONCATENATE("          ", "9175", " - ", "EARNED DISCOUNTS")</f>
        <v xml:space="preserve">          9175 - EARNED DISCOUNTS</v>
      </c>
      <c r="C196" s="11"/>
      <c r="D196" s="8"/>
      <c r="E196" s="3"/>
      <c r="F196" s="7">
        <f t="shared" si="58"/>
        <v>0</v>
      </c>
      <c r="G196" s="3"/>
      <c r="H196" s="8">
        <v>-443.71</v>
      </c>
      <c r="I196" s="3"/>
      <c r="J196" s="7">
        <f t="shared" si="59"/>
        <v>-2.9444996294340818E-4</v>
      </c>
      <c r="K196" s="3"/>
      <c r="L196" s="8">
        <f t="shared" si="60"/>
        <v>443.71</v>
      </c>
      <c r="M196" s="3"/>
      <c r="N196" s="7">
        <f t="shared" si="61"/>
        <v>-1</v>
      </c>
      <c r="O196" s="11"/>
      <c r="P196" s="8"/>
      <c r="Q196" s="3"/>
      <c r="R196" s="7">
        <f t="shared" si="62"/>
        <v>0</v>
      </c>
      <c r="S196" s="3"/>
      <c r="T196" s="8">
        <v>-443.71</v>
      </c>
      <c r="U196" s="3"/>
      <c r="V196" s="7">
        <f t="shared" si="63"/>
        <v>-2.9444996294340818E-4</v>
      </c>
      <c r="W196" s="3"/>
      <c r="X196" s="8">
        <f t="shared" si="64"/>
        <v>443.71</v>
      </c>
      <c r="Y196" s="3"/>
      <c r="Z196" s="7">
        <f t="shared" si="65"/>
        <v>-1</v>
      </c>
    </row>
    <row r="197" spans="1:26" s="27" customFormat="1" outlineLevel="1" collapsed="1" x14ac:dyDescent="0.25">
      <c r="A197" s="28"/>
      <c r="B197" s="14" t="str">
        <f>CONCATENATE("     ","Donations                                         ")</f>
        <v xml:space="preserve">     Donations                                         </v>
      </c>
      <c r="C197" s="14"/>
      <c r="D197" s="1">
        <f>SUM(OSRRefD22_7x_0)</f>
        <v>0</v>
      </c>
      <c r="E197" s="1"/>
      <c r="F197" s="5">
        <f t="shared" ref="F197:F205" si="66">IF(D$12=0,0,D197/D$12)</f>
        <v>0</v>
      </c>
      <c r="G197" s="1"/>
      <c r="H197" s="1">
        <f>SUM(OSRRefH22_7x_0)</f>
        <v>925.42</v>
      </c>
      <c r="I197" s="1"/>
      <c r="J197" s="5">
        <f t="shared" ref="J197:J205" si="67">IF(H$12=0,0,H197/H$12)</f>
        <v>6.1411706904755084E-4</v>
      </c>
      <c r="K197" s="1"/>
      <c r="L197" s="1">
        <f t="shared" ref="L197:L205" si="68">+D197-H197</f>
        <v>-925.42</v>
      </c>
      <c r="M197" s="1"/>
      <c r="N197" s="5">
        <f t="shared" ref="N197:N205" si="69">IF(H197=0,0,L197/H197)</f>
        <v>-1</v>
      </c>
      <c r="O197" s="14"/>
      <c r="P197" s="1">
        <f>SUM(OSRRefP22_7x_0)</f>
        <v>0</v>
      </c>
      <c r="Q197" s="1"/>
      <c r="R197" s="5">
        <f t="shared" ref="R197:R205" si="70">IF(P$12=0,0,P197/P$12)</f>
        <v>0</v>
      </c>
      <c r="S197" s="1"/>
      <c r="T197" s="1">
        <f>SUM(OSRRefT22_7x_0)</f>
        <v>925.42</v>
      </c>
      <c r="U197" s="1"/>
      <c r="V197" s="5">
        <f t="shared" ref="V197:V205" si="71">IF(T$12=0,0,T197/T$12)</f>
        <v>6.1411706904755084E-4</v>
      </c>
      <c r="W197" s="1"/>
      <c r="X197" s="1">
        <f t="shared" ref="X197:X205" si="72">+P197-T197</f>
        <v>-925.42</v>
      </c>
      <c r="Y197" s="1"/>
      <c r="Z197" s="5">
        <f t="shared" ref="Z197:Z205" si="73">IF(T197=0,0,X197/T197)</f>
        <v>-1</v>
      </c>
    </row>
    <row r="198" spans="1:26" s="24" customFormat="1" hidden="1" outlineLevel="2" x14ac:dyDescent="0.25">
      <c r="A198" s="29"/>
      <c r="B198" s="11" t="str">
        <f>CONCATENATE("          ", "6399", " - ", "DONATION-ON CAMPUS")</f>
        <v xml:space="preserve">          6399 - DONATION-ON CAMPUS</v>
      </c>
      <c r="C198" s="11"/>
      <c r="D198" s="8"/>
      <c r="E198" s="3"/>
      <c r="F198" s="7">
        <f t="shared" si="66"/>
        <v>0</v>
      </c>
      <c r="G198" s="3"/>
      <c r="H198" s="8">
        <v>925.42</v>
      </c>
      <c r="I198" s="3"/>
      <c r="J198" s="7">
        <f t="shared" si="67"/>
        <v>6.1411706904755084E-4</v>
      </c>
      <c r="K198" s="3"/>
      <c r="L198" s="8">
        <f t="shared" si="68"/>
        <v>-925.42</v>
      </c>
      <c r="M198" s="3"/>
      <c r="N198" s="7">
        <f t="shared" si="69"/>
        <v>-1</v>
      </c>
      <c r="O198" s="11"/>
      <c r="P198" s="8"/>
      <c r="Q198" s="3"/>
      <c r="R198" s="7">
        <f t="shared" si="70"/>
        <v>0</v>
      </c>
      <c r="S198" s="3"/>
      <c r="T198" s="8">
        <v>925.42</v>
      </c>
      <c r="U198" s="3"/>
      <c r="V198" s="7">
        <f t="shared" si="71"/>
        <v>6.1411706904755084E-4</v>
      </c>
      <c r="W198" s="3"/>
      <c r="X198" s="8">
        <f t="shared" si="72"/>
        <v>-925.42</v>
      </c>
      <c r="Y198" s="3"/>
      <c r="Z198" s="7">
        <f t="shared" si="73"/>
        <v>-1</v>
      </c>
    </row>
    <row r="199" spans="1:26" s="27" customFormat="1" outlineLevel="1" collapsed="1" x14ac:dyDescent="0.25">
      <c r="A199" s="28"/>
      <c r="B199" s="14" t="str">
        <f>CONCATENATE("     ","Employees' Appreciation                           ")</f>
        <v xml:space="preserve">     Employees' Appreciation                           </v>
      </c>
      <c r="C199" s="14"/>
      <c r="D199" s="1">
        <f>SUM(OSRRefD22_8x_0)</f>
        <v>107.7</v>
      </c>
      <c r="E199" s="1"/>
      <c r="F199" s="5">
        <f t="shared" si="66"/>
        <v>2.2582964874892576E-4</v>
      </c>
      <c r="G199" s="1"/>
      <c r="H199" s="1">
        <f>SUM(OSRRefH22_8x_0)</f>
        <v>503.3</v>
      </c>
      <c r="I199" s="1"/>
      <c r="J199" s="5">
        <f t="shared" si="67"/>
        <v>3.3399442507362317E-4</v>
      </c>
      <c r="K199" s="1"/>
      <c r="L199" s="1">
        <f t="shared" si="68"/>
        <v>-395.6</v>
      </c>
      <c r="M199" s="1"/>
      <c r="N199" s="5">
        <f t="shared" si="69"/>
        <v>-0.78601231869660249</v>
      </c>
      <c r="O199" s="14"/>
      <c r="P199" s="1">
        <f>SUM(OSRRefP22_8x_0)</f>
        <v>107.7</v>
      </c>
      <c r="Q199" s="1"/>
      <c r="R199" s="5">
        <f t="shared" si="70"/>
        <v>2.2582964874892576E-4</v>
      </c>
      <c r="S199" s="1"/>
      <c r="T199" s="1">
        <f>SUM(OSRRefT22_8x_0)</f>
        <v>503.3</v>
      </c>
      <c r="U199" s="1"/>
      <c r="V199" s="5">
        <f t="shared" si="71"/>
        <v>3.3399442507362317E-4</v>
      </c>
      <c r="W199" s="1"/>
      <c r="X199" s="1">
        <f t="shared" si="72"/>
        <v>-395.6</v>
      </c>
      <c r="Y199" s="1"/>
      <c r="Z199" s="5">
        <f t="shared" si="73"/>
        <v>-0.78601231869660249</v>
      </c>
    </row>
    <row r="200" spans="1:26" s="24" customFormat="1" hidden="1" outlineLevel="2" x14ac:dyDescent="0.25">
      <c r="A200" s="29"/>
      <c r="B200" s="11" t="str">
        <f>CONCATENATE("          ", "6277", " - ", "EMPLOYEE APPRECIATION")</f>
        <v xml:space="preserve">          6277 - EMPLOYEE APPRECIATION</v>
      </c>
      <c r="C200" s="11"/>
      <c r="D200" s="8">
        <v>107.7</v>
      </c>
      <c r="E200" s="3"/>
      <c r="F200" s="7">
        <f t="shared" si="66"/>
        <v>2.2582964874892576E-4</v>
      </c>
      <c r="G200" s="3"/>
      <c r="H200" s="8">
        <v>503.3</v>
      </c>
      <c r="I200" s="3"/>
      <c r="J200" s="7">
        <f t="shared" si="67"/>
        <v>3.3399442507362317E-4</v>
      </c>
      <c r="K200" s="3"/>
      <c r="L200" s="8">
        <f t="shared" si="68"/>
        <v>-395.6</v>
      </c>
      <c r="M200" s="3"/>
      <c r="N200" s="7">
        <f t="shared" si="69"/>
        <v>-0.78601231869660249</v>
      </c>
      <c r="O200" s="11"/>
      <c r="P200" s="8">
        <v>107.7</v>
      </c>
      <c r="Q200" s="3"/>
      <c r="R200" s="7">
        <f t="shared" si="70"/>
        <v>2.2582964874892576E-4</v>
      </c>
      <c r="S200" s="3"/>
      <c r="T200" s="8">
        <v>503.3</v>
      </c>
      <c r="U200" s="3"/>
      <c r="V200" s="7">
        <f t="shared" si="71"/>
        <v>3.3399442507362317E-4</v>
      </c>
      <c r="W200" s="3"/>
      <c r="X200" s="8">
        <f t="shared" si="72"/>
        <v>-395.6</v>
      </c>
      <c r="Y200" s="3"/>
      <c r="Z200" s="7">
        <f t="shared" si="73"/>
        <v>-0.78601231869660249</v>
      </c>
    </row>
    <row r="201" spans="1:26" s="27" customFormat="1" outlineLevel="1" collapsed="1" x14ac:dyDescent="0.25">
      <c r="A201" s="28"/>
      <c r="B201" s="14" t="str">
        <f>CONCATENATE("     ","Equipment Rental                                  ")</f>
        <v xml:space="preserve">     Equipment Rental                                  </v>
      </c>
      <c r="C201" s="14"/>
      <c r="D201" s="1">
        <f>SUM(OSRRefD22_9x_0)</f>
        <v>2638.66</v>
      </c>
      <c r="E201" s="1"/>
      <c r="F201" s="5">
        <f t="shared" si="66"/>
        <v>5.5328473627468929E-3</v>
      </c>
      <c r="G201" s="1"/>
      <c r="H201" s="1">
        <f>SUM(OSRRefH22_9x_0)</f>
        <v>3233.01</v>
      </c>
      <c r="I201" s="1"/>
      <c r="J201" s="5">
        <f t="shared" si="67"/>
        <v>2.1454546318443761E-3</v>
      </c>
      <c r="K201" s="1"/>
      <c r="L201" s="1">
        <f t="shared" si="68"/>
        <v>-594.35000000000036</v>
      </c>
      <c r="M201" s="1"/>
      <c r="N201" s="5">
        <f t="shared" si="69"/>
        <v>-0.18383797142600869</v>
      </c>
      <c r="O201" s="14"/>
      <c r="P201" s="1">
        <f>SUM(OSRRefP22_9x_0)</f>
        <v>2638.66</v>
      </c>
      <c r="Q201" s="1"/>
      <c r="R201" s="5">
        <f t="shared" si="70"/>
        <v>5.5328473627468929E-3</v>
      </c>
      <c r="S201" s="1"/>
      <c r="T201" s="1">
        <f>SUM(OSRRefT22_9x_0)</f>
        <v>3233.01</v>
      </c>
      <c r="U201" s="1"/>
      <c r="V201" s="5">
        <f t="shared" si="71"/>
        <v>2.1454546318443761E-3</v>
      </c>
      <c r="W201" s="1"/>
      <c r="X201" s="1">
        <f t="shared" si="72"/>
        <v>-594.35000000000036</v>
      </c>
      <c r="Y201" s="1"/>
      <c r="Z201" s="5">
        <f t="shared" si="73"/>
        <v>-0.18383797142600869</v>
      </c>
    </row>
    <row r="202" spans="1:26" s="24" customFormat="1" hidden="1" outlineLevel="2" x14ac:dyDescent="0.25">
      <c r="A202" s="29"/>
      <c r="B202" s="11" t="str">
        <f>CONCATENATE("          ", "6351", " - ", "EQUIPMENT RENTAL")</f>
        <v xml:space="preserve">          6351 - EQUIPMENT RENTAL</v>
      </c>
      <c r="C202" s="11"/>
      <c r="D202" s="8">
        <v>2638.66</v>
      </c>
      <c r="E202" s="3"/>
      <c r="F202" s="7">
        <f t="shared" si="66"/>
        <v>5.5328473627468929E-3</v>
      </c>
      <c r="G202" s="3"/>
      <c r="H202" s="8">
        <v>3233.01</v>
      </c>
      <c r="I202" s="3"/>
      <c r="J202" s="7">
        <f t="shared" si="67"/>
        <v>2.1454546318443761E-3</v>
      </c>
      <c r="K202" s="3"/>
      <c r="L202" s="8">
        <f t="shared" si="68"/>
        <v>-594.35000000000036</v>
      </c>
      <c r="M202" s="3"/>
      <c r="N202" s="7">
        <f t="shared" si="69"/>
        <v>-0.18383797142600869</v>
      </c>
      <c r="O202" s="11"/>
      <c r="P202" s="8">
        <v>2638.66</v>
      </c>
      <c r="Q202" s="3"/>
      <c r="R202" s="7">
        <f t="shared" si="70"/>
        <v>5.5328473627468929E-3</v>
      </c>
      <c r="S202" s="3"/>
      <c r="T202" s="8">
        <v>3233.01</v>
      </c>
      <c r="U202" s="3"/>
      <c r="V202" s="7">
        <f t="shared" si="71"/>
        <v>2.1454546318443761E-3</v>
      </c>
      <c r="W202" s="3"/>
      <c r="X202" s="8">
        <f t="shared" si="72"/>
        <v>-594.35000000000036</v>
      </c>
      <c r="Y202" s="3"/>
      <c r="Z202" s="7">
        <f t="shared" si="73"/>
        <v>-0.18383797142600869</v>
      </c>
    </row>
    <row r="203" spans="1:26" s="27" customFormat="1" outlineLevel="1" collapsed="1" x14ac:dyDescent="0.25">
      <c r="A203" s="28"/>
      <c r="B203" s="14" t="str">
        <f>CONCATENATE("     ","Freight out/Postage                               ")</f>
        <v xml:space="preserve">     Freight out/Postage                               </v>
      </c>
      <c r="C203" s="14"/>
      <c r="D203" s="1">
        <f>SUM(OSRRefD22_10x_0)</f>
        <v>8939.26</v>
      </c>
      <c r="E203" s="1"/>
      <c r="F203" s="5">
        <f t="shared" si="66"/>
        <v>1.8744196340532239E-2</v>
      </c>
      <c r="G203" s="1"/>
      <c r="H203" s="1">
        <f>SUM(OSRRefH22_10x_0)</f>
        <v>-2160.1400000000003</v>
      </c>
      <c r="I203" s="1"/>
      <c r="J203" s="5">
        <f t="shared" si="67"/>
        <v>-1.43348841124287E-3</v>
      </c>
      <c r="K203" s="1"/>
      <c r="L203" s="1">
        <f t="shared" si="68"/>
        <v>11099.400000000001</v>
      </c>
      <c r="M203" s="1"/>
      <c r="N203" s="5">
        <f t="shared" si="69"/>
        <v>-5.1382780745692411</v>
      </c>
      <c r="O203" s="14"/>
      <c r="P203" s="1">
        <f>SUM(OSRRefP22_10x_0)</f>
        <v>8939.26</v>
      </c>
      <c r="Q203" s="1"/>
      <c r="R203" s="5">
        <f t="shared" si="70"/>
        <v>1.8744196340532239E-2</v>
      </c>
      <c r="S203" s="1"/>
      <c r="T203" s="1">
        <f>SUM(OSRRefT22_10x_0)</f>
        <v>-2160.1400000000003</v>
      </c>
      <c r="U203" s="1"/>
      <c r="V203" s="5">
        <f t="shared" si="71"/>
        <v>-1.43348841124287E-3</v>
      </c>
      <c r="W203" s="1"/>
      <c r="X203" s="1">
        <f t="shared" si="72"/>
        <v>11099.400000000001</v>
      </c>
      <c r="Y203" s="1"/>
      <c r="Z203" s="5">
        <f t="shared" si="73"/>
        <v>-5.1382780745692411</v>
      </c>
    </row>
    <row r="204" spans="1:26" s="24" customFormat="1" hidden="1" outlineLevel="2" x14ac:dyDescent="0.25">
      <c r="A204" s="29"/>
      <c r="B204" s="11" t="str">
        <f>CONCATENATE("          ", "6305", " - ", "FREIGHT OUT")</f>
        <v xml:space="preserve">          6305 - FREIGHT OUT</v>
      </c>
      <c r="C204" s="11"/>
      <c r="D204" s="8">
        <v>12094.7</v>
      </c>
      <c r="E204" s="3"/>
      <c r="F204" s="7">
        <f t="shared" si="66"/>
        <v>2.5360648586106149E-2</v>
      </c>
      <c r="G204" s="3"/>
      <c r="H204" s="8">
        <v>1489.41</v>
      </c>
      <c r="I204" s="3"/>
      <c r="J204" s="7">
        <f t="shared" si="67"/>
        <v>9.8838592618498942E-4</v>
      </c>
      <c r="K204" s="3"/>
      <c r="L204" s="8">
        <f t="shared" si="68"/>
        <v>10605.29</v>
      </c>
      <c r="M204" s="3"/>
      <c r="N204" s="7">
        <f t="shared" si="69"/>
        <v>7.1204638078165186</v>
      </c>
      <c r="O204" s="11"/>
      <c r="P204" s="8">
        <v>12094.7</v>
      </c>
      <c r="Q204" s="3"/>
      <c r="R204" s="7">
        <f t="shared" si="70"/>
        <v>2.5360648586106149E-2</v>
      </c>
      <c r="S204" s="3"/>
      <c r="T204" s="8">
        <v>1489.41</v>
      </c>
      <c r="U204" s="3"/>
      <c r="V204" s="7">
        <f t="shared" si="71"/>
        <v>9.8838592618498942E-4</v>
      </c>
      <c r="W204" s="3"/>
      <c r="X204" s="8">
        <f t="shared" si="72"/>
        <v>10605.29</v>
      </c>
      <c r="Y204" s="3"/>
      <c r="Z204" s="7">
        <f t="shared" si="73"/>
        <v>7.1204638078165186</v>
      </c>
    </row>
    <row r="205" spans="1:26" s="24" customFormat="1" hidden="1" outlineLevel="2" x14ac:dyDescent="0.25">
      <c r="A205" s="29"/>
      <c r="B205" s="11" t="str">
        <f>CONCATENATE("          ", "6307", " - ", "POSTAGE")</f>
        <v xml:space="preserve">          6307 - POSTAGE</v>
      </c>
      <c r="C205" s="11"/>
      <c r="D205" s="8">
        <v>-3155.44</v>
      </c>
      <c r="E205" s="3"/>
      <c r="F205" s="7">
        <f t="shared" si="66"/>
        <v>-6.616452245573912E-3</v>
      </c>
      <c r="G205" s="3"/>
      <c r="H205" s="8">
        <v>-3649.55</v>
      </c>
      <c r="I205" s="3"/>
      <c r="J205" s="7">
        <f t="shared" si="67"/>
        <v>-2.4218743374278592E-3</v>
      </c>
      <c r="K205" s="3"/>
      <c r="L205" s="8">
        <f t="shared" si="68"/>
        <v>494.11000000000013</v>
      </c>
      <c r="M205" s="3"/>
      <c r="N205" s="7">
        <f t="shared" si="69"/>
        <v>-0.13538929457056353</v>
      </c>
      <c r="O205" s="11"/>
      <c r="P205" s="8">
        <v>-3155.44</v>
      </c>
      <c r="Q205" s="3"/>
      <c r="R205" s="7">
        <f t="shared" si="70"/>
        <v>-6.616452245573912E-3</v>
      </c>
      <c r="S205" s="3"/>
      <c r="T205" s="8">
        <v>-3649.55</v>
      </c>
      <c r="U205" s="3"/>
      <c r="V205" s="7">
        <f t="shared" si="71"/>
        <v>-2.4218743374278592E-3</v>
      </c>
      <c r="W205" s="3"/>
      <c r="X205" s="8">
        <f t="shared" si="72"/>
        <v>494.11000000000013</v>
      </c>
      <c r="Y205" s="3"/>
      <c r="Z205" s="7">
        <f t="shared" si="73"/>
        <v>-0.13538929457056353</v>
      </c>
    </row>
    <row r="206" spans="1:26" s="27" customFormat="1" outlineLevel="1" collapsed="1" x14ac:dyDescent="0.25">
      <c r="A206" s="28"/>
      <c r="B206" s="14" t="str">
        <f>CONCATENATE("     ","General                                           ")</f>
        <v xml:space="preserve">     General                                           </v>
      </c>
      <c r="C206" s="14"/>
      <c r="D206" s="1">
        <f>SUM(OSRRefD22_11x_0)</f>
        <v>8780.7099999999991</v>
      </c>
      <c r="E206" s="1"/>
      <c r="F206" s="5">
        <f t="shared" ref="F206:F223" si="74">IF(D$12=0,0,D206/D$12)</f>
        <v>1.8411742386872605E-2</v>
      </c>
      <c r="G206" s="1"/>
      <c r="H206" s="1">
        <f>SUM(OSRRefH22_11x_0)</f>
        <v>28443.89</v>
      </c>
      <c r="I206" s="1"/>
      <c r="J206" s="5">
        <f t="shared" ref="J206:J223" si="75">IF(H$12=0,0,H206/H$12)</f>
        <v>1.8875622267846968E-2</v>
      </c>
      <c r="K206" s="1"/>
      <c r="L206" s="1">
        <f t="shared" ref="L206:L223" si="76">+D206-H206</f>
        <v>-19663.18</v>
      </c>
      <c r="M206" s="1"/>
      <c r="N206" s="5">
        <f t="shared" ref="N206:N223" si="77">IF(H206=0,0,L206/H206)</f>
        <v>-0.6912971467686031</v>
      </c>
      <c r="O206" s="14"/>
      <c r="P206" s="1">
        <f>SUM(OSRRefP22_11x_0)</f>
        <v>8780.7099999999991</v>
      </c>
      <c r="Q206" s="1"/>
      <c r="R206" s="5">
        <f t="shared" ref="R206:R223" si="78">IF(P$12=0,0,P206/P$12)</f>
        <v>1.8411742386872605E-2</v>
      </c>
      <c r="S206" s="1"/>
      <c r="T206" s="1">
        <f>SUM(OSRRefT22_11x_0)</f>
        <v>28443.89</v>
      </c>
      <c r="U206" s="1"/>
      <c r="V206" s="5">
        <f t="shared" ref="V206:V223" si="79">IF(T$12=0,0,T206/T$12)</f>
        <v>1.8875622267846968E-2</v>
      </c>
      <c r="W206" s="1"/>
      <c r="X206" s="1">
        <f t="shared" ref="X206:X223" si="80">+P206-T206</f>
        <v>-19663.18</v>
      </c>
      <c r="Y206" s="1"/>
      <c r="Z206" s="5">
        <f t="shared" ref="Z206:Z223" si="81">IF(T206=0,0,X206/T206)</f>
        <v>-0.6912971467686031</v>
      </c>
    </row>
    <row r="207" spans="1:26" s="24" customFormat="1" hidden="1" outlineLevel="2" x14ac:dyDescent="0.25">
      <c r="A207" s="29"/>
      <c r="B207" s="11" t="str">
        <f>CONCATENATE("          ", "6279", " - ", "GENERAL EXPENSE")</f>
        <v xml:space="preserve">          6279 - GENERAL EXPENSE</v>
      </c>
      <c r="C207" s="11"/>
      <c r="D207" s="8">
        <v>8780.7099999999991</v>
      </c>
      <c r="E207" s="3"/>
      <c r="F207" s="7">
        <f t="shared" si="74"/>
        <v>1.8411742386872605E-2</v>
      </c>
      <c r="G207" s="3"/>
      <c r="H207" s="8">
        <v>28443.89</v>
      </c>
      <c r="I207" s="3"/>
      <c r="J207" s="7">
        <f t="shared" si="75"/>
        <v>1.8875622267846968E-2</v>
      </c>
      <c r="K207" s="3"/>
      <c r="L207" s="8">
        <f t="shared" si="76"/>
        <v>-19663.18</v>
      </c>
      <c r="M207" s="3"/>
      <c r="N207" s="7">
        <f t="shared" si="77"/>
        <v>-0.6912971467686031</v>
      </c>
      <c r="O207" s="11"/>
      <c r="P207" s="8">
        <v>8780.7099999999991</v>
      </c>
      <c r="Q207" s="3"/>
      <c r="R207" s="7">
        <f t="shared" si="78"/>
        <v>1.8411742386872605E-2</v>
      </c>
      <c r="S207" s="3"/>
      <c r="T207" s="8">
        <v>28443.89</v>
      </c>
      <c r="U207" s="3"/>
      <c r="V207" s="7">
        <f t="shared" si="79"/>
        <v>1.8875622267846968E-2</v>
      </c>
      <c r="W207" s="3"/>
      <c r="X207" s="8">
        <f t="shared" si="80"/>
        <v>-19663.18</v>
      </c>
      <c r="Y207" s="3"/>
      <c r="Z207" s="7">
        <f t="shared" si="81"/>
        <v>-0.6912971467686031</v>
      </c>
    </row>
    <row r="208" spans="1:26" s="27" customFormat="1" outlineLevel="1" collapsed="1" x14ac:dyDescent="0.25">
      <c r="A208" s="28"/>
      <c r="B208" s="14" t="str">
        <f>CONCATENATE("     ","Insurance                                         ")</f>
        <v xml:space="preserve">     Insurance                                         </v>
      </c>
      <c r="C208" s="14"/>
      <c r="D208" s="1">
        <f>SUM(OSRRefD22_12x_0)</f>
        <v>8563.32</v>
      </c>
      <c r="E208" s="1"/>
      <c r="F208" s="5">
        <f t="shared" si="74"/>
        <v>1.7955910378130463E-2</v>
      </c>
      <c r="G208" s="1"/>
      <c r="H208" s="1">
        <f>SUM(OSRRefH22_12x_0)</f>
        <v>8563.32</v>
      </c>
      <c r="I208" s="1"/>
      <c r="J208" s="5">
        <f t="shared" si="75"/>
        <v>5.6826964834521335E-3</v>
      </c>
      <c r="K208" s="1"/>
      <c r="L208" s="1">
        <f t="shared" si="76"/>
        <v>0</v>
      </c>
      <c r="M208" s="1"/>
      <c r="N208" s="5">
        <f t="shared" si="77"/>
        <v>0</v>
      </c>
      <c r="O208" s="14"/>
      <c r="P208" s="1">
        <f>SUM(OSRRefP22_12x_0)</f>
        <v>8563.32</v>
      </c>
      <c r="Q208" s="1"/>
      <c r="R208" s="5">
        <f t="shared" si="78"/>
        <v>1.7955910378130463E-2</v>
      </c>
      <c r="S208" s="1"/>
      <c r="T208" s="1">
        <f>SUM(OSRRefT22_12x_0)</f>
        <v>8563.32</v>
      </c>
      <c r="U208" s="1"/>
      <c r="V208" s="5">
        <f t="shared" si="79"/>
        <v>5.6826964834521335E-3</v>
      </c>
      <c r="W208" s="1"/>
      <c r="X208" s="1">
        <f t="shared" si="80"/>
        <v>0</v>
      </c>
      <c r="Y208" s="1"/>
      <c r="Z208" s="5">
        <f t="shared" si="81"/>
        <v>0</v>
      </c>
    </row>
    <row r="209" spans="1:26" s="24" customFormat="1" hidden="1" outlineLevel="2" x14ac:dyDescent="0.25">
      <c r="A209" s="29"/>
      <c r="B209" s="11" t="str">
        <f>CONCATENATE("          ", "6314", " - ", "LIABILITY INSURANCE")</f>
        <v xml:space="preserve">          6314 - LIABILITY INSURANCE</v>
      </c>
      <c r="C209" s="11"/>
      <c r="D209" s="8">
        <v>8563.32</v>
      </c>
      <c r="E209" s="3"/>
      <c r="F209" s="7">
        <f t="shared" si="74"/>
        <v>1.7955910378130463E-2</v>
      </c>
      <c r="G209" s="3"/>
      <c r="H209" s="8">
        <v>8563.32</v>
      </c>
      <c r="I209" s="3"/>
      <c r="J209" s="7">
        <f t="shared" si="75"/>
        <v>5.6826964834521335E-3</v>
      </c>
      <c r="K209" s="3"/>
      <c r="L209" s="8">
        <f t="shared" si="76"/>
        <v>0</v>
      </c>
      <c r="M209" s="3"/>
      <c r="N209" s="7">
        <f t="shared" si="77"/>
        <v>0</v>
      </c>
      <c r="O209" s="11"/>
      <c r="P209" s="8">
        <v>8563.32</v>
      </c>
      <c r="Q209" s="3"/>
      <c r="R209" s="7">
        <f t="shared" si="78"/>
        <v>1.7955910378130463E-2</v>
      </c>
      <c r="S209" s="3"/>
      <c r="T209" s="8">
        <v>8563.32</v>
      </c>
      <c r="U209" s="3"/>
      <c r="V209" s="7">
        <f t="shared" si="79"/>
        <v>5.6826964834521335E-3</v>
      </c>
      <c r="W209" s="3"/>
      <c r="X209" s="8">
        <f t="shared" si="80"/>
        <v>0</v>
      </c>
      <c r="Y209" s="3"/>
      <c r="Z209" s="7">
        <f t="shared" si="81"/>
        <v>0</v>
      </c>
    </row>
    <row r="210" spans="1:26" s="27" customFormat="1" outlineLevel="1" collapsed="1" x14ac:dyDescent="0.25">
      <c r="A210" s="28"/>
      <c r="B210" s="14" t="str">
        <f>CONCATENATE("     ","Interest                                          ")</f>
        <v xml:space="preserve">     Interest                                          </v>
      </c>
      <c r="C210" s="14"/>
      <c r="D210" s="1">
        <f>SUM(OSRRefD22_13x_0)</f>
        <v>11554</v>
      </c>
      <c r="E210" s="1"/>
      <c r="F210" s="5">
        <f t="shared" si="74"/>
        <v>2.4226887294754765E-2</v>
      </c>
      <c r="G210" s="1"/>
      <c r="H210" s="1">
        <f>SUM(OSRRefH22_13x_0)</f>
        <v>11740</v>
      </c>
      <c r="I210" s="1"/>
      <c r="J210" s="5">
        <f t="shared" si="75"/>
        <v>7.7907700186058736E-3</v>
      </c>
      <c r="K210" s="1"/>
      <c r="L210" s="1">
        <f t="shared" si="76"/>
        <v>-186</v>
      </c>
      <c r="M210" s="1"/>
      <c r="N210" s="5">
        <f t="shared" si="77"/>
        <v>-1.5843270868824533E-2</v>
      </c>
      <c r="O210" s="14"/>
      <c r="P210" s="1">
        <f>SUM(OSRRefP22_13x_0)</f>
        <v>11554</v>
      </c>
      <c r="Q210" s="1"/>
      <c r="R210" s="5">
        <f t="shared" si="78"/>
        <v>2.4226887294754765E-2</v>
      </c>
      <c r="S210" s="1"/>
      <c r="T210" s="1">
        <f>SUM(OSRRefT22_13x_0)</f>
        <v>11740</v>
      </c>
      <c r="U210" s="1"/>
      <c r="V210" s="5">
        <f t="shared" si="79"/>
        <v>7.7907700186058736E-3</v>
      </c>
      <c r="W210" s="1"/>
      <c r="X210" s="1">
        <f t="shared" si="80"/>
        <v>-186</v>
      </c>
      <c r="Y210" s="1"/>
      <c r="Z210" s="5">
        <f t="shared" si="81"/>
        <v>-1.5843270868824533E-2</v>
      </c>
    </row>
    <row r="211" spans="1:26" s="24" customFormat="1" hidden="1" outlineLevel="2" x14ac:dyDescent="0.25">
      <c r="A211" s="29"/>
      <c r="B211" s="11" t="str">
        <f>CONCATENATE("          ", "6401", " - ", "INTEREST EXPENSE")</f>
        <v xml:space="preserve">          6401 - INTEREST EXPENSE</v>
      </c>
      <c r="C211" s="11"/>
      <c r="D211" s="8">
        <v>11554</v>
      </c>
      <c r="E211" s="3"/>
      <c r="F211" s="7">
        <f t="shared" si="74"/>
        <v>2.4226887294754765E-2</v>
      </c>
      <c r="G211" s="3"/>
      <c r="H211" s="8">
        <v>11740</v>
      </c>
      <c r="I211" s="3"/>
      <c r="J211" s="7">
        <f t="shared" si="75"/>
        <v>7.7907700186058736E-3</v>
      </c>
      <c r="K211" s="3"/>
      <c r="L211" s="8">
        <f t="shared" si="76"/>
        <v>-186</v>
      </c>
      <c r="M211" s="3"/>
      <c r="N211" s="7">
        <f t="shared" si="77"/>
        <v>-1.5843270868824533E-2</v>
      </c>
      <c r="O211" s="11"/>
      <c r="P211" s="8">
        <v>11554</v>
      </c>
      <c r="Q211" s="3"/>
      <c r="R211" s="7">
        <f t="shared" si="78"/>
        <v>2.4226887294754765E-2</v>
      </c>
      <c r="S211" s="3"/>
      <c r="T211" s="8">
        <v>11740</v>
      </c>
      <c r="U211" s="3"/>
      <c r="V211" s="7">
        <f t="shared" si="79"/>
        <v>7.7907700186058736E-3</v>
      </c>
      <c r="W211" s="3"/>
      <c r="X211" s="8">
        <f t="shared" si="80"/>
        <v>-186</v>
      </c>
      <c r="Y211" s="3"/>
      <c r="Z211" s="7">
        <f t="shared" si="81"/>
        <v>-1.5843270868824533E-2</v>
      </c>
    </row>
    <row r="212" spans="1:26" s="27" customFormat="1" outlineLevel="1" collapsed="1" x14ac:dyDescent="0.25">
      <c r="A212" s="28"/>
      <c r="B212" s="14" t="str">
        <f>CONCATENATE("     ","Inventory Adjustment                              ")</f>
        <v xml:space="preserve">     Inventory Adjustment                              </v>
      </c>
      <c r="C212" s="14"/>
      <c r="D212" s="1">
        <f>SUM(OSRRefD22_14x_0)</f>
        <v>3350</v>
      </c>
      <c r="E212" s="1"/>
      <c r="F212" s="5">
        <f t="shared" si="74"/>
        <v>7.0244134011968546E-3</v>
      </c>
      <c r="G212" s="1"/>
      <c r="H212" s="1">
        <f>SUM(OSRRefH22_14x_0)</f>
        <v>4150</v>
      </c>
      <c r="I212" s="1"/>
      <c r="J212" s="5">
        <f t="shared" si="75"/>
        <v>2.7539774767644273E-3</v>
      </c>
      <c r="K212" s="1"/>
      <c r="L212" s="1">
        <f t="shared" si="76"/>
        <v>-800</v>
      </c>
      <c r="M212" s="1"/>
      <c r="N212" s="5">
        <f t="shared" si="77"/>
        <v>-0.19277108433734941</v>
      </c>
      <c r="O212" s="14"/>
      <c r="P212" s="1">
        <f>SUM(OSRRefP22_14x_0)</f>
        <v>3350</v>
      </c>
      <c r="Q212" s="1"/>
      <c r="R212" s="5">
        <f t="shared" si="78"/>
        <v>7.0244134011968546E-3</v>
      </c>
      <c r="S212" s="1"/>
      <c r="T212" s="1">
        <f>SUM(OSRRefT22_14x_0)</f>
        <v>4150</v>
      </c>
      <c r="U212" s="1"/>
      <c r="V212" s="5">
        <f t="shared" si="79"/>
        <v>2.7539774767644273E-3</v>
      </c>
      <c r="W212" s="1"/>
      <c r="X212" s="1">
        <f t="shared" si="80"/>
        <v>-800</v>
      </c>
      <c r="Y212" s="1"/>
      <c r="Z212" s="5">
        <f t="shared" si="81"/>
        <v>-0.19277108433734941</v>
      </c>
    </row>
    <row r="213" spans="1:26" s="24" customFormat="1" hidden="1" outlineLevel="2" x14ac:dyDescent="0.25">
      <c r="A213" s="29"/>
      <c r="B213" s="11" t="str">
        <f>CONCATENATE("          ", "6408", " - ", "INVENTORY ADJUSTMENT")</f>
        <v xml:space="preserve">          6408 - INVENTORY ADJUSTMENT</v>
      </c>
      <c r="C213" s="11"/>
      <c r="D213" s="8">
        <v>3350</v>
      </c>
      <c r="E213" s="3"/>
      <c r="F213" s="7">
        <f t="shared" si="74"/>
        <v>7.0244134011968546E-3</v>
      </c>
      <c r="G213" s="3"/>
      <c r="H213" s="8">
        <v>4150</v>
      </c>
      <c r="I213" s="3"/>
      <c r="J213" s="7">
        <f t="shared" si="75"/>
        <v>2.7539774767644273E-3</v>
      </c>
      <c r="K213" s="3"/>
      <c r="L213" s="8">
        <f t="shared" si="76"/>
        <v>-800</v>
      </c>
      <c r="M213" s="3"/>
      <c r="N213" s="7">
        <f t="shared" si="77"/>
        <v>-0.19277108433734941</v>
      </c>
      <c r="O213" s="11"/>
      <c r="P213" s="8">
        <v>3350</v>
      </c>
      <c r="Q213" s="3"/>
      <c r="R213" s="7">
        <f t="shared" si="78"/>
        <v>7.0244134011968546E-3</v>
      </c>
      <c r="S213" s="3"/>
      <c r="T213" s="8">
        <v>4150</v>
      </c>
      <c r="U213" s="3"/>
      <c r="V213" s="7">
        <f t="shared" si="79"/>
        <v>2.7539774767644273E-3</v>
      </c>
      <c r="W213" s="3"/>
      <c r="X213" s="8">
        <f t="shared" si="80"/>
        <v>-800</v>
      </c>
      <c r="Y213" s="3"/>
      <c r="Z213" s="7">
        <f t="shared" si="81"/>
        <v>-0.19277108433734941</v>
      </c>
    </row>
    <row r="214" spans="1:26" s="27" customFormat="1" outlineLevel="1" collapsed="1" x14ac:dyDescent="0.25">
      <c r="A214" s="28"/>
      <c r="B214" s="14" t="str">
        <f>CONCATENATE("     ","Professional Services                             ")</f>
        <v xml:space="preserve">     Professional Services                             </v>
      </c>
      <c r="C214" s="14"/>
      <c r="D214" s="1">
        <f>SUM(OSRRefD22_15x_0)</f>
        <v>0</v>
      </c>
      <c r="E214" s="1"/>
      <c r="F214" s="5">
        <f t="shared" si="74"/>
        <v>0</v>
      </c>
      <c r="G214" s="1"/>
      <c r="H214" s="1">
        <f>SUM(OSRRefH22_15x_0)</f>
        <v>6158.41</v>
      </c>
      <c r="I214" s="1"/>
      <c r="J214" s="5">
        <f t="shared" si="75"/>
        <v>4.0867764898026059E-3</v>
      </c>
      <c r="K214" s="1"/>
      <c r="L214" s="1">
        <f t="shared" si="76"/>
        <v>-6158.41</v>
      </c>
      <c r="M214" s="1"/>
      <c r="N214" s="5">
        <f t="shared" si="77"/>
        <v>-1</v>
      </c>
      <c r="O214" s="14"/>
      <c r="P214" s="1">
        <f>SUM(OSRRefP22_15x_0)</f>
        <v>0</v>
      </c>
      <c r="Q214" s="1"/>
      <c r="R214" s="5">
        <f t="shared" si="78"/>
        <v>0</v>
      </c>
      <c r="S214" s="1"/>
      <c r="T214" s="1">
        <f>SUM(OSRRefT22_15x_0)</f>
        <v>6158.41</v>
      </c>
      <c r="U214" s="1"/>
      <c r="V214" s="5">
        <f t="shared" si="79"/>
        <v>4.0867764898026059E-3</v>
      </c>
      <c r="W214" s="1"/>
      <c r="X214" s="1">
        <f t="shared" si="80"/>
        <v>-6158.41</v>
      </c>
      <c r="Y214" s="1"/>
      <c r="Z214" s="5">
        <f t="shared" si="81"/>
        <v>-1</v>
      </c>
    </row>
    <row r="215" spans="1:26" s="24" customFormat="1" hidden="1" outlineLevel="2" x14ac:dyDescent="0.25">
      <c r="A215" s="29"/>
      <c r="B215" s="11" t="str">
        <f>CONCATENATE("          ", "6336", " - ", "PROFESSIONAL SERVICES")</f>
        <v xml:space="preserve">          6336 - PROFESSIONAL SERVICES</v>
      </c>
      <c r="C215" s="11"/>
      <c r="D215" s="8"/>
      <c r="E215" s="3"/>
      <c r="F215" s="7">
        <f t="shared" si="74"/>
        <v>0</v>
      </c>
      <c r="G215" s="3"/>
      <c r="H215" s="8">
        <v>6158.41</v>
      </c>
      <c r="I215" s="3"/>
      <c r="J215" s="7">
        <f t="shared" si="75"/>
        <v>4.0867764898026059E-3</v>
      </c>
      <c r="K215" s="3"/>
      <c r="L215" s="8">
        <f t="shared" si="76"/>
        <v>-6158.41</v>
      </c>
      <c r="M215" s="3"/>
      <c r="N215" s="7">
        <f t="shared" si="77"/>
        <v>-1</v>
      </c>
      <c r="O215" s="11"/>
      <c r="P215" s="8"/>
      <c r="Q215" s="3"/>
      <c r="R215" s="7">
        <f t="shared" si="78"/>
        <v>0</v>
      </c>
      <c r="S215" s="3"/>
      <c r="T215" s="8">
        <v>6158.41</v>
      </c>
      <c r="U215" s="3"/>
      <c r="V215" s="7">
        <f t="shared" si="79"/>
        <v>4.0867764898026059E-3</v>
      </c>
      <c r="W215" s="3"/>
      <c r="X215" s="8">
        <f t="shared" si="80"/>
        <v>-6158.41</v>
      </c>
      <c r="Y215" s="3"/>
      <c r="Z215" s="7">
        <f t="shared" si="81"/>
        <v>-1</v>
      </c>
    </row>
    <row r="216" spans="1:26" s="27" customFormat="1" outlineLevel="1" collapsed="1" x14ac:dyDescent="0.25">
      <c r="A216" s="28"/>
      <c r="B216" s="14" t="str">
        <f>CONCATENATE("     ","R/H Commissions                                   ")</f>
        <v xml:space="preserve">     R/H Commissions                                   </v>
      </c>
      <c r="C216" s="14"/>
      <c r="D216" s="1">
        <f>SUM(OSRRefD22_16x_0)</f>
        <v>1151.68</v>
      </c>
      <c r="E216" s="1"/>
      <c r="F216" s="5">
        <f t="shared" si="74"/>
        <v>2.4148884853404163E-3</v>
      </c>
      <c r="G216" s="1"/>
      <c r="H216" s="1">
        <f>SUM(OSRRefH22_16x_0)</f>
        <v>39712.65</v>
      </c>
      <c r="I216" s="1"/>
      <c r="J216" s="5">
        <f t="shared" si="75"/>
        <v>2.6353673166898513E-2</v>
      </c>
      <c r="K216" s="1"/>
      <c r="L216" s="1">
        <f t="shared" si="76"/>
        <v>-38560.97</v>
      </c>
      <c r="M216" s="1"/>
      <c r="N216" s="5">
        <f t="shared" si="77"/>
        <v>-0.97099966887125388</v>
      </c>
      <c r="O216" s="14"/>
      <c r="P216" s="1">
        <f>SUM(OSRRefP22_16x_0)</f>
        <v>1151.68</v>
      </c>
      <c r="Q216" s="1"/>
      <c r="R216" s="5">
        <f t="shared" si="78"/>
        <v>2.4148884853404163E-3</v>
      </c>
      <c r="S216" s="1"/>
      <c r="T216" s="1">
        <f>SUM(OSRRefT22_16x_0)</f>
        <v>39712.65</v>
      </c>
      <c r="U216" s="1"/>
      <c r="V216" s="5">
        <f t="shared" si="79"/>
        <v>2.6353673166898513E-2</v>
      </c>
      <c r="W216" s="1"/>
      <c r="X216" s="1">
        <f t="shared" si="80"/>
        <v>-38560.97</v>
      </c>
      <c r="Y216" s="1"/>
      <c r="Z216" s="5">
        <f t="shared" si="81"/>
        <v>-0.97099966887125388</v>
      </c>
    </row>
    <row r="217" spans="1:26" s="24" customFormat="1" hidden="1" outlineLevel="2" x14ac:dyDescent="0.25">
      <c r="A217" s="29"/>
      <c r="B217" s="11" t="str">
        <f>CONCATENATE("          ", "6387", " - ", "COMMISSION DUE HOUSING")</f>
        <v xml:space="preserve">          6387 - COMMISSION DUE HOUSING</v>
      </c>
      <c r="C217" s="11"/>
      <c r="D217" s="8">
        <v>1151.68</v>
      </c>
      <c r="E217" s="3"/>
      <c r="F217" s="7">
        <f t="shared" si="74"/>
        <v>2.4148884853404163E-3</v>
      </c>
      <c r="G217" s="3"/>
      <c r="H217" s="8">
        <v>39712.65</v>
      </c>
      <c r="I217" s="3"/>
      <c r="J217" s="7">
        <f t="shared" si="75"/>
        <v>2.6353673166898513E-2</v>
      </c>
      <c r="K217" s="3"/>
      <c r="L217" s="8">
        <f t="shared" si="76"/>
        <v>-38560.97</v>
      </c>
      <c r="M217" s="3"/>
      <c r="N217" s="7">
        <f t="shared" si="77"/>
        <v>-0.97099966887125388</v>
      </c>
      <c r="O217" s="11"/>
      <c r="P217" s="8">
        <v>1151.68</v>
      </c>
      <c r="Q217" s="3"/>
      <c r="R217" s="7">
        <f t="shared" si="78"/>
        <v>2.4148884853404163E-3</v>
      </c>
      <c r="S217" s="3"/>
      <c r="T217" s="8">
        <v>39712.65</v>
      </c>
      <c r="U217" s="3"/>
      <c r="V217" s="7">
        <f t="shared" si="79"/>
        <v>2.6353673166898513E-2</v>
      </c>
      <c r="W217" s="3"/>
      <c r="X217" s="8">
        <f t="shared" si="80"/>
        <v>-38560.97</v>
      </c>
      <c r="Y217" s="3"/>
      <c r="Z217" s="7">
        <f t="shared" si="81"/>
        <v>-0.97099966887125388</v>
      </c>
    </row>
    <row r="218" spans="1:26" s="27" customFormat="1" outlineLevel="1" collapsed="1" x14ac:dyDescent="0.25">
      <c r="A218" s="28"/>
      <c r="B218" s="14" t="str">
        <f>CONCATENATE("     ","Rent                                              ")</f>
        <v xml:space="preserve">     Rent                                              </v>
      </c>
      <c r="C218" s="14"/>
      <c r="D218" s="1">
        <f>SUM(OSRRefD22_17x_0)</f>
        <v>6900</v>
      </c>
      <c r="E218" s="1"/>
      <c r="F218" s="5">
        <f t="shared" si="74"/>
        <v>1.4468194766644267E-2</v>
      </c>
      <c r="G218" s="1"/>
      <c r="H218" s="1">
        <f>SUM(OSRRefH22_17x_0)</f>
        <v>9900</v>
      </c>
      <c r="I218" s="1"/>
      <c r="J218" s="5">
        <f t="shared" si="75"/>
        <v>6.5697294024018868E-3</v>
      </c>
      <c r="K218" s="1"/>
      <c r="L218" s="1">
        <f t="shared" si="76"/>
        <v>-3000</v>
      </c>
      <c r="M218" s="1"/>
      <c r="N218" s="5">
        <f t="shared" si="77"/>
        <v>-0.30303030303030304</v>
      </c>
      <c r="O218" s="14"/>
      <c r="P218" s="1">
        <f>SUM(OSRRefP22_17x_0)</f>
        <v>6900</v>
      </c>
      <c r="Q218" s="1"/>
      <c r="R218" s="5">
        <f t="shared" si="78"/>
        <v>1.4468194766644267E-2</v>
      </c>
      <c r="S218" s="1"/>
      <c r="T218" s="1">
        <f>SUM(OSRRefT22_17x_0)</f>
        <v>9900</v>
      </c>
      <c r="U218" s="1"/>
      <c r="V218" s="5">
        <f t="shared" si="79"/>
        <v>6.5697294024018868E-3</v>
      </c>
      <c r="W218" s="1"/>
      <c r="X218" s="1">
        <f t="shared" si="80"/>
        <v>-3000</v>
      </c>
      <c r="Y218" s="1"/>
      <c r="Z218" s="5">
        <f t="shared" si="81"/>
        <v>-0.30303030303030304</v>
      </c>
    </row>
    <row r="219" spans="1:26" s="24" customFormat="1" hidden="1" outlineLevel="2" x14ac:dyDescent="0.25">
      <c r="A219" s="29"/>
      <c r="B219" s="11" t="str">
        <f>CONCATENATE("          ", "6273", " - ", "RENT")</f>
        <v xml:space="preserve">          6273 - RENT</v>
      </c>
      <c r="C219" s="11"/>
      <c r="D219" s="8">
        <v>6900</v>
      </c>
      <c r="E219" s="3"/>
      <c r="F219" s="7">
        <f t="shared" si="74"/>
        <v>1.4468194766644267E-2</v>
      </c>
      <c r="G219" s="3"/>
      <c r="H219" s="8">
        <v>9900</v>
      </c>
      <c r="I219" s="3"/>
      <c r="J219" s="7">
        <f t="shared" si="75"/>
        <v>6.5697294024018868E-3</v>
      </c>
      <c r="K219" s="3"/>
      <c r="L219" s="8">
        <f t="shared" si="76"/>
        <v>-3000</v>
      </c>
      <c r="M219" s="3"/>
      <c r="N219" s="7">
        <f t="shared" si="77"/>
        <v>-0.30303030303030304</v>
      </c>
      <c r="O219" s="11"/>
      <c r="P219" s="8">
        <v>6900</v>
      </c>
      <c r="Q219" s="3"/>
      <c r="R219" s="7">
        <f t="shared" si="78"/>
        <v>1.4468194766644267E-2</v>
      </c>
      <c r="S219" s="3"/>
      <c r="T219" s="8">
        <v>9900</v>
      </c>
      <c r="U219" s="3"/>
      <c r="V219" s="7">
        <f t="shared" si="79"/>
        <v>6.5697294024018868E-3</v>
      </c>
      <c r="W219" s="3"/>
      <c r="X219" s="8">
        <f t="shared" si="80"/>
        <v>-3000</v>
      </c>
      <c r="Y219" s="3"/>
      <c r="Z219" s="7">
        <f t="shared" si="81"/>
        <v>-0.30303030303030304</v>
      </c>
    </row>
    <row r="220" spans="1:26" s="27" customFormat="1" outlineLevel="1" collapsed="1" x14ac:dyDescent="0.25">
      <c r="A220" s="28"/>
      <c r="B220" s="14" t="str">
        <f>CONCATENATE("     ","Repair and Maintenance                            ")</f>
        <v xml:space="preserve">     Repair and Maintenance                            </v>
      </c>
      <c r="C220" s="14"/>
      <c r="D220" s="1">
        <f>SUM(OSRRefD22_18x_0)</f>
        <v>70573.83</v>
      </c>
      <c r="E220" s="1"/>
      <c r="F220" s="5">
        <f t="shared" si="74"/>
        <v>0.14798201708232497</v>
      </c>
      <c r="G220" s="1"/>
      <c r="H220" s="1">
        <f>SUM(OSRRefH22_18x_0)</f>
        <v>50384.47</v>
      </c>
      <c r="I220" s="1"/>
      <c r="J220" s="5">
        <f t="shared" si="75"/>
        <v>3.3435589291256139E-2</v>
      </c>
      <c r="K220" s="1"/>
      <c r="L220" s="1">
        <f t="shared" si="76"/>
        <v>20189.36</v>
      </c>
      <c r="M220" s="1"/>
      <c r="N220" s="5">
        <f t="shared" si="77"/>
        <v>0.40070601119749794</v>
      </c>
      <c r="O220" s="14"/>
      <c r="P220" s="1">
        <f>SUM(OSRRefP22_18x_0)</f>
        <v>70573.83</v>
      </c>
      <c r="Q220" s="1"/>
      <c r="R220" s="5">
        <f t="shared" si="78"/>
        <v>0.14798201708232497</v>
      </c>
      <c r="S220" s="1"/>
      <c r="T220" s="1">
        <f>SUM(OSRRefT22_18x_0)</f>
        <v>50384.47</v>
      </c>
      <c r="U220" s="1"/>
      <c r="V220" s="5">
        <f t="shared" si="79"/>
        <v>3.3435589291256139E-2</v>
      </c>
      <c r="W220" s="1"/>
      <c r="X220" s="1">
        <f t="shared" si="80"/>
        <v>20189.36</v>
      </c>
      <c r="Y220" s="1"/>
      <c r="Z220" s="5">
        <f t="shared" si="81"/>
        <v>0.40070601119749794</v>
      </c>
    </row>
    <row r="221" spans="1:26" s="24" customFormat="1" hidden="1" outlineLevel="2" x14ac:dyDescent="0.25">
      <c r="A221" s="29"/>
      <c r="B221" s="11" t="str">
        <f>CONCATENATE("          ", "6371", " - ", "COMPUTER SOFTWARE MAINTENANCE")</f>
        <v xml:space="preserve">          6371 - COMPUTER SOFTWARE MAINTENANCE</v>
      </c>
      <c r="C221" s="11"/>
      <c r="D221" s="8">
        <v>58428.780000000006</v>
      </c>
      <c r="E221" s="3"/>
      <c r="F221" s="7">
        <f t="shared" si="74"/>
        <v>0.12251579261121875</v>
      </c>
      <c r="G221" s="3"/>
      <c r="H221" s="8">
        <v>601</v>
      </c>
      <c r="I221" s="3"/>
      <c r="J221" s="7">
        <f t="shared" si="75"/>
        <v>3.9882902735793272E-4</v>
      </c>
      <c r="K221" s="3"/>
      <c r="L221" s="8">
        <f t="shared" si="76"/>
        <v>57827.780000000006</v>
      </c>
      <c r="M221" s="3"/>
      <c r="N221" s="7">
        <f t="shared" si="77"/>
        <v>96.219267886855249</v>
      </c>
      <c r="O221" s="11"/>
      <c r="P221" s="8">
        <v>58428.780000000006</v>
      </c>
      <c r="Q221" s="3"/>
      <c r="R221" s="7">
        <f t="shared" si="78"/>
        <v>0.12251579261121875</v>
      </c>
      <c r="S221" s="3"/>
      <c r="T221" s="8">
        <v>601</v>
      </c>
      <c r="U221" s="3"/>
      <c r="V221" s="7">
        <f t="shared" si="79"/>
        <v>3.9882902735793272E-4</v>
      </c>
      <c r="W221" s="3"/>
      <c r="X221" s="8">
        <f t="shared" si="80"/>
        <v>57827.780000000006</v>
      </c>
      <c r="Y221" s="3"/>
      <c r="Z221" s="7">
        <f t="shared" si="81"/>
        <v>96.219267886855249</v>
      </c>
    </row>
    <row r="222" spans="1:26" s="24" customFormat="1" hidden="1" outlineLevel="2" x14ac:dyDescent="0.25">
      <c r="A222" s="29"/>
      <c r="B222" s="11" t="str">
        <f>CONCATENATE("          ", "6373", " - ", "MAINTENANCE CONTRACTS")</f>
        <v xml:space="preserve">          6373 - MAINTENANCE CONTRACTS</v>
      </c>
      <c r="C222" s="11"/>
      <c r="D222" s="8">
        <v>8771.25</v>
      </c>
      <c r="E222" s="3"/>
      <c r="F222" s="7">
        <f t="shared" si="74"/>
        <v>1.8391906282163556E-2</v>
      </c>
      <c r="G222" s="3"/>
      <c r="H222" s="8">
        <v>12516.56</v>
      </c>
      <c r="I222" s="3"/>
      <c r="J222" s="7">
        <f t="shared" si="75"/>
        <v>8.3061022473663992E-3</v>
      </c>
      <c r="K222" s="3"/>
      <c r="L222" s="8">
        <f t="shared" si="76"/>
        <v>-3745.3099999999995</v>
      </c>
      <c r="M222" s="3"/>
      <c r="N222" s="7">
        <f t="shared" si="77"/>
        <v>-0.29922838223920945</v>
      </c>
      <c r="O222" s="11"/>
      <c r="P222" s="8">
        <v>8771.25</v>
      </c>
      <c r="Q222" s="3"/>
      <c r="R222" s="7">
        <f t="shared" si="78"/>
        <v>1.8391906282163556E-2</v>
      </c>
      <c r="S222" s="3"/>
      <c r="T222" s="8">
        <v>12516.56</v>
      </c>
      <c r="U222" s="3"/>
      <c r="V222" s="7">
        <f t="shared" si="79"/>
        <v>8.3061022473663992E-3</v>
      </c>
      <c r="W222" s="3"/>
      <c r="X222" s="8">
        <f t="shared" si="80"/>
        <v>-3745.3099999999995</v>
      </c>
      <c r="Y222" s="3"/>
      <c r="Z222" s="7">
        <f t="shared" si="81"/>
        <v>-0.29922838223920945</v>
      </c>
    </row>
    <row r="223" spans="1:26" s="24" customFormat="1" hidden="1" outlineLevel="2" x14ac:dyDescent="0.25">
      <c r="A223" s="29"/>
      <c r="B223" s="11" t="str">
        <f>CONCATENATE("          ", "6375", " - ", "OUTSIDE REPAIRS &amp; MAINTENANCE")</f>
        <v xml:space="preserve">          6375 - OUTSIDE REPAIRS &amp; MAINTENANCE</v>
      </c>
      <c r="C223" s="11"/>
      <c r="D223" s="8">
        <v>3373.8</v>
      </c>
      <c r="E223" s="3"/>
      <c r="F223" s="7">
        <f t="shared" si="74"/>
        <v>7.0743181889426719E-3</v>
      </c>
      <c r="G223" s="3"/>
      <c r="H223" s="8">
        <v>37266.910000000003</v>
      </c>
      <c r="I223" s="3"/>
      <c r="J223" s="7">
        <f t="shared" si="75"/>
        <v>2.473065801653181E-2</v>
      </c>
      <c r="K223" s="3"/>
      <c r="L223" s="8">
        <f t="shared" si="76"/>
        <v>-33893.11</v>
      </c>
      <c r="M223" s="3"/>
      <c r="N223" s="7">
        <f t="shared" si="77"/>
        <v>-0.90946928521844173</v>
      </c>
      <c r="O223" s="11"/>
      <c r="P223" s="8">
        <v>3373.8</v>
      </c>
      <c r="Q223" s="3"/>
      <c r="R223" s="7">
        <f t="shared" si="78"/>
        <v>7.0743181889426719E-3</v>
      </c>
      <c r="S223" s="3"/>
      <c r="T223" s="8">
        <v>37266.910000000003</v>
      </c>
      <c r="U223" s="3"/>
      <c r="V223" s="7">
        <f t="shared" si="79"/>
        <v>2.473065801653181E-2</v>
      </c>
      <c r="W223" s="3"/>
      <c r="X223" s="8">
        <f t="shared" si="80"/>
        <v>-33893.11</v>
      </c>
      <c r="Y223" s="3"/>
      <c r="Z223" s="7">
        <f t="shared" si="81"/>
        <v>-0.90946928521844173</v>
      </c>
    </row>
    <row r="224" spans="1:26" s="27" customFormat="1" outlineLevel="1" collapsed="1" x14ac:dyDescent="0.25">
      <c r="A224" s="28"/>
      <c r="B224" s="14" t="str">
        <f>CONCATENATE("     ","Royalty &amp; Commissions                             ")</f>
        <v xml:space="preserve">     Royalty &amp; Commissions                             </v>
      </c>
      <c r="C224" s="14"/>
      <c r="D224" s="1">
        <f>SUM(OSRRefD22_19x_0)</f>
        <v>10989.75</v>
      </c>
      <c r="E224" s="1"/>
      <c r="F224" s="5">
        <f t="shared" ref="F224:F227" si="82">IF(D$12=0,0,D224/D$12)</f>
        <v>2.3043745425612876E-2</v>
      </c>
      <c r="G224" s="1"/>
      <c r="H224" s="1">
        <f>SUM(OSRRefH22_19x_0)</f>
        <v>21944.15</v>
      </c>
      <c r="I224" s="1"/>
      <c r="J224" s="5">
        <f t="shared" ref="J224:J227" si="83">IF(H$12=0,0,H224/H$12)</f>
        <v>1.4562336107648219E-2</v>
      </c>
      <c r="K224" s="1"/>
      <c r="L224" s="1">
        <f t="shared" ref="L224:L227" si="84">+D224-H224</f>
        <v>-10954.400000000001</v>
      </c>
      <c r="M224" s="1"/>
      <c r="N224" s="5">
        <f t="shared" ref="N224:N227" si="85">IF(H224=0,0,L224/H224)</f>
        <v>-0.49919454615466996</v>
      </c>
      <c r="O224" s="14"/>
      <c r="P224" s="1">
        <f>SUM(OSRRefP22_19x_0)</f>
        <v>10989.75</v>
      </c>
      <c r="Q224" s="1"/>
      <c r="R224" s="5">
        <f t="shared" ref="R224:R227" si="86">IF(P$12=0,0,P224/P$12)</f>
        <v>2.3043745425612876E-2</v>
      </c>
      <c r="S224" s="1"/>
      <c r="T224" s="1">
        <f>SUM(OSRRefT22_19x_0)</f>
        <v>21944.15</v>
      </c>
      <c r="U224" s="1"/>
      <c r="V224" s="5">
        <f t="shared" ref="V224:V227" si="87">IF(T$12=0,0,T224/T$12)</f>
        <v>1.4562336107648219E-2</v>
      </c>
      <c r="W224" s="1"/>
      <c r="X224" s="1">
        <f t="shared" ref="X224:X227" si="88">+P224-T224</f>
        <v>-10954.400000000001</v>
      </c>
      <c r="Y224" s="1"/>
      <c r="Z224" s="5">
        <f t="shared" ref="Z224:Z227" si="89">IF(T224=0,0,X224/T224)</f>
        <v>-0.49919454615466996</v>
      </c>
    </row>
    <row r="225" spans="1:26" s="24" customFormat="1" hidden="1" outlineLevel="2" x14ac:dyDescent="0.25">
      <c r="A225" s="29"/>
      <c r="B225" s="11" t="str">
        <f>CONCATENATE("          ", "6253", " - ", "ROYALTY DUE ATHLETICS-LRG")</f>
        <v xml:space="preserve">          6253 - ROYALTY DUE ATHLETICS-LRG</v>
      </c>
      <c r="C225" s="11"/>
      <c r="D225" s="8">
        <v>5672.2</v>
      </c>
      <c r="E225" s="3"/>
      <c r="F225" s="7">
        <f t="shared" si="82"/>
        <v>1.189369483411009E-2</v>
      </c>
      <c r="G225" s="3"/>
      <c r="H225" s="8">
        <v>4366.95</v>
      </c>
      <c r="I225" s="3"/>
      <c r="J225" s="7">
        <f t="shared" si="83"/>
        <v>2.8979474559413048E-3</v>
      </c>
      <c r="K225" s="3"/>
      <c r="L225" s="8">
        <f t="shared" si="84"/>
        <v>1305.25</v>
      </c>
      <c r="M225" s="3"/>
      <c r="N225" s="7">
        <f t="shared" si="85"/>
        <v>0.29889281993153116</v>
      </c>
      <c r="O225" s="11"/>
      <c r="P225" s="8">
        <v>5672.2</v>
      </c>
      <c r="Q225" s="3"/>
      <c r="R225" s="7">
        <f t="shared" si="86"/>
        <v>1.189369483411009E-2</v>
      </c>
      <c r="S225" s="3"/>
      <c r="T225" s="8">
        <v>4366.95</v>
      </c>
      <c r="U225" s="3"/>
      <c r="V225" s="7">
        <f t="shared" si="87"/>
        <v>2.8979474559413048E-3</v>
      </c>
      <c r="W225" s="3"/>
      <c r="X225" s="8">
        <f t="shared" si="88"/>
        <v>1305.25</v>
      </c>
      <c r="Y225" s="3"/>
      <c r="Z225" s="7">
        <f t="shared" si="89"/>
        <v>0.29889281993153116</v>
      </c>
    </row>
    <row r="226" spans="1:26" s="24" customFormat="1" hidden="1" outlineLevel="2" x14ac:dyDescent="0.25">
      <c r="A226" s="29"/>
      <c r="B226" s="11" t="str">
        <f>CONCATENATE("          ", "6254", " - ", "ROYALTY &amp; COMMISSIONS")</f>
        <v xml:space="preserve">          6254 - ROYALTY &amp; COMMISSIONS</v>
      </c>
      <c r="C226" s="11"/>
      <c r="D226" s="8"/>
      <c r="E226" s="3"/>
      <c r="F226" s="7">
        <f t="shared" si="82"/>
        <v>0</v>
      </c>
      <c r="G226" s="3"/>
      <c r="H226" s="8">
        <v>14086.75</v>
      </c>
      <c r="I226" s="3"/>
      <c r="J226" s="7">
        <f t="shared" si="83"/>
        <v>9.348094511038867E-3</v>
      </c>
      <c r="K226" s="3"/>
      <c r="L226" s="8">
        <f t="shared" si="84"/>
        <v>-14086.75</v>
      </c>
      <c r="M226" s="3"/>
      <c r="N226" s="7">
        <f t="shared" si="85"/>
        <v>-1</v>
      </c>
      <c r="O226" s="11"/>
      <c r="P226" s="8"/>
      <c r="Q226" s="3"/>
      <c r="R226" s="7">
        <f t="shared" si="86"/>
        <v>0</v>
      </c>
      <c r="S226" s="3"/>
      <c r="T226" s="8">
        <v>14086.75</v>
      </c>
      <c r="U226" s="3"/>
      <c r="V226" s="7">
        <f t="shared" si="87"/>
        <v>9.348094511038867E-3</v>
      </c>
      <c r="W226" s="3"/>
      <c r="X226" s="8">
        <f t="shared" si="88"/>
        <v>-14086.75</v>
      </c>
      <c r="Y226" s="3"/>
      <c r="Z226" s="7">
        <f t="shared" si="89"/>
        <v>-1</v>
      </c>
    </row>
    <row r="227" spans="1:26" s="24" customFormat="1" hidden="1" outlineLevel="2" x14ac:dyDescent="0.25">
      <c r="A227" s="29"/>
      <c r="B227" s="11" t="str">
        <f>CONCATENATE("          ", "6259", " - ", "ROYALTY &amp; COMMISSIONS")</f>
        <v xml:space="preserve">          6259 - ROYALTY &amp; COMMISSIONS</v>
      </c>
      <c r="C227" s="11"/>
      <c r="D227" s="8">
        <v>5317.55</v>
      </c>
      <c r="E227" s="3"/>
      <c r="F227" s="7">
        <f t="shared" si="82"/>
        <v>1.1150050591502788E-2</v>
      </c>
      <c r="G227" s="3"/>
      <c r="H227" s="8">
        <v>3490.45</v>
      </c>
      <c r="I227" s="3"/>
      <c r="J227" s="7">
        <f t="shared" si="83"/>
        <v>2.3162941406680466E-3</v>
      </c>
      <c r="K227" s="3"/>
      <c r="L227" s="8">
        <f t="shared" si="84"/>
        <v>1827.1000000000004</v>
      </c>
      <c r="M227" s="3"/>
      <c r="N227" s="7">
        <f t="shared" si="85"/>
        <v>0.52345686086321264</v>
      </c>
      <c r="O227" s="11"/>
      <c r="P227" s="8">
        <v>5317.55</v>
      </c>
      <c r="Q227" s="3"/>
      <c r="R227" s="7">
        <f t="shared" si="86"/>
        <v>1.1150050591502788E-2</v>
      </c>
      <c r="S227" s="3"/>
      <c r="T227" s="8">
        <v>3490.45</v>
      </c>
      <c r="U227" s="3"/>
      <c r="V227" s="7">
        <f t="shared" si="87"/>
        <v>2.3162941406680466E-3</v>
      </c>
      <c r="W227" s="3"/>
      <c r="X227" s="8">
        <f t="shared" si="88"/>
        <v>1827.1000000000004</v>
      </c>
      <c r="Y227" s="3"/>
      <c r="Z227" s="7">
        <f t="shared" si="89"/>
        <v>0.52345686086321264</v>
      </c>
    </row>
    <row r="228" spans="1:26" s="27" customFormat="1" outlineLevel="1" collapsed="1" x14ac:dyDescent="0.25">
      <c r="A228" s="28"/>
      <c r="B228" s="14" t="str">
        <f>CONCATENATE("     ","Services                                          ")</f>
        <v xml:space="preserve">     Services                                          </v>
      </c>
      <c r="C228" s="14"/>
      <c r="D228" s="1">
        <f>SUM(OSRRefD22_20x_0)</f>
        <v>15839.01</v>
      </c>
      <c r="E228" s="1"/>
      <c r="F228" s="5">
        <f t="shared" ref="F228:F233" si="90">IF(D$12=0,0,D228/D$12)</f>
        <v>3.3211866897221193E-2</v>
      </c>
      <c r="G228" s="1"/>
      <c r="H228" s="1">
        <f>SUM(OSRRefH22_20x_0)</f>
        <v>47318.460000000006</v>
      </c>
      <c r="I228" s="1"/>
      <c r="J228" s="5">
        <f t="shared" ref="J228:J233" si="91">IF(H$12=0,0,H228/H$12)</f>
        <v>3.1400957367512888E-2</v>
      </c>
      <c r="K228" s="1"/>
      <c r="L228" s="1">
        <f t="shared" ref="L228:L233" si="92">+D228-H228</f>
        <v>-31479.450000000004</v>
      </c>
      <c r="M228" s="1"/>
      <c r="N228" s="5">
        <f t="shared" ref="N228:N233" si="93">IF(H228=0,0,L228/H228)</f>
        <v>-0.66526784684032403</v>
      </c>
      <c r="O228" s="14"/>
      <c r="P228" s="1">
        <f>SUM(OSRRefP22_20x_0)</f>
        <v>15839.01</v>
      </c>
      <c r="Q228" s="1"/>
      <c r="R228" s="5">
        <f t="shared" ref="R228:R233" si="94">IF(P$12=0,0,P228/P$12)</f>
        <v>3.3211866897221193E-2</v>
      </c>
      <c r="S228" s="1"/>
      <c r="T228" s="1">
        <f>SUM(OSRRefT22_20x_0)</f>
        <v>47318.460000000006</v>
      </c>
      <c r="U228" s="1"/>
      <c r="V228" s="5">
        <f t="shared" ref="V228:V233" si="95">IF(T$12=0,0,T228/T$12)</f>
        <v>3.1400957367512888E-2</v>
      </c>
      <c r="W228" s="1"/>
      <c r="X228" s="1">
        <f t="shared" ref="X228:X233" si="96">+P228-T228</f>
        <v>-31479.450000000004</v>
      </c>
      <c r="Y228" s="1"/>
      <c r="Z228" s="5">
        <f t="shared" ref="Z228:Z233" si="97">IF(T228=0,0,X228/T228)</f>
        <v>-0.66526784684032403</v>
      </c>
    </row>
    <row r="229" spans="1:26" s="24" customFormat="1" hidden="1" outlineLevel="2" x14ac:dyDescent="0.25">
      <c r="A229" s="29"/>
      <c r="B229" s="11" t="str">
        <f>CONCATENATE("          ", "6282", " - ", "JANITORIAL/EXTERMINATOR EXPENS")</f>
        <v xml:space="preserve">          6282 - JANITORIAL/EXTERMINATOR EXPENS</v>
      </c>
      <c r="C229" s="11"/>
      <c r="D229" s="8">
        <v>1644.8</v>
      </c>
      <c r="E229" s="3"/>
      <c r="F229" s="7">
        <f t="shared" si="90"/>
        <v>3.4488821379965928E-3</v>
      </c>
      <c r="G229" s="3"/>
      <c r="H229" s="8">
        <v>3654.46</v>
      </c>
      <c r="I229" s="3"/>
      <c r="J229" s="7">
        <f t="shared" si="91"/>
        <v>2.4251326577678384E-3</v>
      </c>
      <c r="K229" s="3"/>
      <c r="L229" s="8">
        <f t="shared" si="92"/>
        <v>-2009.66</v>
      </c>
      <c r="M229" s="3"/>
      <c r="N229" s="7">
        <f t="shared" si="93"/>
        <v>-0.54991982399588446</v>
      </c>
      <c r="O229" s="11"/>
      <c r="P229" s="8">
        <v>1644.8</v>
      </c>
      <c r="Q229" s="3"/>
      <c r="R229" s="7">
        <f t="shared" si="94"/>
        <v>3.4488821379965928E-3</v>
      </c>
      <c r="S229" s="3"/>
      <c r="T229" s="8">
        <v>3654.46</v>
      </c>
      <c r="U229" s="3"/>
      <c r="V229" s="7">
        <f t="shared" si="95"/>
        <v>2.4251326577678384E-3</v>
      </c>
      <c r="W229" s="3"/>
      <c r="X229" s="8">
        <f t="shared" si="96"/>
        <v>-2009.66</v>
      </c>
      <c r="Y229" s="3"/>
      <c r="Z229" s="7">
        <f t="shared" si="97"/>
        <v>-0.54991982399588446</v>
      </c>
    </row>
    <row r="230" spans="1:26" s="24" customFormat="1" hidden="1" outlineLevel="2" x14ac:dyDescent="0.25">
      <c r="A230" s="29"/>
      <c r="B230" s="11" t="str">
        <f>CONCATENATE("          ", "6283", " - ", "PLANT SERVICE")</f>
        <v xml:space="preserve">          6283 - PLANT SERVICE</v>
      </c>
      <c r="C230" s="11"/>
      <c r="D230" s="8">
        <v>130</v>
      </c>
      <c r="E230" s="3"/>
      <c r="F230" s="7">
        <f t="shared" si="90"/>
        <v>2.7258917676286303E-4</v>
      </c>
      <c r="G230" s="3"/>
      <c r="H230" s="8">
        <v>380.44</v>
      </c>
      <c r="I230" s="3"/>
      <c r="J230" s="7">
        <f t="shared" si="91"/>
        <v>2.5246341958078523E-4</v>
      </c>
      <c r="K230" s="3"/>
      <c r="L230" s="8">
        <f t="shared" si="92"/>
        <v>-250.44</v>
      </c>
      <c r="M230" s="3"/>
      <c r="N230" s="7">
        <f t="shared" si="93"/>
        <v>-0.65829040058879196</v>
      </c>
      <c r="O230" s="11"/>
      <c r="P230" s="8">
        <v>130</v>
      </c>
      <c r="Q230" s="3"/>
      <c r="R230" s="7">
        <f t="shared" si="94"/>
        <v>2.7258917676286303E-4</v>
      </c>
      <c r="S230" s="3"/>
      <c r="T230" s="8">
        <v>380.44</v>
      </c>
      <c r="U230" s="3"/>
      <c r="V230" s="7">
        <f t="shared" si="95"/>
        <v>2.5246341958078523E-4</v>
      </c>
      <c r="W230" s="3"/>
      <c r="X230" s="8">
        <f t="shared" si="96"/>
        <v>-250.44</v>
      </c>
      <c r="Y230" s="3"/>
      <c r="Z230" s="7">
        <f t="shared" si="97"/>
        <v>-0.65829040058879196</v>
      </c>
    </row>
    <row r="231" spans="1:26" s="24" customFormat="1" hidden="1" outlineLevel="2" x14ac:dyDescent="0.25">
      <c r="A231" s="29"/>
      <c r="B231" s="11" t="str">
        <f>CONCATENATE("          ", "6284", " - ", "TRASH REMOVAL EXPENSE")</f>
        <v xml:space="preserve">          6284 - TRASH REMOVAL EXPENSE</v>
      </c>
      <c r="C231" s="11"/>
      <c r="D231" s="8">
        <v>1142.57</v>
      </c>
      <c r="E231" s="3"/>
      <c r="F231" s="7">
        <f t="shared" si="90"/>
        <v>2.395786274568803E-3</v>
      </c>
      <c r="G231" s="3"/>
      <c r="H231" s="8">
        <v>4570.82</v>
      </c>
      <c r="I231" s="3"/>
      <c r="J231" s="7">
        <f t="shared" si="91"/>
        <v>3.0332374289986455E-3</v>
      </c>
      <c r="K231" s="3"/>
      <c r="L231" s="8">
        <f t="shared" si="92"/>
        <v>-3428.25</v>
      </c>
      <c r="M231" s="3"/>
      <c r="N231" s="7">
        <f t="shared" si="93"/>
        <v>-0.7500295351818711</v>
      </c>
      <c r="O231" s="11"/>
      <c r="P231" s="8">
        <v>1142.57</v>
      </c>
      <c r="Q231" s="3"/>
      <c r="R231" s="7">
        <f t="shared" si="94"/>
        <v>2.395786274568803E-3</v>
      </c>
      <c r="S231" s="3"/>
      <c r="T231" s="8">
        <v>4570.82</v>
      </c>
      <c r="U231" s="3"/>
      <c r="V231" s="7">
        <f t="shared" si="95"/>
        <v>3.0332374289986455E-3</v>
      </c>
      <c r="W231" s="3"/>
      <c r="X231" s="8">
        <f t="shared" si="96"/>
        <v>-3428.25</v>
      </c>
      <c r="Y231" s="3"/>
      <c r="Z231" s="7">
        <f t="shared" si="97"/>
        <v>-0.7500295351818711</v>
      </c>
    </row>
    <row r="232" spans="1:26" s="24" customFormat="1" hidden="1" outlineLevel="2" x14ac:dyDescent="0.25">
      <c r="A232" s="29"/>
      <c r="B232" s="11" t="str">
        <f>CONCATENATE("          ", "6285", " - ", "JANITORIAL SERVICES")</f>
        <v xml:space="preserve">          6285 - JANITORIAL SERVICES</v>
      </c>
      <c r="C232" s="11"/>
      <c r="D232" s="8">
        <v>10984.17</v>
      </c>
      <c r="E232" s="3"/>
      <c r="F232" s="7">
        <f t="shared" si="90"/>
        <v>2.3032045059410287E-2</v>
      </c>
      <c r="G232" s="3"/>
      <c r="H232" s="8">
        <v>29975.190000000002</v>
      </c>
      <c r="I232" s="3"/>
      <c r="J232" s="7">
        <f t="shared" si="91"/>
        <v>1.9891806776321519E-2</v>
      </c>
      <c r="K232" s="3"/>
      <c r="L232" s="8">
        <f t="shared" si="92"/>
        <v>-18991.020000000004</v>
      </c>
      <c r="M232" s="3"/>
      <c r="N232" s="7">
        <f t="shared" si="93"/>
        <v>-0.63355795242665691</v>
      </c>
      <c r="O232" s="11"/>
      <c r="P232" s="8">
        <v>10984.17</v>
      </c>
      <c r="Q232" s="3"/>
      <c r="R232" s="7">
        <f t="shared" si="94"/>
        <v>2.3032045059410287E-2</v>
      </c>
      <c r="S232" s="3"/>
      <c r="T232" s="8">
        <v>29975.190000000002</v>
      </c>
      <c r="U232" s="3"/>
      <c r="V232" s="7">
        <f t="shared" si="95"/>
        <v>1.9891806776321519E-2</v>
      </c>
      <c r="W232" s="3"/>
      <c r="X232" s="8">
        <f t="shared" si="96"/>
        <v>-18991.020000000004</v>
      </c>
      <c r="Y232" s="3"/>
      <c r="Z232" s="7">
        <f t="shared" si="97"/>
        <v>-0.63355795242665691</v>
      </c>
    </row>
    <row r="233" spans="1:26" s="24" customFormat="1" hidden="1" outlineLevel="2" x14ac:dyDescent="0.25">
      <c r="A233" s="29"/>
      <c r="B233" s="11" t="str">
        <f>CONCATENATE("          ", "6286", " - ", "LAUNDRY EXPENSE")</f>
        <v xml:space="preserve">          6286 - LAUNDRY EXPENSE</v>
      </c>
      <c r="C233" s="11"/>
      <c r="D233" s="8">
        <v>1937.47</v>
      </c>
      <c r="E233" s="3"/>
      <c r="F233" s="7">
        <f t="shared" si="90"/>
        <v>4.0625642484826479E-3</v>
      </c>
      <c r="G233" s="3"/>
      <c r="H233" s="8">
        <v>8737.5499999999993</v>
      </c>
      <c r="I233" s="3"/>
      <c r="J233" s="7">
        <f t="shared" si="91"/>
        <v>5.7983170848441012E-3</v>
      </c>
      <c r="K233" s="3"/>
      <c r="L233" s="8">
        <f t="shared" si="92"/>
        <v>-6800.079999999999</v>
      </c>
      <c r="M233" s="3"/>
      <c r="N233" s="7">
        <f t="shared" si="93"/>
        <v>-0.7782593518778147</v>
      </c>
      <c r="O233" s="11"/>
      <c r="P233" s="8">
        <v>1937.47</v>
      </c>
      <c r="Q233" s="3"/>
      <c r="R233" s="7">
        <f t="shared" si="94"/>
        <v>4.0625642484826479E-3</v>
      </c>
      <c r="S233" s="3"/>
      <c r="T233" s="8">
        <v>8737.5499999999993</v>
      </c>
      <c r="U233" s="3"/>
      <c r="V233" s="7">
        <f t="shared" si="95"/>
        <v>5.7983170848441012E-3</v>
      </c>
      <c r="W233" s="3"/>
      <c r="X233" s="8">
        <f t="shared" si="96"/>
        <v>-6800.079999999999</v>
      </c>
      <c r="Y233" s="3"/>
      <c r="Z233" s="7">
        <f t="shared" si="97"/>
        <v>-0.7782593518778147</v>
      </c>
    </row>
    <row r="234" spans="1:26" s="27" customFormat="1" outlineLevel="1" collapsed="1" x14ac:dyDescent="0.25">
      <c r="A234" s="28"/>
      <c r="B234" s="14" t="str">
        <f>CONCATENATE("     ","Subscriptions &amp; Dues                              ")</f>
        <v xml:space="preserve">     Subscriptions &amp; Dues                              </v>
      </c>
      <c r="C234" s="14"/>
      <c r="D234" s="1">
        <f>SUM(OSRRefD22_21x_0)</f>
        <v>374.32</v>
      </c>
      <c r="E234" s="1"/>
      <c r="F234" s="5">
        <f t="shared" ref="F234:F236" si="98">IF(D$12=0,0,D234/D$12)</f>
        <v>7.8488908189134525E-4</v>
      </c>
      <c r="G234" s="1"/>
      <c r="H234" s="1">
        <f>SUM(OSRRefH22_21x_0)</f>
        <v>1032.0700000000002</v>
      </c>
      <c r="I234" s="1"/>
      <c r="J234" s="5">
        <f t="shared" ref="J234:J236" si="99">IF(H$12=0,0,H234/H$12)</f>
        <v>6.8489097215524407E-4</v>
      </c>
      <c r="K234" s="1"/>
      <c r="L234" s="1">
        <f t="shared" ref="L234:L236" si="100">+D234-H234</f>
        <v>-657.75000000000023</v>
      </c>
      <c r="M234" s="1"/>
      <c r="N234" s="5">
        <f t="shared" ref="N234:N236" si="101">IF(H234=0,0,L234/H234)</f>
        <v>-0.63731142267481866</v>
      </c>
      <c r="O234" s="14"/>
      <c r="P234" s="1">
        <f>SUM(OSRRefP22_21x_0)</f>
        <v>374.32</v>
      </c>
      <c r="Q234" s="1"/>
      <c r="R234" s="5">
        <f t="shared" ref="R234:R236" si="102">IF(P$12=0,0,P234/P$12)</f>
        <v>7.8488908189134525E-4</v>
      </c>
      <c r="S234" s="1"/>
      <c r="T234" s="1">
        <f>SUM(OSRRefT22_21x_0)</f>
        <v>1032.0700000000002</v>
      </c>
      <c r="U234" s="1"/>
      <c r="V234" s="5">
        <f t="shared" ref="V234:V236" si="103">IF(T$12=0,0,T234/T$12)</f>
        <v>6.8489097215524407E-4</v>
      </c>
      <c r="W234" s="1"/>
      <c r="X234" s="1">
        <f t="shared" ref="X234:X236" si="104">+P234-T234</f>
        <v>-657.75000000000023</v>
      </c>
      <c r="Y234" s="1"/>
      <c r="Z234" s="5">
        <f t="shared" ref="Z234:Z236" si="105">IF(T234=0,0,X234/T234)</f>
        <v>-0.63731142267481866</v>
      </c>
    </row>
    <row r="235" spans="1:26" s="24" customFormat="1" hidden="1" outlineLevel="2" x14ac:dyDescent="0.25">
      <c r="A235" s="29"/>
      <c r="B235" s="11" t="str">
        <f>CONCATENATE("          ", "6258", " - ", "MEMBERSHIP DUES")</f>
        <v xml:space="preserve">          6258 - MEMBERSHIP DUES</v>
      </c>
      <c r="C235" s="11"/>
      <c r="D235" s="8">
        <v>290</v>
      </c>
      <c r="E235" s="3"/>
      <c r="F235" s="7">
        <f t="shared" si="98"/>
        <v>6.0808354816330981E-4</v>
      </c>
      <c r="G235" s="3"/>
      <c r="H235" s="8">
        <v>288.85000000000002</v>
      </c>
      <c r="I235" s="3"/>
      <c r="J235" s="7">
        <f t="shared" si="99"/>
        <v>1.9168346847310962E-4</v>
      </c>
      <c r="K235" s="3"/>
      <c r="L235" s="8">
        <f t="shared" si="100"/>
        <v>1.1499999999999773</v>
      </c>
      <c r="M235" s="3"/>
      <c r="N235" s="7">
        <f t="shared" si="101"/>
        <v>3.9813051756966492E-3</v>
      </c>
      <c r="O235" s="11"/>
      <c r="P235" s="8">
        <v>290</v>
      </c>
      <c r="Q235" s="3"/>
      <c r="R235" s="7">
        <f t="shared" si="102"/>
        <v>6.0808354816330981E-4</v>
      </c>
      <c r="S235" s="3"/>
      <c r="T235" s="8">
        <v>288.85000000000002</v>
      </c>
      <c r="U235" s="3"/>
      <c r="V235" s="7">
        <f t="shared" si="103"/>
        <v>1.9168346847310962E-4</v>
      </c>
      <c r="W235" s="3"/>
      <c r="X235" s="8">
        <f t="shared" si="104"/>
        <v>1.1499999999999773</v>
      </c>
      <c r="Y235" s="3"/>
      <c r="Z235" s="7">
        <f t="shared" si="105"/>
        <v>3.9813051756966492E-3</v>
      </c>
    </row>
    <row r="236" spans="1:26" s="24" customFormat="1" hidden="1" outlineLevel="2" x14ac:dyDescent="0.25">
      <c r="A236" s="29"/>
      <c r="B236" s="11" t="str">
        <f>CONCATENATE("          ", "6275", " - ", "SUBSCRIPTIONS")</f>
        <v xml:space="preserve">          6275 - SUBSCRIPTIONS</v>
      </c>
      <c r="C236" s="11"/>
      <c r="D236" s="8">
        <v>84.32</v>
      </c>
      <c r="E236" s="3"/>
      <c r="F236" s="7">
        <f t="shared" si="98"/>
        <v>1.7680553372803544E-4</v>
      </c>
      <c r="G236" s="3"/>
      <c r="H236" s="8">
        <v>743.22</v>
      </c>
      <c r="I236" s="3"/>
      <c r="J236" s="7">
        <f t="shared" si="99"/>
        <v>4.9320750368213437E-4</v>
      </c>
      <c r="K236" s="3"/>
      <c r="L236" s="8">
        <f t="shared" si="100"/>
        <v>-658.90000000000009</v>
      </c>
      <c r="M236" s="3"/>
      <c r="N236" s="7">
        <f t="shared" si="101"/>
        <v>-0.88654772476521093</v>
      </c>
      <c r="O236" s="11"/>
      <c r="P236" s="8">
        <v>84.32</v>
      </c>
      <c r="Q236" s="3"/>
      <c r="R236" s="7">
        <f t="shared" si="102"/>
        <v>1.7680553372803544E-4</v>
      </c>
      <c r="S236" s="3"/>
      <c r="T236" s="8">
        <v>743.22</v>
      </c>
      <c r="U236" s="3"/>
      <c r="V236" s="7">
        <f t="shared" si="103"/>
        <v>4.9320750368213437E-4</v>
      </c>
      <c r="W236" s="3"/>
      <c r="X236" s="8">
        <f t="shared" si="104"/>
        <v>-658.90000000000009</v>
      </c>
      <c r="Y236" s="3"/>
      <c r="Z236" s="7">
        <f t="shared" si="105"/>
        <v>-0.88654772476521093</v>
      </c>
    </row>
    <row r="237" spans="1:26" s="27" customFormat="1" outlineLevel="1" collapsed="1" x14ac:dyDescent="0.25">
      <c r="A237" s="28"/>
      <c r="B237" s="14" t="str">
        <f>CONCATENATE("     ","Supplies                                          ")</f>
        <v xml:space="preserve">     Supplies                                          </v>
      </c>
      <c r="C237" s="14"/>
      <c r="D237" s="1">
        <f>SUM(OSRRefD22_22x_0)</f>
        <v>19842.560000000001</v>
      </c>
      <c r="E237" s="1"/>
      <c r="F237" s="5">
        <f t="shared" ref="F237:F246" si="106">IF(D$12=0,0,D237/D$12)</f>
        <v>4.1606669963597812E-2</v>
      </c>
      <c r="G237" s="1"/>
      <c r="H237" s="1">
        <f>SUM(OSRRefH22_22x_0)</f>
        <v>74362.23</v>
      </c>
      <c r="I237" s="1"/>
      <c r="J237" s="5">
        <f t="shared" ref="J237:J246" si="107">IF(H$12=0,0,H237/H$12)</f>
        <v>4.9347447359512284E-2</v>
      </c>
      <c r="K237" s="1"/>
      <c r="L237" s="1">
        <f t="shared" ref="L237:L246" si="108">+D237-H237</f>
        <v>-54519.67</v>
      </c>
      <c r="M237" s="1"/>
      <c r="N237" s="5">
        <f t="shared" ref="N237:N246" si="109">IF(H237=0,0,L237/H237)</f>
        <v>-0.73316346215007266</v>
      </c>
      <c r="O237" s="14"/>
      <c r="P237" s="1">
        <f>SUM(OSRRefP22_22x_0)</f>
        <v>19842.560000000001</v>
      </c>
      <c r="Q237" s="1"/>
      <c r="R237" s="5">
        <f t="shared" ref="R237:R246" si="110">IF(P$12=0,0,P237/P$12)</f>
        <v>4.1606669963597812E-2</v>
      </c>
      <c r="S237" s="1"/>
      <c r="T237" s="1">
        <f>SUM(OSRRefT22_22x_0)</f>
        <v>74362.23</v>
      </c>
      <c r="U237" s="1"/>
      <c r="V237" s="5">
        <f t="shared" ref="V237:V246" si="111">IF(T$12=0,0,T237/T$12)</f>
        <v>4.9347447359512284E-2</v>
      </c>
      <c r="W237" s="1"/>
      <c r="X237" s="1">
        <f t="shared" ref="X237:X246" si="112">+P237-T237</f>
        <v>-54519.67</v>
      </c>
      <c r="Y237" s="1"/>
      <c r="Z237" s="5">
        <f t="shared" ref="Z237:Z246" si="113">IF(T237=0,0,X237/T237)</f>
        <v>-0.73316346215007266</v>
      </c>
    </row>
    <row r="238" spans="1:26" s="24" customFormat="1" hidden="1" outlineLevel="2" x14ac:dyDescent="0.25">
      <c r="A238" s="29"/>
      <c r="B238" s="11" t="str">
        <f>CONCATENATE("          ", "6234", " - ", "EXPENDABLE SUPPLIES &amp; EQUIPMEN")</f>
        <v xml:space="preserve">          6234 - EXPENDABLE SUPPLIES &amp; EQUIPMEN</v>
      </c>
      <c r="C238" s="11"/>
      <c r="D238" s="8"/>
      <c r="E238" s="3"/>
      <c r="F238" s="7">
        <f t="shared" si="106"/>
        <v>0</v>
      </c>
      <c r="G238" s="3"/>
      <c r="H238" s="8">
        <v>702.08</v>
      </c>
      <c r="I238" s="3"/>
      <c r="J238" s="7">
        <f t="shared" si="107"/>
        <v>4.6590662816548657E-4</v>
      </c>
      <c r="K238" s="3"/>
      <c r="L238" s="8">
        <f t="shared" si="108"/>
        <v>-702.08</v>
      </c>
      <c r="M238" s="3"/>
      <c r="N238" s="7">
        <f t="shared" si="109"/>
        <v>-1</v>
      </c>
      <c r="O238" s="11"/>
      <c r="P238" s="8"/>
      <c r="Q238" s="3"/>
      <c r="R238" s="7">
        <f t="shared" si="110"/>
        <v>0</v>
      </c>
      <c r="S238" s="3"/>
      <c r="T238" s="8">
        <v>702.08</v>
      </c>
      <c r="U238" s="3"/>
      <c r="V238" s="7">
        <f t="shared" si="111"/>
        <v>4.6590662816548657E-4</v>
      </c>
      <c r="W238" s="3"/>
      <c r="X238" s="8">
        <f t="shared" si="112"/>
        <v>-702.08</v>
      </c>
      <c r="Y238" s="3"/>
      <c r="Z238" s="7">
        <f t="shared" si="113"/>
        <v>-1</v>
      </c>
    </row>
    <row r="239" spans="1:26" s="24" customFormat="1" hidden="1" outlineLevel="2" x14ac:dyDescent="0.25">
      <c r="A239" s="29"/>
      <c r="B239" s="11" t="str">
        <f>CONCATENATE("          ", "6235", " - ", "COVID-19 EXPENSES")</f>
        <v xml:space="preserve">          6235 - COVID-19 EXPENSES</v>
      </c>
      <c r="C239" s="11"/>
      <c r="D239" s="8">
        <v>12389.44</v>
      </c>
      <c r="E239" s="3"/>
      <c r="F239" s="7">
        <f t="shared" si="106"/>
        <v>2.5978671155022198E-2</v>
      </c>
      <c r="G239" s="3"/>
      <c r="H239" s="8"/>
      <c r="I239" s="3"/>
      <c r="J239" s="7">
        <f t="shared" si="107"/>
        <v>0</v>
      </c>
      <c r="K239" s="3"/>
      <c r="L239" s="8">
        <f t="shared" si="108"/>
        <v>12389.44</v>
      </c>
      <c r="M239" s="3"/>
      <c r="N239" s="7">
        <f t="shared" si="109"/>
        <v>0</v>
      </c>
      <c r="O239" s="11"/>
      <c r="P239" s="8">
        <v>12389.44</v>
      </c>
      <c r="Q239" s="3"/>
      <c r="R239" s="7">
        <f t="shared" si="110"/>
        <v>2.5978671155022198E-2</v>
      </c>
      <c r="S239" s="3"/>
      <c r="T239" s="8"/>
      <c r="U239" s="3"/>
      <c r="V239" s="7">
        <f t="shared" si="111"/>
        <v>0</v>
      </c>
      <c r="W239" s="3"/>
      <c r="X239" s="8">
        <f t="shared" si="112"/>
        <v>12389.44</v>
      </c>
      <c r="Y239" s="3"/>
      <c r="Z239" s="7">
        <f t="shared" si="113"/>
        <v>0</v>
      </c>
    </row>
    <row r="240" spans="1:26" s="24" customFormat="1" hidden="1" outlineLevel="2" x14ac:dyDescent="0.25">
      <c r="A240" s="29"/>
      <c r="B240" s="11" t="str">
        <f>CONCATENATE("          ", "6237", " - ", "JANITORIAL SUPPLIES")</f>
        <v xml:space="preserve">          6237 - JANITORIAL SUPPLIES</v>
      </c>
      <c r="C240" s="11"/>
      <c r="D240" s="8">
        <v>1327.35</v>
      </c>
      <c r="E240" s="3"/>
      <c r="F240" s="7">
        <f t="shared" si="106"/>
        <v>2.783240336739894E-3</v>
      </c>
      <c r="G240" s="3"/>
      <c r="H240" s="8">
        <v>11951.92</v>
      </c>
      <c r="I240" s="3"/>
      <c r="J240" s="7">
        <f t="shared" si="107"/>
        <v>7.9314020443591073E-3</v>
      </c>
      <c r="K240" s="3"/>
      <c r="L240" s="8">
        <f t="shared" si="108"/>
        <v>-10624.57</v>
      </c>
      <c r="M240" s="3"/>
      <c r="N240" s="7">
        <f t="shared" si="109"/>
        <v>-0.88894252973580812</v>
      </c>
      <c r="O240" s="11"/>
      <c r="P240" s="8">
        <v>1327.35</v>
      </c>
      <c r="Q240" s="3"/>
      <c r="R240" s="7">
        <f t="shared" si="110"/>
        <v>2.783240336739894E-3</v>
      </c>
      <c r="S240" s="3"/>
      <c r="T240" s="8">
        <v>11951.92</v>
      </c>
      <c r="U240" s="3"/>
      <c r="V240" s="7">
        <f t="shared" si="111"/>
        <v>7.9314020443591073E-3</v>
      </c>
      <c r="W240" s="3"/>
      <c r="X240" s="8">
        <f t="shared" si="112"/>
        <v>-10624.57</v>
      </c>
      <c r="Y240" s="3"/>
      <c r="Z240" s="7">
        <f t="shared" si="113"/>
        <v>-0.88894252973580812</v>
      </c>
    </row>
    <row r="241" spans="1:26" s="24" customFormat="1" hidden="1" outlineLevel="2" x14ac:dyDescent="0.25">
      <c r="A241" s="29"/>
      <c r="B241" s="11" t="str">
        <f>CONCATENATE("          ", "6239", " - ", "KITCHEN SUPPLIES")</f>
        <v xml:space="preserve">          6239 - KITCHEN SUPPLIES</v>
      </c>
      <c r="C241" s="11"/>
      <c r="D241" s="8">
        <v>50</v>
      </c>
      <c r="E241" s="3"/>
      <c r="F241" s="7">
        <f t="shared" si="106"/>
        <v>1.0484199106263962E-4</v>
      </c>
      <c r="G241" s="3"/>
      <c r="H241" s="8">
        <v>7252.5</v>
      </c>
      <c r="I241" s="3"/>
      <c r="J241" s="7">
        <f t="shared" si="107"/>
        <v>4.812824494032291E-3</v>
      </c>
      <c r="K241" s="3"/>
      <c r="L241" s="8">
        <f t="shared" si="108"/>
        <v>-7202.5</v>
      </c>
      <c r="M241" s="3"/>
      <c r="N241" s="7">
        <f t="shared" si="109"/>
        <v>-0.99310582557738714</v>
      </c>
      <c r="O241" s="11"/>
      <c r="P241" s="8">
        <v>50</v>
      </c>
      <c r="Q241" s="3"/>
      <c r="R241" s="7">
        <f t="shared" si="110"/>
        <v>1.0484199106263962E-4</v>
      </c>
      <c r="S241" s="3"/>
      <c r="T241" s="8">
        <v>7252.5</v>
      </c>
      <c r="U241" s="3"/>
      <c r="V241" s="7">
        <f t="shared" si="111"/>
        <v>4.812824494032291E-3</v>
      </c>
      <c r="W241" s="3"/>
      <c r="X241" s="8">
        <f t="shared" si="112"/>
        <v>-7202.5</v>
      </c>
      <c r="Y241" s="3"/>
      <c r="Z241" s="7">
        <f t="shared" si="113"/>
        <v>-0.99310582557738714</v>
      </c>
    </row>
    <row r="242" spans="1:26" s="24" customFormat="1" hidden="1" outlineLevel="2" x14ac:dyDescent="0.25">
      <c r="A242" s="29"/>
      <c r="B242" s="11" t="str">
        <f>CONCATENATE("          ", "6241", " - ", "OFFICE EXPENSE")</f>
        <v xml:space="preserve">          6241 - OFFICE EXPENSE</v>
      </c>
      <c r="C242" s="11"/>
      <c r="D242" s="8">
        <v>489.8</v>
      </c>
      <c r="E242" s="3"/>
      <c r="F242" s="7">
        <f t="shared" si="106"/>
        <v>1.0270321444496178E-3</v>
      </c>
      <c r="G242" s="3"/>
      <c r="H242" s="8">
        <v>40775.32</v>
      </c>
      <c r="I242" s="3"/>
      <c r="J242" s="7">
        <f t="shared" si="107"/>
        <v>2.7058870575388454E-2</v>
      </c>
      <c r="K242" s="3"/>
      <c r="L242" s="8">
        <f t="shared" si="108"/>
        <v>-40285.519999999997</v>
      </c>
      <c r="M242" s="3"/>
      <c r="N242" s="7">
        <f t="shared" si="109"/>
        <v>-0.98798783185515149</v>
      </c>
      <c r="O242" s="11"/>
      <c r="P242" s="8">
        <v>489.8</v>
      </c>
      <c r="Q242" s="3"/>
      <c r="R242" s="7">
        <f t="shared" si="110"/>
        <v>1.0270321444496178E-3</v>
      </c>
      <c r="S242" s="3"/>
      <c r="T242" s="8">
        <v>40775.32</v>
      </c>
      <c r="U242" s="3"/>
      <c r="V242" s="7">
        <f t="shared" si="111"/>
        <v>2.7058870575388454E-2</v>
      </c>
      <c r="W242" s="3"/>
      <c r="X242" s="8">
        <f t="shared" si="112"/>
        <v>-40285.519999999997</v>
      </c>
      <c r="Y242" s="3"/>
      <c r="Z242" s="7">
        <f t="shared" si="113"/>
        <v>-0.98798783185515149</v>
      </c>
    </row>
    <row r="243" spans="1:26" s="24" customFormat="1" hidden="1" outlineLevel="2" x14ac:dyDescent="0.25">
      <c r="A243" s="29"/>
      <c r="B243" s="11" t="str">
        <f>CONCATENATE("          ", "6243", " - ", "PAPER SUPPLIES")</f>
        <v xml:space="preserve">          6243 - PAPER SUPPLIES</v>
      </c>
      <c r="C243" s="11"/>
      <c r="D243" s="8">
        <v>1727.88</v>
      </c>
      <c r="E243" s="3"/>
      <c r="F243" s="7">
        <f t="shared" si="106"/>
        <v>3.6230875903462754E-3</v>
      </c>
      <c r="G243" s="3"/>
      <c r="H243" s="8">
        <v>8596.7800000000007</v>
      </c>
      <c r="I243" s="3"/>
      <c r="J243" s="7">
        <f t="shared" si="107"/>
        <v>5.7049008416141913E-3</v>
      </c>
      <c r="K243" s="3"/>
      <c r="L243" s="8">
        <f t="shared" si="108"/>
        <v>-6868.9000000000005</v>
      </c>
      <c r="M243" s="3"/>
      <c r="N243" s="7">
        <f t="shared" si="109"/>
        <v>-0.79900846596051078</v>
      </c>
      <c r="O243" s="11"/>
      <c r="P243" s="8">
        <v>1727.88</v>
      </c>
      <c r="Q243" s="3"/>
      <c r="R243" s="7">
        <f t="shared" si="110"/>
        <v>3.6230875903462754E-3</v>
      </c>
      <c r="S243" s="3"/>
      <c r="T243" s="8">
        <v>8596.7800000000007</v>
      </c>
      <c r="U243" s="3"/>
      <c r="V243" s="7">
        <f t="shared" si="111"/>
        <v>5.7049008416141913E-3</v>
      </c>
      <c r="W243" s="3"/>
      <c r="X243" s="8">
        <f t="shared" si="112"/>
        <v>-6868.9000000000005</v>
      </c>
      <c r="Y243" s="3"/>
      <c r="Z243" s="7">
        <f t="shared" si="113"/>
        <v>-0.79900846596051078</v>
      </c>
    </row>
    <row r="244" spans="1:26" s="24" customFormat="1" hidden="1" outlineLevel="2" x14ac:dyDescent="0.25">
      <c r="A244" s="29"/>
      <c r="B244" s="11" t="str">
        <f>CONCATENATE("          ", "6245", " - ", "PRINTING")</f>
        <v xml:space="preserve">          6245 - PRINTING</v>
      </c>
      <c r="C244" s="11"/>
      <c r="D244" s="8">
        <v>-1543.5</v>
      </c>
      <c r="E244" s="3"/>
      <c r="F244" s="7">
        <f t="shared" si="106"/>
        <v>-3.2364722641036853E-3</v>
      </c>
      <c r="G244" s="3"/>
      <c r="H244" s="8">
        <v>137.76</v>
      </c>
      <c r="I244" s="3"/>
      <c r="J244" s="7">
        <f t="shared" si="107"/>
        <v>9.141878004796807E-5</v>
      </c>
      <c r="K244" s="3"/>
      <c r="L244" s="8">
        <f t="shared" si="108"/>
        <v>-1681.26</v>
      </c>
      <c r="M244" s="3"/>
      <c r="N244" s="7">
        <f t="shared" si="109"/>
        <v>-12.204268292682928</v>
      </c>
      <c r="O244" s="11"/>
      <c r="P244" s="8">
        <v>-1543.5</v>
      </c>
      <c r="Q244" s="3"/>
      <c r="R244" s="7">
        <f t="shared" si="110"/>
        <v>-3.2364722641036853E-3</v>
      </c>
      <c r="S244" s="3"/>
      <c r="T244" s="8">
        <v>137.76</v>
      </c>
      <c r="U244" s="3"/>
      <c r="V244" s="7">
        <f t="shared" si="111"/>
        <v>9.141878004796807E-5</v>
      </c>
      <c r="W244" s="3"/>
      <c r="X244" s="8">
        <f t="shared" si="112"/>
        <v>-1681.26</v>
      </c>
      <c r="Y244" s="3"/>
      <c r="Z244" s="7">
        <f t="shared" si="113"/>
        <v>-12.204268292682928</v>
      </c>
    </row>
    <row r="245" spans="1:26" s="24" customFormat="1" hidden="1" outlineLevel="2" x14ac:dyDescent="0.25">
      <c r="A245" s="29"/>
      <c r="B245" s="11" t="str">
        <f>CONCATENATE("          ", "6247", " - ", "STORE SUPPLIES")</f>
        <v xml:space="preserve">          6247 - STORE SUPPLIES</v>
      </c>
      <c r="C245" s="11"/>
      <c r="D245" s="8">
        <v>5401.59</v>
      </c>
      <c r="E245" s="3"/>
      <c r="F245" s="7">
        <f t="shared" si="106"/>
        <v>1.1326269010080872E-2</v>
      </c>
      <c r="G245" s="3"/>
      <c r="H245" s="8">
        <v>9935.7800000000007</v>
      </c>
      <c r="I245" s="3"/>
      <c r="J245" s="7">
        <f t="shared" si="107"/>
        <v>6.5934733335148103E-3</v>
      </c>
      <c r="K245" s="3"/>
      <c r="L245" s="8">
        <f t="shared" si="108"/>
        <v>-4534.1900000000005</v>
      </c>
      <c r="M245" s="3"/>
      <c r="N245" s="7">
        <f t="shared" si="109"/>
        <v>-0.45634967762973822</v>
      </c>
      <c r="O245" s="11"/>
      <c r="P245" s="8">
        <v>5401.59</v>
      </c>
      <c r="Q245" s="3"/>
      <c r="R245" s="7">
        <f t="shared" si="110"/>
        <v>1.1326269010080872E-2</v>
      </c>
      <c r="S245" s="3"/>
      <c r="T245" s="8">
        <v>9935.7800000000007</v>
      </c>
      <c r="U245" s="3"/>
      <c r="V245" s="7">
        <f t="shared" si="111"/>
        <v>6.5934733335148103E-3</v>
      </c>
      <c r="W245" s="3"/>
      <c r="X245" s="8">
        <f t="shared" si="112"/>
        <v>-4534.1900000000005</v>
      </c>
      <c r="Y245" s="3"/>
      <c r="Z245" s="7">
        <f t="shared" si="113"/>
        <v>-0.45634967762973822</v>
      </c>
    </row>
    <row r="246" spans="1:26" s="24" customFormat="1" hidden="1" outlineLevel="2" x14ac:dyDescent="0.25">
      <c r="A246" s="29"/>
      <c r="B246" s="11" t="str">
        <f>CONCATENATE("          ", "6248", " - ", "UNIFORMS")</f>
        <v xml:space="preserve">          6248 - UNIFORMS</v>
      </c>
      <c r="C246" s="11"/>
      <c r="D246" s="8"/>
      <c r="E246" s="3"/>
      <c r="F246" s="7">
        <f t="shared" si="106"/>
        <v>0</v>
      </c>
      <c r="G246" s="3"/>
      <c r="H246" s="8">
        <v>-4989.91</v>
      </c>
      <c r="I246" s="3"/>
      <c r="J246" s="7">
        <f t="shared" si="107"/>
        <v>-3.3113493376100197E-3</v>
      </c>
      <c r="K246" s="3"/>
      <c r="L246" s="8">
        <f t="shared" si="108"/>
        <v>4989.91</v>
      </c>
      <c r="M246" s="3"/>
      <c r="N246" s="7">
        <f t="shared" si="109"/>
        <v>-1</v>
      </c>
      <c r="O246" s="11"/>
      <c r="P246" s="8"/>
      <c r="Q246" s="3"/>
      <c r="R246" s="7">
        <f t="shared" si="110"/>
        <v>0</v>
      </c>
      <c r="S246" s="3"/>
      <c r="T246" s="8">
        <v>-4989.91</v>
      </c>
      <c r="U246" s="3"/>
      <c r="V246" s="7">
        <f t="shared" si="111"/>
        <v>-3.3113493376100197E-3</v>
      </c>
      <c r="W246" s="3"/>
      <c r="X246" s="8">
        <f t="shared" si="112"/>
        <v>4989.91</v>
      </c>
      <c r="Y246" s="3"/>
      <c r="Z246" s="7">
        <f t="shared" si="113"/>
        <v>-1</v>
      </c>
    </row>
    <row r="247" spans="1:26" s="27" customFormat="1" outlineLevel="1" collapsed="1" x14ac:dyDescent="0.25">
      <c r="A247" s="28"/>
      <c r="B247" s="14" t="str">
        <f>CONCATENATE("     ","Telephone/Data Lines                              ")</f>
        <v xml:space="preserve">     Telephone/Data Lines                              </v>
      </c>
      <c r="C247" s="14"/>
      <c r="D247" s="1">
        <f>SUM(OSRRefD22_23x_0)</f>
        <v>5058.1099999999997</v>
      </c>
      <c r="E247" s="1"/>
      <c r="F247" s="5">
        <f t="shared" ref="F247:F249" si="114">IF(D$12=0,0,D247/D$12)</f>
        <v>1.0606046468276962E-2</v>
      </c>
      <c r="G247" s="1"/>
      <c r="H247" s="1">
        <f>SUM(OSRRefH22_23x_0)</f>
        <v>2693.77</v>
      </c>
      <c r="I247" s="1"/>
      <c r="J247" s="5">
        <f t="shared" ref="J247:J249" si="115">IF(H$12=0,0,H247/H$12)</f>
        <v>1.7876100982129424E-3</v>
      </c>
      <c r="K247" s="1"/>
      <c r="L247" s="1">
        <f t="shared" ref="L247:L249" si="116">+D247-H247</f>
        <v>2364.3399999999997</v>
      </c>
      <c r="M247" s="1"/>
      <c r="N247" s="5">
        <f t="shared" ref="N247:N249" si="117">IF(H247=0,0,L247/H247)</f>
        <v>0.87770670844207177</v>
      </c>
      <c r="O247" s="14"/>
      <c r="P247" s="1">
        <f>SUM(OSRRefP22_23x_0)</f>
        <v>5058.1099999999997</v>
      </c>
      <c r="Q247" s="1"/>
      <c r="R247" s="5">
        <f t="shared" ref="R247:R249" si="118">IF(P$12=0,0,P247/P$12)</f>
        <v>1.0606046468276962E-2</v>
      </c>
      <c r="S247" s="1"/>
      <c r="T247" s="1">
        <f>SUM(OSRRefT22_23x_0)</f>
        <v>2693.77</v>
      </c>
      <c r="U247" s="1"/>
      <c r="V247" s="5">
        <f t="shared" ref="V247:V249" si="119">IF(T$12=0,0,T247/T$12)</f>
        <v>1.7876100982129424E-3</v>
      </c>
      <c r="W247" s="1"/>
      <c r="X247" s="1">
        <f t="shared" ref="X247:X249" si="120">+P247-T247</f>
        <v>2364.3399999999997</v>
      </c>
      <c r="Y247" s="1"/>
      <c r="Z247" s="5">
        <f t="shared" ref="Z247:Z249" si="121">IF(T247=0,0,X247/T247)</f>
        <v>0.87770670844207177</v>
      </c>
    </row>
    <row r="248" spans="1:26" s="24" customFormat="1" hidden="1" outlineLevel="2" x14ac:dyDescent="0.25">
      <c r="A248" s="29"/>
      <c r="B248" s="11" t="str">
        <f>CONCATENATE("          ", "6303", " - ", "DATA PHONE LINES")</f>
        <v xml:space="preserve">          6303 - DATA PHONE LINES</v>
      </c>
      <c r="C248" s="11"/>
      <c r="D248" s="8">
        <v>295</v>
      </c>
      <c r="E248" s="3"/>
      <c r="F248" s="7">
        <f t="shared" si="114"/>
        <v>6.1856774726957379E-4</v>
      </c>
      <c r="G248" s="3"/>
      <c r="H248" s="8">
        <v>295</v>
      </c>
      <c r="I248" s="3"/>
      <c r="J248" s="7">
        <f t="shared" si="115"/>
        <v>1.9576466401096532E-4</v>
      </c>
      <c r="K248" s="3"/>
      <c r="L248" s="8">
        <f t="shared" si="116"/>
        <v>0</v>
      </c>
      <c r="M248" s="3"/>
      <c r="N248" s="7">
        <f t="shared" si="117"/>
        <v>0</v>
      </c>
      <c r="O248" s="11"/>
      <c r="P248" s="8">
        <v>295</v>
      </c>
      <c r="Q248" s="3"/>
      <c r="R248" s="7">
        <f t="shared" si="118"/>
        <v>6.1856774726957379E-4</v>
      </c>
      <c r="S248" s="3"/>
      <c r="T248" s="8">
        <v>295</v>
      </c>
      <c r="U248" s="3"/>
      <c r="V248" s="7">
        <f t="shared" si="119"/>
        <v>1.9576466401096532E-4</v>
      </c>
      <c r="W248" s="3"/>
      <c r="X248" s="8">
        <f t="shared" si="120"/>
        <v>0</v>
      </c>
      <c r="Y248" s="3"/>
      <c r="Z248" s="7">
        <f t="shared" si="121"/>
        <v>0</v>
      </c>
    </row>
    <row r="249" spans="1:26" s="24" customFormat="1" hidden="1" outlineLevel="2" x14ac:dyDescent="0.25">
      <c r="A249" s="29"/>
      <c r="B249" s="11" t="str">
        <f>CONCATENATE("          ", "6309", " - ", "TELEPHONE")</f>
        <v xml:space="preserve">          6309 - TELEPHONE</v>
      </c>
      <c r="C249" s="11"/>
      <c r="D249" s="8">
        <v>4763.1099999999997</v>
      </c>
      <c r="E249" s="3"/>
      <c r="F249" s="7">
        <f t="shared" si="114"/>
        <v>9.9874787210073885E-3</v>
      </c>
      <c r="G249" s="3"/>
      <c r="H249" s="8">
        <v>2398.77</v>
      </c>
      <c r="I249" s="3"/>
      <c r="J249" s="7">
        <f t="shared" si="115"/>
        <v>1.591845434201977E-3</v>
      </c>
      <c r="K249" s="3"/>
      <c r="L249" s="8">
        <f t="shared" si="116"/>
        <v>2364.3399999999997</v>
      </c>
      <c r="M249" s="3"/>
      <c r="N249" s="7">
        <f t="shared" si="117"/>
        <v>0.98564681065712834</v>
      </c>
      <c r="O249" s="11"/>
      <c r="P249" s="8">
        <v>4763.1099999999997</v>
      </c>
      <c r="Q249" s="3"/>
      <c r="R249" s="7">
        <f t="shared" si="118"/>
        <v>9.9874787210073885E-3</v>
      </c>
      <c r="S249" s="3"/>
      <c r="T249" s="8">
        <v>2398.77</v>
      </c>
      <c r="U249" s="3"/>
      <c r="V249" s="7">
        <f t="shared" si="119"/>
        <v>1.591845434201977E-3</v>
      </c>
      <c r="W249" s="3"/>
      <c r="X249" s="8">
        <f t="shared" si="120"/>
        <v>2364.3399999999997</v>
      </c>
      <c r="Y249" s="3"/>
      <c r="Z249" s="7">
        <f t="shared" si="121"/>
        <v>0.98564681065712834</v>
      </c>
    </row>
    <row r="250" spans="1:26" s="27" customFormat="1" outlineLevel="1" collapsed="1" x14ac:dyDescent="0.25">
      <c r="A250" s="28"/>
      <c r="B250" s="14" t="str">
        <f>CONCATENATE("     ","Training                                          ")</f>
        <v xml:space="preserve">     Training                                          </v>
      </c>
      <c r="C250" s="14"/>
      <c r="D250" s="1">
        <f>SUM(OSRRefD22_24x_0)</f>
        <v>131.63</v>
      </c>
      <c r="E250" s="1"/>
      <c r="F250" s="5">
        <f t="shared" ref="F250:F255" si="122">IF(D$12=0,0,D250/D$12)</f>
        <v>2.7600702567150506E-4</v>
      </c>
      <c r="G250" s="1"/>
      <c r="H250" s="1">
        <f>SUM(OSRRefH22_24x_0)</f>
        <v>4866.8900000000003</v>
      </c>
      <c r="I250" s="1"/>
      <c r="J250" s="5">
        <f t="shared" ref="J250:J255" si="123">IF(H$12=0,0,H250/H$12)</f>
        <v>3.229712154672295E-3</v>
      </c>
      <c r="K250" s="1"/>
      <c r="L250" s="1">
        <f t="shared" ref="L250:L255" si="124">+D250-H250</f>
        <v>-4735.26</v>
      </c>
      <c r="M250" s="1"/>
      <c r="N250" s="5">
        <f t="shared" ref="N250:N255" si="125">IF(H250=0,0,L250/H250)</f>
        <v>-0.97295398087895968</v>
      </c>
      <c r="O250" s="14"/>
      <c r="P250" s="1">
        <f>SUM(OSRRefP22_24x_0)</f>
        <v>131.63</v>
      </c>
      <c r="Q250" s="1"/>
      <c r="R250" s="5">
        <f t="shared" ref="R250:R255" si="126">IF(P$12=0,0,P250/P$12)</f>
        <v>2.7600702567150506E-4</v>
      </c>
      <c r="S250" s="1"/>
      <c r="T250" s="1">
        <f>SUM(OSRRefT22_24x_0)</f>
        <v>4866.8900000000003</v>
      </c>
      <c r="U250" s="1"/>
      <c r="V250" s="5">
        <f t="shared" ref="V250:V255" si="127">IF(T$12=0,0,T250/T$12)</f>
        <v>3.229712154672295E-3</v>
      </c>
      <c r="W250" s="1"/>
      <c r="X250" s="1">
        <f t="shared" ref="X250:X255" si="128">+P250-T250</f>
        <v>-4735.26</v>
      </c>
      <c r="Y250" s="1"/>
      <c r="Z250" s="5">
        <f t="shared" ref="Z250:Z255" si="129">IF(T250=0,0,X250/T250)</f>
        <v>-0.97295398087895968</v>
      </c>
    </row>
    <row r="251" spans="1:26" s="24" customFormat="1" hidden="1" outlineLevel="2" x14ac:dyDescent="0.25">
      <c r="A251" s="29"/>
      <c r="B251" s="11" t="str">
        <f>CONCATENATE("          ", "6376", " - ", "TRAINING")</f>
        <v xml:space="preserve">          6376 - TRAINING</v>
      </c>
      <c r="C251" s="11"/>
      <c r="D251" s="8">
        <v>131.63</v>
      </c>
      <c r="E251" s="3"/>
      <c r="F251" s="7">
        <f t="shared" si="122"/>
        <v>2.7600702567150506E-4</v>
      </c>
      <c r="G251" s="3"/>
      <c r="H251" s="8">
        <v>4866.8900000000003</v>
      </c>
      <c r="I251" s="3"/>
      <c r="J251" s="7">
        <f t="shared" si="123"/>
        <v>3.229712154672295E-3</v>
      </c>
      <c r="K251" s="3"/>
      <c r="L251" s="8">
        <f t="shared" si="124"/>
        <v>-4735.26</v>
      </c>
      <c r="M251" s="3"/>
      <c r="N251" s="7">
        <f t="shared" si="125"/>
        <v>-0.97295398087895968</v>
      </c>
      <c r="O251" s="11"/>
      <c r="P251" s="8">
        <v>131.63</v>
      </c>
      <c r="Q251" s="3"/>
      <c r="R251" s="7">
        <f t="shared" si="126"/>
        <v>2.7600702567150506E-4</v>
      </c>
      <c r="S251" s="3"/>
      <c r="T251" s="8">
        <v>4866.8900000000003</v>
      </c>
      <c r="U251" s="3"/>
      <c r="V251" s="7">
        <f t="shared" si="127"/>
        <v>3.229712154672295E-3</v>
      </c>
      <c r="W251" s="3"/>
      <c r="X251" s="8">
        <f t="shared" si="128"/>
        <v>-4735.26</v>
      </c>
      <c r="Y251" s="3"/>
      <c r="Z251" s="7">
        <f t="shared" si="129"/>
        <v>-0.97295398087895968</v>
      </c>
    </row>
    <row r="252" spans="1:26" s="27" customFormat="1" outlineLevel="1" collapsed="1" x14ac:dyDescent="0.25">
      <c r="A252" s="28"/>
      <c r="B252" s="14" t="str">
        <f>CONCATENATE("     ","Travel                                            ")</f>
        <v xml:space="preserve">     Travel                                            </v>
      </c>
      <c r="C252" s="14"/>
      <c r="D252" s="1">
        <f>SUM(OSRRefD22_25x_0)</f>
        <v>454.9</v>
      </c>
      <c r="E252" s="1"/>
      <c r="F252" s="5">
        <f t="shared" si="122"/>
        <v>9.538524346878952E-4</v>
      </c>
      <c r="G252" s="1"/>
      <c r="H252" s="1">
        <f>SUM(OSRRefH22_25x_0)</f>
        <v>2554.5099999999998</v>
      </c>
      <c r="I252" s="1"/>
      <c r="J252" s="5">
        <f t="shared" si="123"/>
        <v>1.6951959046191557E-3</v>
      </c>
      <c r="K252" s="1"/>
      <c r="L252" s="1">
        <f t="shared" si="124"/>
        <v>-2099.6099999999997</v>
      </c>
      <c r="M252" s="1"/>
      <c r="N252" s="5">
        <f t="shared" si="125"/>
        <v>-0.82192279536975776</v>
      </c>
      <c r="O252" s="14"/>
      <c r="P252" s="1">
        <f>SUM(OSRRefP22_25x_0)</f>
        <v>454.9</v>
      </c>
      <c r="Q252" s="1"/>
      <c r="R252" s="5">
        <f t="shared" si="126"/>
        <v>9.538524346878952E-4</v>
      </c>
      <c r="S252" s="1"/>
      <c r="T252" s="1">
        <f>SUM(OSRRefT22_25x_0)</f>
        <v>2554.5099999999998</v>
      </c>
      <c r="U252" s="1"/>
      <c r="V252" s="5">
        <f t="shared" si="127"/>
        <v>1.6951959046191557E-3</v>
      </c>
      <c r="W252" s="1"/>
      <c r="X252" s="1">
        <f t="shared" si="128"/>
        <v>-2099.6099999999997</v>
      </c>
      <c r="Y252" s="1"/>
      <c r="Z252" s="5">
        <f t="shared" si="129"/>
        <v>-0.82192279536975776</v>
      </c>
    </row>
    <row r="253" spans="1:26" s="24" customFormat="1" hidden="1" outlineLevel="2" x14ac:dyDescent="0.25">
      <c r="A253" s="29"/>
      <c r="B253" s="11" t="str">
        <f>CONCATENATE("          ", "6292", " - ", "TRAVEL/CONFERENCE")</f>
        <v xml:space="preserve">          6292 - TRAVEL/CONFERENCE</v>
      </c>
      <c r="C253" s="11"/>
      <c r="D253" s="8">
        <v>0.16</v>
      </c>
      <c r="E253" s="3"/>
      <c r="F253" s="7">
        <f t="shared" si="122"/>
        <v>3.3549437140044681E-7</v>
      </c>
      <c r="G253" s="3"/>
      <c r="H253" s="8">
        <v>2224.2199999999998</v>
      </c>
      <c r="I253" s="3"/>
      <c r="J253" s="7">
        <f t="shared" si="123"/>
        <v>1.4760124779202347E-3</v>
      </c>
      <c r="K253" s="3"/>
      <c r="L253" s="8">
        <f t="shared" si="124"/>
        <v>-2224.06</v>
      </c>
      <c r="M253" s="3"/>
      <c r="N253" s="7">
        <f t="shared" si="125"/>
        <v>-0.99992806466986184</v>
      </c>
      <c r="O253" s="11"/>
      <c r="P253" s="8">
        <v>0.16</v>
      </c>
      <c r="Q253" s="3"/>
      <c r="R253" s="7">
        <f t="shared" si="126"/>
        <v>3.3549437140044681E-7</v>
      </c>
      <c r="S253" s="3"/>
      <c r="T253" s="8">
        <v>2224.2199999999998</v>
      </c>
      <c r="U253" s="3"/>
      <c r="V253" s="7">
        <f t="shared" si="127"/>
        <v>1.4760124779202347E-3</v>
      </c>
      <c r="W253" s="3"/>
      <c r="X253" s="8">
        <f t="shared" si="128"/>
        <v>-2224.06</v>
      </c>
      <c r="Y253" s="3"/>
      <c r="Z253" s="7">
        <f t="shared" si="129"/>
        <v>-0.99992806466986184</v>
      </c>
    </row>
    <row r="254" spans="1:26" s="24" customFormat="1" hidden="1" outlineLevel="2" x14ac:dyDescent="0.25">
      <c r="A254" s="29"/>
      <c r="B254" s="11" t="str">
        <f>CONCATENATE("          ", "6294", " - ", "TRAVEL OPERATIONAL")</f>
        <v xml:space="preserve">          6294 - TRAVEL OPERATIONAL</v>
      </c>
      <c r="C254" s="11"/>
      <c r="D254" s="8">
        <v>215.16</v>
      </c>
      <c r="E254" s="3"/>
      <c r="F254" s="7">
        <f t="shared" si="122"/>
        <v>4.5115605594075081E-4</v>
      </c>
      <c r="G254" s="3"/>
      <c r="H254" s="8">
        <v>45.49</v>
      </c>
      <c r="I254" s="3"/>
      <c r="J254" s="7">
        <f t="shared" si="123"/>
        <v>3.0187574799521396E-5</v>
      </c>
      <c r="K254" s="3"/>
      <c r="L254" s="8">
        <f t="shared" si="124"/>
        <v>169.67</v>
      </c>
      <c r="M254" s="3"/>
      <c r="N254" s="7">
        <f t="shared" si="125"/>
        <v>3.7298307320290167</v>
      </c>
      <c r="O254" s="11"/>
      <c r="P254" s="8">
        <v>215.16</v>
      </c>
      <c r="Q254" s="3"/>
      <c r="R254" s="7">
        <f t="shared" si="126"/>
        <v>4.5115605594075081E-4</v>
      </c>
      <c r="S254" s="3"/>
      <c r="T254" s="8">
        <v>45.49</v>
      </c>
      <c r="U254" s="3"/>
      <c r="V254" s="7">
        <f t="shared" si="127"/>
        <v>3.0187574799521396E-5</v>
      </c>
      <c r="W254" s="3"/>
      <c r="X254" s="8">
        <f t="shared" si="128"/>
        <v>169.67</v>
      </c>
      <c r="Y254" s="3"/>
      <c r="Z254" s="7">
        <f t="shared" si="129"/>
        <v>3.7298307320290167</v>
      </c>
    </row>
    <row r="255" spans="1:26" s="24" customFormat="1" hidden="1" outlineLevel="2" x14ac:dyDescent="0.25">
      <c r="A255" s="29"/>
      <c r="B255" s="11" t="str">
        <f>CONCATENATE("          ", "6298", " - ", "VEHICLE MILEAGE")</f>
        <v xml:space="preserve">          6298 - VEHICLE MILEAGE</v>
      </c>
      <c r="C255" s="11"/>
      <c r="D255" s="8">
        <v>239.58</v>
      </c>
      <c r="E255" s="3"/>
      <c r="F255" s="7">
        <f t="shared" si="122"/>
        <v>5.0236088437574406E-4</v>
      </c>
      <c r="G255" s="3"/>
      <c r="H255" s="8">
        <v>284.8</v>
      </c>
      <c r="I255" s="3"/>
      <c r="J255" s="7">
        <f t="shared" si="123"/>
        <v>1.8899585189939973E-4</v>
      </c>
      <c r="K255" s="3"/>
      <c r="L255" s="8">
        <f t="shared" si="124"/>
        <v>-45.22</v>
      </c>
      <c r="M255" s="3"/>
      <c r="N255" s="7">
        <f t="shared" si="125"/>
        <v>-0.15877808988764044</v>
      </c>
      <c r="O255" s="11"/>
      <c r="P255" s="8">
        <v>239.58</v>
      </c>
      <c r="Q255" s="3"/>
      <c r="R255" s="7">
        <f t="shared" si="126"/>
        <v>5.0236088437574406E-4</v>
      </c>
      <c r="S255" s="3"/>
      <c r="T255" s="8">
        <v>284.8</v>
      </c>
      <c r="U255" s="3"/>
      <c r="V255" s="7">
        <f t="shared" si="127"/>
        <v>1.8899585189939973E-4</v>
      </c>
      <c r="W255" s="3"/>
      <c r="X255" s="8">
        <f t="shared" si="128"/>
        <v>-45.22</v>
      </c>
      <c r="Y255" s="3"/>
      <c r="Z255" s="7">
        <f t="shared" si="129"/>
        <v>-0.15877808988764044</v>
      </c>
    </row>
    <row r="256" spans="1:26" s="27" customFormat="1" outlineLevel="1" collapsed="1" x14ac:dyDescent="0.25">
      <c r="A256" s="28"/>
      <c r="B256" s="14" t="str">
        <f>CONCATENATE("     ","Utilities                                         ")</f>
        <v xml:space="preserve">     Utilities                                         </v>
      </c>
      <c r="C256" s="14"/>
      <c r="D256" s="1">
        <f>SUM(OSRRefD22_26x_0)</f>
        <v>8511.4599999999991</v>
      </c>
      <c r="E256" s="1"/>
      <c r="F256" s="5">
        <f t="shared" ref="F256:F257" si="130">IF(D$12=0,0,D256/D$12)</f>
        <v>1.7847168265000293E-2</v>
      </c>
      <c r="G256" s="1"/>
      <c r="H256" s="1">
        <f>SUM(OSRRefH22_26x_0)</f>
        <v>20286</v>
      </c>
      <c r="I256" s="1"/>
      <c r="J256" s="5">
        <f t="shared" ref="J256:J257" si="131">IF(H$12=0,0,H256/H$12)</f>
        <v>1.3461972793648956E-2</v>
      </c>
      <c r="K256" s="1"/>
      <c r="L256" s="1">
        <f t="shared" ref="L256:L257" si="132">+D256-H256</f>
        <v>-11774.54</v>
      </c>
      <c r="M256" s="1"/>
      <c r="N256" s="5">
        <f t="shared" ref="N256:N257" si="133">IF(H256=0,0,L256/H256)</f>
        <v>-0.58042689539583958</v>
      </c>
      <c r="O256" s="14"/>
      <c r="P256" s="1">
        <f>SUM(OSRRefP22_26x_0)</f>
        <v>8511.4599999999991</v>
      </c>
      <c r="Q256" s="1"/>
      <c r="R256" s="5">
        <f t="shared" ref="R256:R257" si="134">IF(P$12=0,0,P256/P$12)</f>
        <v>1.7847168265000293E-2</v>
      </c>
      <c r="S256" s="1"/>
      <c r="T256" s="1">
        <f>SUM(OSRRefT22_26x_0)</f>
        <v>20286</v>
      </c>
      <c r="U256" s="1"/>
      <c r="V256" s="5">
        <f t="shared" ref="V256:V257" si="135">IF(T$12=0,0,T256/T$12)</f>
        <v>1.3461972793648956E-2</v>
      </c>
      <c r="W256" s="1"/>
      <c r="X256" s="1">
        <f t="shared" ref="X256:X257" si="136">+P256-T256</f>
        <v>-11774.54</v>
      </c>
      <c r="Y256" s="1"/>
      <c r="Z256" s="5">
        <f t="shared" ref="Z256:Z257" si="137">IF(T256=0,0,X256/T256)</f>
        <v>-0.58042689539583958</v>
      </c>
    </row>
    <row r="257" spans="1:26" s="24" customFormat="1" hidden="1" outlineLevel="2" x14ac:dyDescent="0.25">
      <c r="A257" s="29"/>
      <c r="B257" s="11" t="str">
        <f>CONCATENATE("          ", "6274", " - ", "UTILITIES")</f>
        <v xml:space="preserve">          6274 - UTILITIES</v>
      </c>
      <c r="C257" s="11"/>
      <c r="D257" s="8">
        <v>8511.4599999999991</v>
      </c>
      <c r="E257" s="3"/>
      <c r="F257" s="7">
        <f t="shared" si="130"/>
        <v>1.7847168265000293E-2</v>
      </c>
      <c r="G257" s="3"/>
      <c r="H257" s="8">
        <v>20286</v>
      </c>
      <c r="I257" s="3"/>
      <c r="J257" s="7">
        <f t="shared" si="131"/>
        <v>1.3461972793648956E-2</v>
      </c>
      <c r="K257" s="3"/>
      <c r="L257" s="8">
        <f t="shared" si="132"/>
        <v>-11774.54</v>
      </c>
      <c r="M257" s="3"/>
      <c r="N257" s="7">
        <f t="shared" si="133"/>
        <v>-0.58042689539583958</v>
      </c>
      <c r="O257" s="11"/>
      <c r="P257" s="8">
        <v>8511.4599999999991</v>
      </c>
      <c r="Q257" s="3"/>
      <c r="R257" s="7">
        <f t="shared" si="134"/>
        <v>1.7847168265000293E-2</v>
      </c>
      <c r="S257" s="3"/>
      <c r="T257" s="8">
        <v>20286</v>
      </c>
      <c r="U257" s="3"/>
      <c r="V257" s="7">
        <f t="shared" si="135"/>
        <v>1.3461972793648956E-2</v>
      </c>
      <c r="W257" s="3"/>
      <c r="X257" s="8">
        <f t="shared" si="136"/>
        <v>-11774.54</v>
      </c>
      <c r="Y257" s="3"/>
      <c r="Z257" s="7">
        <f t="shared" si="137"/>
        <v>-0.58042689539583958</v>
      </c>
    </row>
    <row r="258" spans="1:26" s="61" customFormat="1" x14ac:dyDescent="0.25">
      <c r="A258" s="37"/>
      <c r="B258" s="37"/>
      <c r="C258" s="37"/>
      <c r="D258" s="1"/>
      <c r="E258" s="1"/>
      <c r="F258" s="5"/>
      <c r="G258" s="1"/>
      <c r="H258" s="1"/>
      <c r="I258" s="1"/>
      <c r="J258" s="5"/>
      <c r="K258" s="1"/>
      <c r="L258" s="1"/>
      <c r="M258" s="1"/>
      <c r="N258" s="5"/>
      <c r="O258" s="37"/>
      <c r="P258" s="1"/>
      <c r="Q258" s="1"/>
      <c r="R258" s="5"/>
      <c r="S258" s="1"/>
      <c r="T258" s="1"/>
      <c r="U258" s="1"/>
      <c r="V258" s="5"/>
      <c r="W258" s="1"/>
      <c r="X258" s="1"/>
      <c r="Y258" s="1"/>
      <c r="Z258" s="5"/>
    </row>
    <row r="259" spans="1:26" s="23" customFormat="1" collapsed="1" x14ac:dyDescent="0.25">
      <c r="A259" s="10"/>
      <c r="B259" s="25" t="s">
        <v>0</v>
      </c>
      <c r="C259" s="10"/>
      <c r="D259" s="4">
        <f>SUM(OSRRefD25x_0)</f>
        <v>199738.72999999998</v>
      </c>
      <c r="E259" s="4"/>
      <c r="F259" s="12">
        <f t="shared" ref="F259:F269" si="138">IF(D$12=0,0,D259/D$12)</f>
        <v>0.41882012291045972</v>
      </c>
      <c r="G259" s="4"/>
      <c r="H259" s="4">
        <f>SUM(OSRRefH25x_0)</f>
        <v>122669.41</v>
      </c>
      <c r="I259" s="4"/>
      <c r="J259" s="12">
        <f t="shared" ref="J259:J269" si="139">IF(H$12=0,0,H259/H$12)</f>
        <v>8.1404528247706262E-2</v>
      </c>
      <c r="K259" s="4"/>
      <c r="L259" s="4">
        <f t="shared" ref="L259:L269" si="140">+D259-H259</f>
        <v>77069.319999999978</v>
      </c>
      <c r="M259" s="4"/>
      <c r="N259" s="12">
        <f t="shared" ref="N259:N269" si="141">IF(H259=0,0,L259/H259)</f>
        <v>0.62826844932245107</v>
      </c>
      <c r="O259" s="10"/>
      <c r="P259" s="4">
        <f>SUM(OSRRefP25x_0)</f>
        <v>199738.72999999998</v>
      </c>
      <c r="Q259" s="4"/>
      <c r="R259" s="12">
        <f t="shared" ref="R259:R269" si="142">IF(P$12=0,0,P259/P$12)</f>
        <v>0.41882012291045972</v>
      </c>
      <c r="S259" s="4"/>
      <c r="T259" s="4">
        <f>SUM(OSRRefT25x_0)</f>
        <v>122669.41</v>
      </c>
      <c r="U259" s="4"/>
      <c r="V259" s="12">
        <f t="shared" ref="V259:V269" si="143">IF(T$12=0,0,T259/T$12)</f>
        <v>8.1404528247706262E-2</v>
      </c>
      <c r="W259" s="4"/>
      <c r="X259" s="4">
        <f t="shared" ref="X259:X269" si="144">+P259-T259</f>
        <v>77069.319999999978</v>
      </c>
      <c r="Y259" s="4"/>
      <c r="Z259" s="12">
        <f t="shared" ref="Z259:Z269" si="145">IF(T259=0,0,X259/T259)</f>
        <v>0.62826844932245107</v>
      </c>
    </row>
    <row r="260" spans="1:26" s="24" customFormat="1" hidden="1" outlineLevel="1" x14ac:dyDescent="0.25">
      <c r="A260" s="50"/>
      <c r="B260" s="11" t="str">
        <f>CONCATENATE("          ", "4098", " - ", "TAXABLE SALES-GRAD RENTALS")</f>
        <v xml:space="preserve">          4098 - TAXABLE SALES-GRAD RENTALS</v>
      </c>
      <c r="C260" s="11"/>
      <c r="D260" s="3">
        <f>0</f>
        <v>0</v>
      </c>
      <c r="E260" s="3"/>
      <c r="F260" s="22">
        <f t="shared" si="138"/>
        <v>0</v>
      </c>
      <c r="G260" s="3"/>
      <c r="H260" s="3">
        <f>--74.7</f>
        <v>74.7</v>
      </c>
      <c r="I260" s="3"/>
      <c r="J260" s="22">
        <f t="shared" si="139"/>
        <v>4.9571594581759692E-5</v>
      </c>
      <c r="K260" s="3"/>
      <c r="L260" s="3">
        <f t="shared" si="140"/>
        <v>-74.7</v>
      </c>
      <c r="M260" s="3"/>
      <c r="N260" s="22">
        <f t="shared" si="141"/>
        <v>-1</v>
      </c>
      <c r="O260" s="11"/>
      <c r="P260" s="3">
        <f>0</f>
        <v>0</v>
      </c>
      <c r="Q260" s="3"/>
      <c r="R260" s="22">
        <f t="shared" si="142"/>
        <v>0</v>
      </c>
      <c r="S260" s="3"/>
      <c r="T260" s="3">
        <f>--74.7</f>
        <v>74.7</v>
      </c>
      <c r="U260" s="3"/>
      <c r="V260" s="22">
        <f t="shared" si="143"/>
        <v>4.9571594581759692E-5</v>
      </c>
      <c r="W260" s="3"/>
      <c r="X260" s="3">
        <f t="shared" si="144"/>
        <v>-74.7</v>
      </c>
      <c r="Y260" s="3"/>
      <c r="Z260" s="22">
        <f t="shared" si="145"/>
        <v>-1</v>
      </c>
    </row>
    <row r="261" spans="1:26" s="24" customFormat="1" hidden="1" outlineLevel="1" x14ac:dyDescent="0.25">
      <c r="A261" s="50"/>
      <c r="B261" s="11" t="str">
        <f>CONCATENATE("          ", "4187", " - ", "NON-TAXABLE SALES-COMPUTER REP")</f>
        <v xml:space="preserve">          4187 - NON-TAXABLE SALES-COMPUTER REP</v>
      </c>
      <c r="C261" s="11"/>
      <c r="D261" s="3">
        <f>--19.99</f>
        <v>19.989999999999998</v>
      </c>
      <c r="E261" s="3"/>
      <c r="F261" s="22">
        <f t="shared" si="138"/>
        <v>4.191582802684332E-5</v>
      </c>
      <c r="G261" s="3"/>
      <c r="H261" s="3">
        <f>--781.89</f>
        <v>781.89</v>
      </c>
      <c r="I261" s="3"/>
      <c r="J261" s="22">
        <f t="shared" si="139"/>
        <v>5.1886926489333441E-4</v>
      </c>
      <c r="K261" s="3"/>
      <c r="L261" s="3">
        <f t="shared" si="140"/>
        <v>-761.9</v>
      </c>
      <c r="M261" s="3"/>
      <c r="N261" s="22">
        <f t="shared" si="141"/>
        <v>-0.97443374387701598</v>
      </c>
      <c r="O261" s="11"/>
      <c r="P261" s="3">
        <f>--19.99</f>
        <v>19.989999999999998</v>
      </c>
      <c r="Q261" s="3"/>
      <c r="R261" s="22">
        <f t="shared" si="142"/>
        <v>4.191582802684332E-5</v>
      </c>
      <c r="S261" s="3"/>
      <c r="T261" s="3">
        <f>--781.89</f>
        <v>781.89</v>
      </c>
      <c r="U261" s="3"/>
      <c r="V261" s="22">
        <f t="shared" si="143"/>
        <v>5.1886926489333441E-4</v>
      </c>
      <c r="W261" s="3"/>
      <c r="X261" s="3">
        <f t="shared" si="144"/>
        <v>-761.9</v>
      </c>
      <c r="Y261" s="3"/>
      <c r="Z261" s="22">
        <f t="shared" si="145"/>
        <v>-0.97443374387701598</v>
      </c>
    </row>
    <row r="262" spans="1:26" s="24" customFormat="1" hidden="1" outlineLevel="1" x14ac:dyDescent="0.25">
      <c r="A262" s="50"/>
      <c r="B262" s="11" t="str">
        <f>CONCATENATE("          ", "4198", " - ", "NON-TAXABLE SALES-GRAD RENTALS")</f>
        <v xml:space="preserve">          4198 - NON-TAXABLE SALES-GRAD RENTALS</v>
      </c>
      <c r="C262" s="11"/>
      <c r="D262" s="3">
        <f t="shared" ref="D262:D263" si="146">0</f>
        <v>0</v>
      </c>
      <c r="E262" s="3"/>
      <c r="F262" s="22">
        <f t="shared" si="138"/>
        <v>0</v>
      </c>
      <c r="G262" s="3"/>
      <c r="H262" s="3">
        <f>--255</f>
        <v>255</v>
      </c>
      <c r="I262" s="3"/>
      <c r="J262" s="22">
        <f t="shared" si="139"/>
        <v>1.692203027891395E-4</v>
      </c>
      <c r="K262" s="3"/>
      <c r="L262" s="3">
        <f t="shared" si="140"/>
        <v>-255</v>
      </c>
      <c r="M262" s="3"/>
      <c r="N262" s="22">
        <f t="shared" si="141"/>
        <v>-1</v>
      </c>
      <c r="O262" s="11"/>
      <c r="P262" s="3">
        <f t="shared" ref="P262:P263" si="147">0</f>
        <v>0</v>
      </c>
      <c r="Q262" s="3"/>
      <c r="R262" s="22">
        <f t="shared" si="142"/>
        <v>0</v>
      </c>
      <c r="S262" s="3"/>
      <c r="T262" s="3">
        <f>--255</f>
        <v>255</v>
      </c>
      <c r="U262" s="3"/>
      <c r="V262" s="22">
        <f t="shared" si="143"/>
        <v>1.692203027891395E-4</v>
      </c>
      <c r="W262" s="3"/>
      <c r="X262" s="3">
        <f t="shared" si="144"/>
        <v>-255</v>
      </c>
      <c r="Y262" s="3"/>
      <c r="Z262" s="22">
        <f t="shared" si="145"/>
        <v>-1</v>
      </c>
    </row>
    <row r="263" spans="1:26" s="24" customFormat="1" hidden="1" outlineLevel="1" x14ac:dyDescent="0.25">
      <c r="A263" s="50"/>
      <c r="B263" s="11" t="str">
        <f>CONCATENATE("          ", "4387", " - ", "SALES RETURN NON TAXABLE-COMPU")</f>
        <v xml:space="preserve">          4387 - SALES RETURN NON TAXABLE-COMPU</v>
      </c>
      <c r="C263" s="11"/>
      <c r="D263" s="3">
        <f t="shared" si="146"/>
        <v>0</v>
      </c>
      <c r="E263" s="3"/>
      <c r="F263" s="22">
        <f t="shared" si="138"/>
        <v>0</v>
      </c>
      <c r="G263" s="3"/>
      <c r="H263" s="3">
        <f>-630.8</f>
        <v>-630.79999999999995</v>
      </c>
      <c r="I263" s="3"/>
      <c r="J263" s="22">
        <f t="shared" si="139"/>
        <v>-4.1860457646819289E-4</v>
      </c>
      <c r="K263" s="3"/>
      <c r="L263" s="3">
        <f t="shared" si="140"/>
        <v>630.79999999999995</v>
      </c>
      <c r="M263" s="3"/>
      <c r="N263" s="22">
        <f t="shared" si="141"/>
        <v>-1</v>
      </c>
      <c r="O263" s="11"/>
      <c r="P263" s="3">
        <f t="shared" si="147"/>
        <v>0</v>
      </c>
      <c r="Q263" s="3"/>
      <c r="R263" s="22">
        <f t="shared" si="142"/>
        <v>0</v>
      </c>
      <c r="S263" s="3"/>
      <c r="T263" s="3">
        <f>-630.8</f>
        <v>-630.79999999999995</v>
      </c>
      <c r="U263" s="3"/>
      <c r="V263" s="22">
        <f t="shared" si="143"/>
        <v>-4.1860457646819289E-4</v>
      </c>
      <c r="W263" s="3"/>
      <c r="X263" s="3">
        <f t="shared" si="144"/>
        <v>630.79999999999995</v>
      </c>
      <c r="Y263" s="3"/>
      <c r="Z263" s="22">
        <f t="shared" si="145"/>
        <v>-1</v>
      </c>
    </row>
    <row r="264" spans="1:26" s="24" customFormat="1" hidden="1" outlineLevel="1" x14ac:dyDescent="0.25">
      <c r="A264" s="50"/>
      <c r="B264" s="11" t="str">
        <f>CONCATENATE("          ", "9150", " - ", "MISC. INCOME")</f>
        <v xml:space="preserve">          9150 - MISC. INCOME</v>
      </c>
      <c r="C264" s="11"/>
      <c r="D264" s="3">
        <f>--36016.32</f>
        <v>36016.32</v>
      </c>
      <c r="E264" s="3"/>
      <c r="F264" s="22">
        <f t="shared" si="138"/>
        <v>7.552045399098338E-2</v>
      </c>
      <c r="G264" s="3"/>
      <c r="H264" s="3">
        <f>--112609.96</f>
        <v>112609.96</v>
      </c>
      <c r="I264" s="3"/>
      <c r="J264" s="22">
        <f t="shared" si="139"/>
        <v>7.4728986385383875E-2</v>
      </c>
      <c r="K264" s="3"/>
      <c r="L264" s="3">
        <f t="shared" si="140"/>
        <v>-76593.640000000014</v>
      </c>
      <c r="M264" s="3"/>
      <c r="N264" s="22">
        <f t="shared" si="141"/>
        <v>-0.68016754468254859</v>
      </c>
      <c r="O264" s="11"/>
      <c r="P264" s="3">
        <f>--36016.32</f>
        <v>36016.32</v>
      </c>
      <c r="Q264" s="3"/>
      <c r="R264" s="22">
        <f t="shared" si="142"/>
        <v>7.552045399098338E-2</v>
      </c>
      <c r="S264" s="3"/>
      <c r="T264" s="3">
        <f>--112609.96</f>
        <v>112609.96</v>
      </c>
      <c r="U264" s="3"/>
      <c r="V264" s="22">
        <f t="shared" si="143"/>
        <v>7.4728986385383875E-2</v>
      </c>
      <c r="W264" s="3"/>
      <c r="X264" s="3">
        <f t="shared" si="144"/>
        <v>-76593.640000000014</v>
      </c>
      <c r="Y264" s="3"/>
      <c r="Z264" s="22">
        <f t="shared" si="145"/>
        <v>-0.68016754468254859</v>
      </c>
    </row>
    <row r="265" spans="1:26" s="24" customFormat="1" hidden="1" outlineLevel="1" x14ac:dyDescent="0.25">
      <c r="A265" s="50"/>
      <c r="B265" s="11" t="str">
        <f>CONCATENATE("          ", "9151", " - ", "MISC. INCOME")</f>
        <v xml:space="preserve">          9151 - MISC. INCOME</v>
      </c>
      <c r="C265" s="11"/>
      <c r="D265" s="3">
        <f>0</f>
        <v>0</v>
      </c>
      <c r="E265" s="3"/>
      <c r="F265" s="22">
        <f t="shared" si="138"/>
        <v>0</v>
      </c>
      <c r="G265" s="3"/>
      <c r="H265" s="3">
        <f>-94.49</f>
        <v>-94.49</v>
      </c>
      <c r="I265" s="3"/>
      <c r="J265" s="22">
        <f t="shared" si="139"/>
        <v>-6.2704417296258002E-5</v>
      </c>
      <c r="K265" s="3"/>
      <c r="L265" s="3">
        <f t="shared" si="140"/>
        <v>94.49</v>
      </c>
      <c r="M265" s="3"/>
      <c r="N265" s="22">
        <f t="shared" si="141"/>
        <v>-1</v>
      </c>
      <c r="O265" s="11"/>
      <c r="P265" s="3">
        <f>0</f>
        <v>0</v>
      </c>
      <c r="Q265" s="3"/>
      <c r="R265" s="22">
        <f t="shared" si="142"/>
        <v>0</v>
      </c>
      <c r="S265" s="3"/>
      <c r="T265" s="3">
        <f>-94.49</f>
        <v>-94.49</v>
      </c>
      <c r="U265" s="3"/>
      <c r="V265" s="22">
        <f t="shared" si="143"/>
        <v>-6.2704417296258002E-5</v>
      </c>
      <c r="W265" s="3"/>
      <c r="X265" s="3">
        <f t="shared" si="144"/>
        <v>94.49</v>
      </c>
      <c r="Y265" s="3"/>
      <c r="Z265" s="22">
        <f t="shared" si="145"/>
        <v>-1</v>
      </c>
    </row>
    <row r="266" spans="1:26" s="24" customFormat="1" hidden="1" outlineLevel="1" x14ac:dyDescent="0.25">
      <c r="A266" s="50"/>
      <c r="B266" s="11" t="str">
        <f>CONCATENATE("          ", "9152", " - ", "MISC. INCOME")</f>
        <v xml:space="preserve">          9152 - MISC. INCOME</v>
      </c>
      <c r="C266" s="11"/>
      <c r="D266" s="3">
        <f>--1474.39</f>
        <v>1474.39</v>
      </c>
      <c r="E266" s="3"/>
      <c r="F266" s="22">
        <f t="shared" si="138"/>
        <v>3.0915596640569048E-3</v>
      </c>
      <c r="G266" s="3"/>
      <c r="H266" s="3">
        <f>0</f>
        <v>0</v>
      </c>
      <c r="I266" s="3"/>
      <c r="J266" s="22">
        <f t="shared" si="139"/>
        <v>0</v>
      </c>
      <c r="K266" s="3"/>
      <c r="L266" s="3">
        <f t="shared" si="140"/>
        <v>1474.39</v>
      </c>
      <c r="M266" s="3"/>
      <c r="N266" s="22">
        <f t="shared" si="141"/>
        <v>0</v>
      </c>
      <c r="O266" s="11"/>
      <c r="P266" s="3">
        <f>--1474.39</f>
        <v>1474.39</v>
      </c>
      <c r="Q266" s="3"/>
      <c r="R266" s="22">
        <f t="shared" si="142"/>
        <v>3.0915596640569048E-3</v>
      </c>
      <c r="S266" s="3"/>
      <c r="T266" s="3">
        <f>0</f>
        <v>0</v>
      </c>
      <c r="U266" s="3"/>
      <c r="V266" s="22">
        <f t="shared" si="143"/>
        <v>0</v>
      </c>
      <c r="W266" s="3"/>
      <c r="X266" s="3">
        <f t="shared" si="144"/>
        <v>1474.39</v>
      </c>
      <c r="Y266" s="3"/>
      <c r="Z266" s="22">
        <f t="shared" si="145"/>
        <v>0</v>
      </c>
    </row>
    <row r="267" spans="1:26" s="24" customFormat="1" hidden="1" outlineLevel="1" x14ac:dyDescent="0.25">
      <c r="A267" s="50"/>
      <c r="B267" s="11" t="str">
        <f>CONCATENATE("          ", "9160", " - ", "MISC. INCOME")</f>
        <v xml:space="preserve">          9160 - MISC. INCOME</v>
      </c>
      <c r="C267" s="11"/>
      <c r="D267" s="3">
        <f>--1363.63</f>
        <v>1363.63</v>
      </c>
      <c r="E267" s="3"/>
      <c r="F267" s="22">
        <f t="shared" si="138"/>
        <v>2.8593136854549455E-3</v>
      </c>
      <c r="G267" s="3"/>
      <c r="H267" s="3">
        <f>--5992.1</f>
        <v>5992.1</v>
      </c>
      <c r="I267" s="3"/>
      <c r="J267" s="22">
        <f t="shared" si="139"/>
        <v>3.9764116719325599E-3</v>
      </c>
      <c r="K267" s="3"/>
      <c r="L267" s="3">
        <f t="shared" si="140"/>
        <v>-4628.47</v>
      </c>
      <c r="M267" s="3"/>
      <c r="N267" s="22">
        <f t="shared" si="141"/>
        <v>-0.77242869778541745</v>
      </c>
      <c r="O267" s="11"/>
      <c r="P267" s="3">
        <f>--1363.63</f>
        <v>1363.63</v>
      </c>
      <c r="Q267" s="3"/>
      <c r="R267" s="22">
        <f t="shared" si="142"/>
        <v>2.8593136854549455E-3</v>
      </c>
      <c r="S267" s="3"/>
      <c r="T267" s="3">
        <f>--5992.1</f>
        <v>5992.1</v>
      </c>
      <c r="U267" s="3"/>
      <c r="V267" s="22">
        <f t="shared" si="143"/>
        <v>3.9764116719325599E-3</v>
      </c>
      <c r="W267" s="3"/>
      <c r="X267" s="3">
        <f t="shared" si="144"/>
        <v>-4628.47</v>
      </c>
      <c r="Y267" s="3"/>
      <c r="Z267" s="22">
        <f t="shared" si="145"/>
        <v>-0.77242869778541745</v>
      </c>
    </row>
    <row r="268" spans="1:26" s="24" customFormat="1" hidden="1" outlineLevel="1" x14ac:dyDescent="0.25">
      <c r="A268" s="50"/>
      <c r="B268" s="11" t="str">
        <f>CONCATENATE("          ", "9163", " - ", "MISC. INCOME")</f>
        <v xml:space="preserve">          9163 - MISC. INCOME</v>
      </c>
      <c r="C268" s="11"/>
      <c r="D268" s="3">
        <f>--160663.9</f>
        <v>160663.9</v>
      </c>
      <c r="E268" s="3"/>
      <c r="F268" s="22">
        <f t="shared" si="138"/>
        <v>0.3368864633577765</v>
      </c>
      <c r="G268" s="3"/>
      <c r="H268" s="3">
        <f>0</f>
        <v>0</v>
      </c>
      <c r="I268" s="3"/>
      <c r="J268" s="22">
        <f t="shared" si="139"/>
        <v>0</v>
      </c>
      <c r="K268" s="3"/>
      <c r="L268" s="3">
        <f t="shared" si="140"/>
        <v>160663.9</v>
      </c>
      <c r="M268" s="3"/>
      <c r="N268" s="22">
        <f t="shared" si="141"/>
        <v>0</v>
      </c>
      <c r="O268" s="11"/>
      <c r="P268" s="3">
        <f>--160663.9</f>
        <v>160663.9</v>
      </c>
      <c r="Q268" s="3"/>
      <c r="R268" s="22">
        <f t="shared" si="142"/>
        <v>0.3368864633577765</v>
      </c>
      <c r="S268" s="3"/>
      <c r="T268" s="3">
        <f>0</f>
        <v>0</v>
      </c>
      <c r="U268" s="3"/>
      <c r="V268" s="22">
        <f t="shared" si="143"/>
        <v>0</v>
      </c>
      <c r="W268" s="3"/>
      <c r="X268" s="3">
        <f t="shared" si="144"/>
        <v>160663.9</v>
      </c>
      <c r="Y268" s="3"/>
      <c r="Z268" s="22">
        <f t="shared" si="145"/>
        <v>0</v>
      </c>
    </row>
    <row r="269" spans="1:26" s="24" customFormat="1" hidden="1" outlineLevel="1" x14ac:dyDescent="0.25">
      <c r="A269" s="50"/>
      <c r="B269" s="11" t="str">
        <f>CONCATENATE("          ", "9165", " - ", "OTHER INCOME")</f>
        <v xml:space="preserve">          9165 - OTHER INCOME</v>
      </c>
      <c r="C269" s="11"/>
      <c r="D269" s="3">
        <f>--200.5</f>
        <v>200.5</v>
      </c>
      <c r="E269" s="3"/>
      <c r="F269" s="22">
        <f t="shared" si="138"/>
        <v>4.2041638416118491E-4</v>
      </c>
      <c r="G269" s="3"/>
      <c r="H269" s="3">
        <f>--3681.05</f>
        <v>3681.05</v>
      </c>
      <c r="I269" s="3"/>
      <c r="J269" s="22">
        <f t="shared" si="139"/>
        <v>2.4427780218900471E-3</v>
      </c>
      <c r="K269" s="3"/>
      <c r="L269" s="3">
        <f t="shared" si="140"/>
        <v>-3480.55</v>
      </c>
      <c r="M269" s="3"/>
      <c r="N269" s="22">
        <f t="shared" si="141"/>
        <v>-0.9455318455332038</v>
      </c>
      <c r="O269" s="11"/>
      <c r="P269" s="3">
        <f>--200.5</f>
        <v>200.5</v>
      </c>
      <c r="Q269" s="3"/>
      <c r="R269" s="22">
        <f t="shared" si="142"/>
        <v>4.2041638416118491E-4</v>
      </c>
      <c r="S269" s="3"/>
      <c r="T269" s="3">
        <f>--3681.05</f>
        <v>3681.05</v>
      </c>
      <c r="U269" s="3"/>
      <c r="V269" s="22">
        <f t="shared" si="143"/>
        <v>2.4427780218900471E-3</v>
      </c>
      <c r="W269" s="3"/>
      <c r="X269" s="3">
        <f t="shared" si="144"/>
        <v>-3480.55</v>
      </c>
      <c r="Y269" s="3"/>
      <c r="Z269" s="22">
        <f t="shared" si="145"/>
        <v>-0.9455318455332038</v>
      </c>
    </row>
    <row r="270" spans="1:26" x14ac:dyDescent="0.25">
      <c r="A270" s="9"/>
      <c r="B270" s="10"/>
      <c r="C270" s="10"/>
      <c r="D270" s="2"/>
      <c r="E270" s="2"/>
      <c r="F270" s="6"/>
      <c r="G270" s="2"/>
      <c r="H270" s="2"/>
      <c r="I270" s="2"/>
      <c r="J270" s="6"/>
      <c r="K270" s="2"/>
      <c r="L270" s="2"/>
      <c r="M270" s="2"/>
      <c r="N270" s="6"/>
      <c r="O270" s="10"/>
      <c r="P270" s="2"/>
      <c r="Q270" s="2"/>
      <c r="R270" s="6"/>
      <c r="S270" s="2"/>
      <c r="T270" s="2"/>
      <c r="U270" s="2"/>
      <c r="V270" s="6"/>
      <c r="W270" s="2"/>
      <c r="X270" s="2"/>
      <c r="Y270" s="2"/>
      <c r="Z270" s="6"/>
    </row>
    <row r="271" spans="1:26" s="23" customFormat="1" x14ac:dyDescent="0.25">
      <c r="A271" s="10"/>
      <c r="B271" s="26" t="s">
        <v>3</v>
      </c>
      <c r="C271" s="26"/>
      <c r="D271" s="19">
        <f>+D162-D164+D259</f>
        <v>-360053.69000000006</v>
      </c>
      <c r="E271" s="13"/>
      <c r="F271" s="20">
        <f>IF(D$12=0,0,D271/D$12)</f>
        <v>-0.75497491498100844</v>
      </c>
      <c r="G271" s="13"/>
      <c r="H271" s="19">
        <f>+H162-H164+H259</f>
        <v>-472616.02000000025</v>
      </c>
      <c r="I271" s="13"/>
      <c r="J271" s="20">
        <f>IF(H$12=0,0,H271/H$12)</f>
        <v>-0.31363225885254137</v>
      </c>
      <c r="K271" s="16"/>
      <c r="L271" s="19">
        <f>+D271-H271</f>
        <v>112562.33000000019</v>
      </c>
      <c r="M271" s="16"/>
      <c r="N271" s="20">
        <f>IF(H271=0,0,L271/H271)</f>
        <v>-0.23816867231880995</v>
      </c>
      <c r="O271" s="25"/>
      <c r="P271" s="19">
        <f>+P162-P164+P259</f>
        <v>-360053.69000000006</v>
      </c>
      <c r="Q271" s="13"/>
      <c r="R271" s="20">
        <f>IF(P$12=0,0,P271/P$12)</f>
        <v>-0.75497491498100844</v>
      </c>
      <c r="S271" s="13"/>
      <c r="T271" s="19">
        <f>+T162-T164+T259</f>
        <v>-472616.02000000025</v>
      </c>
      <c r="U271" s="13"/>
      <c r="V271" s="20">
        <f>IF(T$12=0,0,T271/T$12)</f>
        <v>-0.31363225885254137</v>
      </c>
      <c r="W271" s="16"/>
      <c r="X271" s="19">
        <f>+P271-T271</f>
        <v>112562.33000000019</v>
      </c>
      <c r="Y271" s="16"/>
      <c r="Z271" s="20">
        <f>IF(T271=0,0,X271/T271)</f>
        <v>-0.23816867231880995</v>
      </c>
    </row>
    <row r="272" spans="1:26" x14ac:dyDescent="0.25">
      <c r="A272" s="9"/>
      <c r="B272" s="10"/>
      <c r="C272" s="9"/>
      <c r="D272" s="2"/>
      <c r="E272" s="2"/>
      <c r="F272" s="6"/>
      <c r="G272" s="2"/>
      <c r="H272" s="2"/>
      <c r="I272" s="2"/>
      <c r="J272" s="6"/>
      <c r="K272" s="2"/>
      <c r="L272" s="2"/>
      <c r="M272" s="2"/>
      <c r="N272" s="6"/>
      <c r="P272" s="2"/>
      <c r="Q272" s="2"/>
      <c r="R272" s="6"/>
      <c r="S272" s="2"/>
      <c r="T272" s="2"/>
      <c r="U272" s="2"/>
      <c r="V272" s="6"/>
      <c r="W272" s="2"/>
      <c r="X272" s="2"/>
      <c r="Y272" s="2"/>
      <c r="Z272" s="6"/>
    </row>
    <row r="273" spans="1:26" s="23" customFormat="1" x14ac:dyDescent="0.25">
      <c r="A273" s="51"/>
      <c r="B273" s="10" t="s">
        <v>13</v>
      </c>
      <c r="C273" s="10"/>
      <c r="D273" s="4">
        <v>234703.24</v>
      </c>
      <c r="E273" s="4"/>
      <c r="F273" s="12">
        <f>IF(D$12=0,0,D273/D$12)</f>
        <v>0.49213509980905124</v>
      </c>
      <c r="G273" s="4"/>
      <c r="H273" s="4">
        <v>313331.27</v>
      </c>
      <c r="I273" s="4"/>
      <c r="J273" s="12">
        <f>IF(H$12=0,0,H273/H$12)</f>
        <v>0.20792946032433579</v>
      </c>
      <c r="K273" s="4"/>
      <c r="L273" s="4">
        <f>+D273-H273</f>
        <v>-78628.030000000028</v>
      </c>
      <c r="M273" s="4"/>
      <c r="N273" s="12">
        <f>IF(H273=0,0,L273/H273)</f>
        <v>-0.25094217375750599</v>
      </c>
      <c r="O273" s="10"/>
      <c r="P273" s="4">
        <v>234703.24</v>
      </c>
      <c r="Q273" s="4"/>
      <c r="R273" s="12">
        <f>IF(P$12=0,0,P273/P$12)</f>
        <v>0.49213509980905124</v>
      </c>
      <c r="S273" s="4"/>
      <c r="T273" s="4">
        <v>313331.27</v>
      </c>
      <c r="U273" s="4"/>
      <c r="V273" s="12">
        <f>IF(T$12=0,0,T273/T$12)</f>
        <v>0.20792946032433579</v>
      </c>
      <c r="W273" s="4"/>
      <c r="X273" s="4">
        <f>+P273-T273</f>
        <v>-78628.030000000028</v>
      </c>
      <c r="Y273" s="4"/>
      <c r="Z273" s="12">
        <f>IF(T273=0,0,X273/T273)</f>
        <v>-0.25094217375750599</v>
      </c>
    </row>
    <row r="274" spans="1:26" x14ac:dyDescent="0.25">
      <c r="A274" s="9"/>
      <c r="B274" s="10"/>
      <c r="C274" s="10"/>
      <c r="D274" s="2"/>
      <c r="E274" s="2"/>
      <c r="F274" s="6"/>
      <c r="G274" s="2"/>
      <c r="H274" s="2"/>
      <c r="I274" s="2"/>
      <c r="J274" s="6"/>
      <c r="K274" s="2"/>
      <c r="L274" s="2"/>
      <c r="M274" s="2"/>
      <c r="N274" s="6"/>
      <c r="O274" s="10"/>
      <c r="P274" s="2"/>
      <c r="Q274" s="2"/>
      <c r="R274" s="6"/>
      <c r="S274" s="2"/>
      <c r="T274" s="2"/>
      <c r="U274" s="2"/>
      <c r="V274" s="6"/>
      <c r="W274" s="2"/>
      <c r="X274" s="2"/>
      <c r="Y274" s="2"/>
      <c r="Z274" s="6"/>
    </row>
    <row r="275" spans="1:26" s="23" customFormat="1" ht="15.75" thickBot="1" x14ac:dyDescent="0.3">
      <c r="A275" s="10"/>
      <c r="B275" s="26" t="s">
        <v>4</v>
      </c>
      <c r="C275" s="26"/>
      <c r="D275" s="35">
        <f>+D271-D273</f>
        <v>-594756.93000000005</v>
      </c>
      <c r="E275" s="13"/>
      <c r="F275" s="30">
        <f>IF(D$12=0,0,D275/D$12)</f>
        <v>-1.2471100147900598</v>
      </c>
      <c r="G275" s="13"/>
      <c r="H275" s="35">
        <f>+H271-H273</f>
        <v>-785947.29000000027</v>
      </c>
      <c r="I275" s="13"/>
      <c r="J275" s="30">
        <f>IF(H$12=0,0,H275/H$12)</f>
        <v>-0.52156171917687721</v>
      </c>
      <c r="K275" s="16"/>
      <c r="L275" s="35">
        <f>D275-H275</f>
        <v>191190.36000000022</v>
      </c>
      <c r="M275" s="16"/>
      <c r="N275" s="30">
        <f>IF(H275=0,0,L275/H275)</f>
        <v>-0.24326104617015748</v>
      </c>
      <c r="O275" s="25"/>
      <c r="P275" s="35">
        <f>+P271-P273</f>
        <v>-594756.93000000005</v>
      </c>
      <c r="Q275" s="13"/>
      <c r="R275" s="30">
        <f>IF(P$12=0,0,P275/P$12)</f>
        <v>-1.2471100147900598</v>
      </c>
      <c r="S275" s="13"/>
      <c r="T275" s="35">
        <f>+T271-T273</f>
        <v>-785947.29000000027</v>
      </c>
      <c r="U275" s="13"/>
      <c r="V275" s="30">
        <f>IF(T$12=0,0,T275/T$12)</f>
        <v>-0.52156171917687721</v>
      </c>
      <c r="W275" s="16"/>
      <c r="X275" s="35">
        <f>P275-T275</f>
        <v>191190.36000000022</v>
      </c>
      <c r="Y275" s="16"/>
      <c r="Z275" s="30">
        <f>IF(T275=0,0,X275/T275)</f>
        <v>-0.24326104617015748</v>
      </c>
    </row>
    <row r="276" spans="1:26" ht="15.75" thickTop="1" x14ac:dyDescent="0.25">
      <c r="A276" s="9"/>
      <c r="B276" s="9"/>
      <c r="C276" s="9"/>
      <c r="D276" s="2"/>
      <c r="E276" s="2"/>
      <c r="F276" s="6"/>
      <c r="G276" s="2"/>
      <c r="H276" s="2"/>
      <c r="I276" s="2"/>
      <c r="J276" s="6"/>
      <c r="K276" s="2"/>
      <c r="L276" s="2"/>
      <c r="M276" s="2"/>
      <c r="N276" s="6"/>
      <c r="P276" s="2"/>
      <c r="Q276" s="2"/>
      <c r="R276" s="6"/>
      <c r="S276" s="2"/>
      <c r="T276" s="2"/>
      <c r="U276" s="2"/>
      <c r="V276" s="6"/>
      <c r="W276" s="2"/>
      <c r="X276" s="2"/>
      <c r="Y276" s="2"/>
      <c r="Z276" s="6"/>
    </row>
    <row r="277" spans="1:26" s="23" customFormat="1" x14ac:dyDescent="0.25">
      <c r="A277" s="51"/>
      <c r="B277" s="10" t="s">
        <v>2</v>
      </c>
      <c r="C277" s="10"/>
      <c r="D277" s="4">
        <f>--463883.16</f>
        <v>463883.16</v>
      </c>
      <c r="E277" s="4"/>
      <c r="F277" s="12">
        <f t="shared" ref="F277:F278" si="148">IF(D$12=0,0,D277/D$12)</f>
        <v>0.97268868229658045</v>
      </c>
      <c r="G277" s="4"/>
      <c r="H277" s="4">
        <f>--29008.14</f>
        <v>29008.14</v>
      </c>
      <c r="I277" s="4"/>
      <c r="J277" s="12">
        <f t="shared" ref="J277:J278" si="149">IF(H$12=0,0,H277/H$12)</f>
        <v>1.9250063663332349E-2</v>
      </c>
      <c r="K277" s="4"/>
      <c r="L277" s="4">
        <f t="shared" ref="L277:L278" si="150">+D277-H277</f>
        <v>434875.01999999996</v>
      </c>
      <c r="M277" s="4"/>
      <c r="N277" s="12">
        <f t="shared" ref="N277:N278" si="151">IF(H277=0,0,L277/H277)</f>
        <v>14.991482390804787</v>
      </c>
      <c r="O277" s="10"/>
      <c r="P277" s="4">
        <f>--463883.16</f>
        <v>463883.16</v>
      </c>
      <c r="Q277" s="4"/>
      <c r="R277" s="12">
        <f t="shared" ref="R277:R278" si="152">IF(P$12=0,0,P277/P$12)</f>
        <v>0.97268868229658045</v>
      </c>
      <c r="S277" s="4"/>
      <c r="T277" s="4">
        <f>--29008.14</f>
        <v>29008.14</v>
      </c>
      <c r="U277" s="4"/>
      <c r="V277" s="12">
        <f t="shared" ref="V277:V278" si="153">IF(T$12=0,0,T277/T$12)</f>
        <v>1.9250063663332349E-2</v>
      </c>
      <c r="W277" s="4"/>
      <c r="X277" s="4">
        <f t="shared" ref="X277:X278" si="154">+P277-T277</f>
        <v>434875.01999999996</v>
      </c>
      <c r="Y277" s="4"/>
      <c r="Z277" s="12">
        <f t="shared" ref="Z277:Z278" si="155">IF(T277=0,0,X277/T277)</f>
        <v>14.991482390804787</v>
      </c>
    </row>
    <row r="278" spans="1:26" s="23" customFormat="1" x14ac:dyDescent="0.25">
      <c r="A278" s="51"/>
      <c r="B278" s="10" t="s">
        <v>1</v>
      </c>
      <c r="C278" s="10"/>
      <c r="D278" s="4">
        <f>-81628.27</f>
        <v>-81628.27</v>
      </c>
      <c r="E278" s="4"/>
      <c r="F278" s="12">
        <f t="shared" si="148"/>
        <v>-0.17116140707597469</v>
      </c>
      <c r="G278" s="4"/>
      <c r="H278" s="4">
        <f>--16534.29</f>
        <v>16534.29</v>
      </c>
      <c r="I278" s="4"/>
      <c r="J278" s="12">
        <f t="shared" si="149"/>
        <v>1.0972304157660555E-2</v>
      </c>
      <c r="K278" s="4"/>
      <c r="L278" s="4">
        <f t="shared" si="150"/>
        <v>-98162.559999999998</v>
      </c>
      <c r="M278" s="4"/>
      <c r="N278" s="12">
        <f t="shared" si="151"/>
        <v>-5.9369080861651753</v>
      </c>
      <c r="O278" s="10"/>
      <c r="P278" s="4">
        <f>-81628.27</f>
        <v>-81628.27</v>
      </c>
      <c r="Q278" s="4"/>
      <c r="R278" s="12">
        <f t="shared" si="152"/>
        <v>-0.17116140707597469</v>
      </c>
      <c r="S278" s="4"/>
      <c r="T278" s="4">
        <f>--16534.29</f>
        <v>16534.29</v>
      </c>
      <c r="U278" s="4"/>
      <c r="V278" s="12">
        <f t="shared" si="153"/>
        <v>1.0972304157660555E-2</v>
      </c>
      <c r="W278" s="4"/>
      <c r="X278" s="4">
        <f t="shared" si="154"/>
        <v>-98162.559999999998</v>
      </c>
      <c r="Y278" s="4"/>
      <c r="Z278" s="12">
        <f t="shared" si="155"/>
        <v>-5.9369080861651753</v>
      </c>
    </row>
    <row r="279" spans="1:26" x14ac:dyDescent="0.25">
      <c r="A279" s="9"/>
      <c r="B279" s="9"/>
      <c r="C279" s="9"/>
      <c r="D279" s="2"/>
      <c r="E279" s="2"/>
      <c r="F279" s="6"/>
      <c r="G279" s="2"/>
      <c r="H279" s="2"/>
      <c r="I279" s="2"/>
      <c r="J279" s="6"/>
      <c r="K279" s="2"/>
      <c r="L279" s="2"/>
      <c r="M279" s="2"/>
      <c r="N279" s="6"/>
      <c r="P279" s="2"/>
      <c r="Q279" s="2"/>
      <c r="R279" s="6"/>
      <c r="S279" s="2"/>
      <c r="T279" s="2"/>
      <c r="U279" s="2"/>
      <c r="V279" s="6"/>
      <c r="W279" s="2"/>
      <c r="X279" s="2"/>
      <c r="Y279" s="2"/>
      <c r="Z279" s="6"/>
    </row>
    <row r="280" spans="1:26" s="23" customFormat="1" ht="15.75" thickBot="1" x14ac:dyDescent="0.3">
      <c r="A280" s="10"/>
      <c r="B280" s="26" t="s">
        <v>5</v>
      </c>
      <c r="C280" s="26"/>
      <c r="D280" s="31">
        <f>SUM(D275:D279)</f>
        <v>-212502.0400000001</v>
      </c>
      <c r="E280" s="13"/>
      <c r="F280" s="32">
        <f>IF(D$12=0,0,D280/D$12)</f>
        <v>-0.44558273956945393</v>
      </c>
      <c r="G280" s="13"/>
      <c r="H280" s="31">
        <f>SUM(H275:H279)</f>
        <v>-740404.86000000022</v>
      </c>
      <c r="I280" s="13"/>
      <c r="J280" s="32">
        <f>IF(H$12=0,0,H280/H$12)</f>
        <v>-0.49133935135588425</v>
      </c>
      <c r="K280" s="16"/>
      <c r="L280" s="31">
        <f>+D280-H280</f>
        <v>527902.82000000007</v>
      </c>
      <c r="M280" s="16"/>
      <c r="N280" s="32">
        <f>IF(H280=0,0,L280/H280)</f>
        <v>-0.71299210542729274</v>
      </c>
      <c r="O280" s="25"/>
      <c r="P280" s="31">
        <f>SUM(P275:P279)</f>
        <v>-212502.0400000001</v>
      </c>
      <c r="Q280" s="13"/>
      <c r="R280" s="32">
        <f>IF(P$12=0,0,P280/P$12)</f>
        <v>-0.44558273956945393</v>
      </c>
      <c r="S280" s="13"/>
      <c r="T280" s="31">
        <f>SUM(T275:T279)</f>
        <v>-740404.86000000022</v>
      </c>
      <c r="U280" s="13"/>
      <c r="V280" s="32">
        <f>IF(T$12=0,0,T280/T$12)</f>
        <v>-0.49133935135588425</v>
      </c>
      <c r="W280" s="16"/>
      <c r="X280" s="31">
        <f>+P280-T280</f>
        <v>527902.82000000007</v>
      </c>
      <c r="Y280" s="16"/>
      <c r="Z280" s="32">
        <f>IF(T280=0,0,X280/T280)</f>
        <v>-0.71299210542729274</v>
      </c>
    </row>
    <row r="281" spans="1:26" ht="15.75" thickTop="1" x14ac:dyDescent="0.25">
      <c r="A281" s="9"/>
      <c r="C281" s="9"/>
      <c r="D281" s="17"/>
      <c r="E281" s="17"/>
      <c r="G281" s="17"/>
      <c r="H281" s="17"/>
      <c r="I281" s="17"/>
      <c r="J281" s="43"/>
      <c r="K281" s="17"/>
      <c r="L281" s="17"/>
      <c r="M281" s="17"/>
      <c r="P281" s="17"/>
      <c r="Q281" s="17"/>
      <c r="R281" s="43"/>
      <c r="S281" s="17"/>
      <c r="T281" s="17"/>
      <c r="U281" s="17"/>
      <c r="V281" s="43"/>
      <c r="W281" s="17"/>
      <c r="X281" s="17"/>
    </row>
    <row r="282" spans="1:26" x14ac:dyDescent="0.25">
      <c r="A282" s="9"/>
      <c r="B282" s="59">
        <v>44109.413480671297</v>
      </c>
      <c r="D282" s="17"/>
      <c r="E282" s="17"/>
      <c r="G282" s="17"/>
      <c r="H282" s="17"/>
      <c r="I282" s="17"/>
      <c r="J282" s="43"/>
      <c r="K282" s="17"/>
      <c r="L282" s="17"/>
      <c r="M282" s="17"/>
      <c r="P282" s="17"/>
      <c r="Q282" s="17"/>
      <c r="R282" s="43"/>
      <c r="S282" s="17"/>
      <c r="T282" s="17"/>
      <c r="U282" s="17"/>
      <c r="V282" s="43"/>
      <c r="W282" s="17"/>
      <c r="X282" s="17"/>
    </row>
    <row r="283" spans="1:26" x14ac:dyDescent="0.25">
      <c r="A283" s="9"/>
      <c r="B283" s="62" t="s">
        <v>313</v>
      </c>
      <c r="D283" s="17"/>
      <c r="E283" s="17"/>
      <c r="G283" s="17"/>
      <c r="H283" s="17"/>
      <c r="I283" s="17"/>
      <c r="J283" s="43"/>
      <c r="K283" s="17"/>
      <c r="L283" s="17"/>
      <c r="M283" s="17"/>
      <c r="P283" s="17"/>
      <c r="Q283" s="17"/>
      <c r="R283" s="43"/>
      <c r="S283" s="17"/>
      <c r="T283" s="17"/>
      <c r="U283" s="17"/>
      <c r="V283" s="43"/>
      <c r="W283" s="17"/>
      <c r="X283" s="17"/>
    </row>
    <row r="284" spans="1:26" x14ac:dyDescent="0.25">
      <c r="A284" s="9"/>
      <c r="B284" s="56"/>
      <c r="D284" s="17"/>
      <c r="E284" s="17"/>
      <c r="G284" s="17"/>
      <c r="H284" s="17"/>
      <c r="I284" s="17"/>
      <c r="J284" s="43"/>
      <c r="K284" s="17"/>
      <c r="L284" s="17"/>
      <c r="M284" s="17"/>
      <c r="P284" s="17"/>
      <c r="Q284" s="17"/>
      <c r="R284" s="43"/>
      <c r="S284" s="17"/>
      <c r="T284" s="17"/>
      <c r="U284" s="17"/>
      <c r="V284" s="43"/>
      <c r="W284" s="17"/>
      <c r="X284" s="17"/>
    </row>
    <row r="285" spans="1:26" x14ac:dyDescent="0.25">
      <c r="D285" s="17"/>
      <c r="E285" s="17"/>
      <c r="G285" s="17"/>
      <c r="H285" s="17"/>
      <c r="I285" s="17"/>
      <c r="J285" s="43"/>
      <c r="K285" s="17"/>
      <c r="L285" s="17"/>
      <c r="M285" s="17"/>
      <c r="P285" s="17"/>
      <c r="Q285" s="17"/>
      <c r="R285" s="43"/>
      <c r="S285" s="17"/>
      <c r="T285" s="17"/>
      <c r="U285" s="17"/>
      <c r="V285" s="43"/>
      <c r="W285" s="17"/>
      <c r="X28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296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296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25">
      <c r="A22" s="10"/>
      <c r="B22" s="26" t="s">
        <v>3</v>
      </c>
      <c r="C22" s="26"/>
      <c r="D22" s="19">
        <f>+D16-D18+D20</f>
        <v>0</v>
      </c>
      <c r="E22" s="13"/>
      <c r="F22" s="20">
        <f>IF(D$12=0,0,D22/D$12)</f>
        <v>0</v>
      </c>
      <c r="G22" s="13"/>
      <c r="H22" s="19">
        <f>+H16-H18+H20</f>
        <v>0</v>
      </c>
      <c r="I22" s="13"/>
      <c r="J22" s="20">
        <f>IF(H$12=0,0,H22/H$12)</f>
        <v>0</v>
      </c>
      <c r="K22" s="16"/>
      <c r="L22" s="19">
        <f>+D22-H22</f>
        <v>0</v>
      </c>
      <c r="M22" s="16"/>
      <c r="N22" s="20">
        <f>IF(H22=0,0,L22/H22)</f>
        <v>0</v>
      </c>
      <c r="O22" s="25"/>
      <c r="P22" s="19">
        <f>+P16-P18+P20</f>
        <v>0</v>
      </c>
      <c r="Q22" s="13"/>
      <c r="R22" s="20">
        <f>IF(P$12=0,0,P22/P$12)</f>
        <v>0</v>
      </c>
      <c r="S22" s="13"/>
      <c r="T22" s="19">
        <f>+T16-T18+T20</f>
        <v>0</v>
      </c>
      <c r="U22" s="13"/>
      <c r="V22" s="20">
        <f>IF(T$12=0,0,T22/T$12)</f>
        <v>0</v>
      </c>
      <c r="W22" s="16"/>
      <c r="X22" s="19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25">
      <c r="A28" s="51"/>
      <c r="B28" s="10" t="s">
        <v>2</v>
      </c>
      <c r="C28" s="10"/>
      <c r="D28" s="4">
        <f>--463883.16</f>
        <v>463883.16</v>
      </c>
      <c r="E28" s="4"/>
      <c r="F28" s="12">
        <f t="shared" ref="F28:F29" si="0">IF(D$12=0,0,D28/D$12)</f>
        <v>0</v>
      </c>
      <c r="G28" s="4"/>
      <c r="H28" s="4">
        <f>--29008.14</f>
        <v>29008.14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434875.01999999996</v>
      </c>
      <c r="M28" s="4"/>
      <c r="N28" s="12">
        <f t="shared" ref="N28:N29" si="3">IF(H28=0,0,L28/H28)</f>
        <v>14.991482390804787</v>
      </c>
      <c r="O28" s="10"/>
      <c r="P28" s="4">
        <f>--463883.16</f>
        <v>463883.16</v>
      </c>
      <c r="Q28" s="4"/>
      <c r="R28" s="12">
        <f t="shared" ref="R28:R29" si="4">IF(P$12=0,0,P28/P$12)</f>
        <v>0</v>
      </c>
      <c r="S28" s="4"/>
      <c r="T28" s="4">
        <f>--29008.14</f>
        <v>29008.14</v>
      </c>
      <c r="U28" s="4"/>
      <c r="V28" s="12">
        <f t="shared" ref="V28:V29" si="5">IF(T$12=0,0,T28/T$12)</f>
        <v>0</v>
      </c>
      <c r="W28" s="4"/>
      <c r="X28" s="4">
        <f t="shared" ref="X28:X29" si="6">+P28-T28</f>
        <v>434875.01999999996</v>
      </c>
      <c r="Y28" s="4"/>
      <c r="Z28" s="12">
        <f t="shared" ref="Z28:Z29" si="7">IF(T28=0,0,X28/T28)</f>
        <v>14.991482390804787</v>
      </c>
    </row>
    <row r="29" spans="1:26" s="23" customFormat="1" x14ac:dyDescent="0.25">
      <c r="A29" s="51"/>
      <c r="B29" s="10" t="s">
        <v>1</v>
      </c>
      <c r="C29" s="10"/>
      <c r="D29" s="4">
        <f>-81628.27</f>
        <v>-81628.27</v>
      </c>
      <c r="E29" s="4"/>
      <c r="F29" s="12">
        <f t="shared" si="0"/>
        <v>0</v>
      </c>
      <c r="G29" s="4"/>
      <c r="H29" s="4">
        <f>--16534.29</f>
        <v>16534.29</v>
      </c>
      <c r="I29" s="4"/>
      <c r="J29" s="12">
        <f t="shared" si="1"/>
        <v>0</v>
      </c>
      <c r="K29" s="4"/>
      <c r="L29" s="4">
        <f t="shared" si="2"/>
        <v>-98162.559999999998</v>
      </c>
      <c r="M29" s="4"/>
      <c r="N29" s="12">
        <f t="shared" si="3"/>
        <v>-5.9369080861651753</v>
      </c>
      <c r="O29" s="10"/>
      <c r="P29" s="4">
        <f>-81628.27</f>
        <v>-81628.27</v>
      </c>
      <c r="Q29" s="4"/>
      <c r="R29" s="12">
        <f t="shared" si="4"/>
        <v>0</v>
      </c>
      <c r="S29" s="4"/>
      <c r="T29" s="4">
        <f>--16534.29</f>
        <v>16534.29</v>
      </c>
      <c r="U29" s="4"/>
      <c r="V29" s="12">
        <f t="shared" si="5"/>
        <v>0</v>
      </c>
      <c r="W29" s="4"/>
      <c r="X29" s="4">
        <f t="shared" si="6"/>
        <v>-98162.559999999998</v>
      </c>
      <c r="Y29" s="4"/>
      <c r="Z29" s="12">
        <f t="shared" si="7"/>
        <v>-5.9369080861651753</v>
      </c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5</v>
      </c>
      <c r="C31" s="26"/>
      <c r="D31" s="31">
        <f>SUM(D26:D30)</f>
        <v>382254.88999999996</v>
      </c>
      <c r="E31" s="13"/>
      <c r="F31" s="32">
        <f>IF(D$12=0,0,D31/D$12)</f>
        <v>0</v>
      </c>
      <c r="G31" s="13"/>
      <c r="H31" s="31">
        <f>SUM(H26:H30)</f>
        <v>45542.43</v>
      </c>
      <c r="I31" s="13"/>
      <c r="J31" s="32">
        <f>IF(H$12=0,0,H31/H$12)</f>
        <v>0</v>
      </c>
      <c r="K31" s="16"/>
      <c r="L31" s="31">
        <f>+D31-H31</f>
        <v>336712.45999999996</v>
      </c>
      <c r="M31" s="16"/>
      <c r="N31" s="32">
        <f>IF(H31=0,0,L31/H31)</f>
        <v>7.3933793168260884</v>
      </c>
      <c r="O31" s="25"/>
      <c r="P31" s="31">
        <f>SUM(P26:P30)</f>
        <v>382254.88999999996</v>
      </c>
      <c r="Q31" s="13"/>
      <c r="R31" s="32">
        <f>IF(P$12=0,0,P31/P$12)</f>
        <v>0</v>
      </c>
      <c r="S31" s="13"/>
      <c r="T31" s="31">
        <f>SUM(T26:T30)</f>
        <v>45542.43</v>
      </c>
      <c r="U31" s="13"/>
      <c r="V31" s="32">
        <f>IF(T$12=0,0,T31/T$12)</f>
        <v>0</v>
      </c>
      <c r="W31" s="16"/>
      <c r="X31" s="31">
        <f>+P31-T31</f>
        <v>336712.45999999996</v>
      </c>
      <c r="Y31" s="16"/>
      <c r="Z31" s="32">
        <f>IF(T31=0,0,X31/T31)</f>
        <v>7.3933793168260884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9">
        <v>44109.413897997685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234703.24000000005</v>
      </c>
      <c r="E18" s="21"/>
      <c r="F18" s="34">
        <f t="shared" ref="F18:F29" si="0">IF(D$12=0,0,D18/D$12)</f>
        <v>0</v>
      </c>
      <c r="G18" s="21"/>
      <c r="H18" s="21">
        <f>SUM(OSRRefH22x_0)</f>
        <v>313331.27</v>
      </c>
      <c r="I18" s="21"/>
      <c r="J18" s="34">
        <f t="shared" ref="J18:J29" si="1">IF(H$12=0,0,H18/H$12)</f>
        <v>0</v>
      </c>
      <c r="K18" s="4"/>
      <c r="L18" s="21">
        <f t="shared" ref="L18:L29" si="2">+D18-H18</f>
        <v>-78628.02999999997</v>
      </c>
      <c r="M18" s="4"/>
      <c r="N18" s="34">
        <f t="shared" ref="N18:N29" si="3">IF(H18=0,0,L18/H18)</f>
        <v>-0.25094217375750583</v>
      </c>
      <c r="O18" s="10"/>
      <c r="P18" s="21">
        <f>SUM(OSRRefP22x_0)</f>
        <v>234703.24000000005</v>
      </c>
      <c r="Q18" s="21"/>
      <c r="R18" s="34">
        <f t="shared" ref="R18:R29" si="4">IF(P$12=0,0,P18/P$12)</f>
        <v>0</v>
      </c>
      <c r="S18" s="21"/>
      <c r="T18" s="21">
        <f>SUM(OSRRefT22x_0)</f>
        <v>313331.27</v>
      </c>
      <c r="U18" s="21"/>
      <c r="V18" s="34">
        <f t="shared" ref="V18:V29" si="5">IF(T$12=0,0,T18/T$12)</f>
        <v>0</v>
      </c>
      <c r="W18" s="4"/>
      <c r="X18" s="21">
        <f t="shared" ref="X18:X29" si="6">+P18-T18</f>
        <v>-78628.02999999997</v>
      </c>
      <c r="Y18" s="4"/>
      <c r="Z18" s="34">
        <f t="shared" ref="Z18:Z29" si="7">IF(T18=0,0,X18/T18)</f>
        <v>-0.25094217375750583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84138.92</v>
      </c>
      <c r="E19" s="1"/>
      <c r="F19" s="5">
        <f t="shared" si="0"/>
        <v>0</v>
      </c>
      <c r="G19" s="1"/>
      <c r="H19" s="1">
        <f>SUM(OSRRefH22_0x_0)</f>
        <v>102861.30000000002</v>
      </c>
      <c r="I19" s="1"/>
      <c r="J19" s="5">
        <f t="shared" si="1"/>
        <v>0</v>
      </c>
      <c r="K19" s="1"/>
      <c r="L19" s="1">
        <f t="shared" si="2"/>
        <v>-18722.380000000019</v>
      </c>
      <c r="M19" s="1"/>
      <c r="N19" s="5">
        <f t="shared" si="3"/>
        <v>-0.18201578241768299</v>
      </c>
      <c r="O19" s="14"/>
      <c r="P19" s="1">
        <f>SUM(OSRRefP22_0x_0)</f>
        <v>84138.92</v>
      </c>
      <c r="Q19" s="1"/>
      <c r="R19" s="5">
        <f t="shared" si="4"/>
        <v>0</v>
      </c>
      <c r="S19" s="1"/>
      <c r="T19" s="1">
        <f>SUM(OSRRefT22_0x_0)</f>
        <v>102861.30000000002</v>
      </c>
      <c r="U19" s="1"/>
      <c r="V19" s="5">
        <f t="shared" si="5"/>
        <v>0</v>
      </c>
      <c r="W19" s="1"/>
      <c r="X19" s="1">
        <f t="shared" si="6"/>
        <v>-18722.380000000019</v>
      </c>
      <c r="Y19" s="1"/>
      <c r="Z19" s="5">
        <f t="shared" si="7"/>
        <v>-0.18201578241768299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7398.29</v>
      </c>
      <c r="E20" s="3"/>
      <c r="F20" s="7">
        <f t="shared" si="0"/>
        <v>0</v>
      </c>
      <c r="G20" s="3"/>
      <c r="H20" s="8">
        <v>9536.74</v>
      </c>
      <c r="I20" s="3"/>
      <c r="J20" s="7">
        <f t="shared" si="1"/>
        <v>0</v>
      </c>
      <c r="K20" s="3"/>
      <c r="L20" s="8">
        <f t="shared" si="2"/>
        <v>-2138.4499999999998</v>
      </c>
      <c r="M20" s="3"/>
      <c r="N20" s="7">
        <f t="shared" si="3"/>
        <v>-0.22423280911506446</v>
      </c>
      <c r="O20" s="11"/>
      <c r="P20" s="8">
        <v>7398.29</v>
      </c>
      <c r="Q20" s="3"/>
      <c r="R20" s="7">
        <f t="shared" si="4"/>
        <v>0</v>
      </c>
      <c r="S20" s="3"/>
      <c r="T20" s="8">
        <v>9536.74</v>
      </c>
      <c r="U20" s="3"/>
      <c r="V20" s="7">
        <f t="shared" si="5"/>
        <v>0</v>
      </c>
      <c r="W20" s="3"/>
      <c r="X20" s="8">
        <f t="shared" si="6"/>
        <v>-2138.4499999999998</v>
      </c>
      <c r="Y20" s="3"/>
      <c r="Z20" s="7">
        <f t="shared" si="7"/>
        <v>-0.22423280911506446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597.22</v>
      </c>
      <c r="E21" s="3"/>
      <c r="F21" s="7">
        <f t="shared" si="0"/>
        <v>0</v>
      </c>
      <c r="G21" s="3"/>
      <c r="H21" s="8">
        <v>680.76</v>
      </c>
      <c r="I21" s="3"/>
      <c r="J21" s="7">
        <f t="shared" si="1"/>
        <v>0</v>
      </c>
      <c r="K21" s="3"/>
      <c r="L21" s="8">
        <f t="shared" si="2"/>
        <v>-83.539999999999964</v>
      </c>
      <c r="M21" s="3"/>
      <c r="N21" s="7">
        <f t="shared" si="3"/>
        <v>-0.1227157882366766</v>
      </c>
      <c r="O21" s="11"/>
      <c r="P21" s="8">
        <v>597.22</v>
      </c>
      <c r="Q21" s="3"/>
      <c r="R21" s="7">
        <f t="shared" si="4"/>
        <v>0</v>
      </c>
      <c r="S21" s="3"/>
      <c r="T21" s="8">
        <v>680.76</v>
      </c>
      <c r="U21" s="3"/>
      <c r="V21" s="7">
        <f t="shared" si="5"/>
        <v>0</v>
      </c>
      <c r="W21" s="3"/>
      <c r="X21" s="8">
        <f t="shared" si="6"/>
        <v>-83.539999999999964</v>
      </c>
      <c r="Y21" s="3"/>
      <c r="Z21" s="7">
        <f t="shared" si="7"/>
        <v>-0.1227157882366766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22589.05</v>
      </c>
      <c r="E22" s="3"/>
      <c r="F22" s="7">
        <f t="shared" si="0"/>
        <v>0</v>
      </c>
      <c r="G22" s="3"/>
      <c r="H22" s="8">
        <v>22703.31</v>
      </c>
      <c r="I22" s="3"/>
      <c r="J22" s="7">
        <f t="shared" si="1"/>
        <v>0</v>
      </c>
      <c r="K22" s="3"/>
      <c r="L22" s="8">
        <f t="shared" si="2"/>
        <v>-114.26000000000204</v>
      </c>
      <c r="M22" s="3"/>
      <c r="N22" s="7">
        <f t="shared" si="3"/>
        <v>-5.0327463264168105E-3</v>
      </c>
      <c r="O22" s="11"/>
      <c r="P22" s="8">
        <v>22589.05</v>
      </c>
      <c r="Q22" s="3"/>
      <c r="R22" s="7">
        <f t="shared" si="4"/>
        <v>0</v>
      </c>
      <c r="S22" s="3"/>
      <c r="T22" s="8">
        <v>22703.31</v>
      </c>
      <c r="U22" s="3"/>
      <c r="V22" s="7">
        <f t="shared" si="5"/>
        <v>0</v>
      </c>
      <c r="W22" s="3"/>
      <c r="X22" s="8">
        <f t="shared" si="6"/>
        <v>-114.26000000000204</v>
      </c>
      <c r="Y22" s="3"/>
      <c r="Z22" s="7">
        <f t="shared" si="7"/>
        <v>-5.0327463264168105E-3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253.99</v>
      </c>
      <c r="E23" s="3"/>
      <c r="F23" s="7">
        <f t="shared" si="0"/>
        <v>0</v>
      </c>
      <c r="G23" s="3"/>
      <c r="H23" s="8">
        <v>317.29000000000002</v>
      </c>
      <c r="I23" s="3"/>
      <c r="J23" s="7">
        <f t="shared" si="1"/>
        <v>0</v>
      </c>
      <c r="K23" s="3"/>
      <c r="L23" s="8">
        <f t="shared" si="2"/>
        <v>-63.300000000000011</v>
      </c>
      <c r="M23" s="3"/>
      <c r="N23" s="7">
        <f t="shared" si="3"/>
        <v>-0.19950203284061901</v>
      </c>
      <c r="O23" s="11"/>
      <c r="P23" s="8">
        <v>253.99</v>
      </c>
      <c r="Q23" s="3"/>
      <c r="R23" s="7">
        <f t="shared" si="4"/>
        <v>0</v>
      </c>
      <c r="S23" s="3"/>
      <c r="T23" s="8">
        <v>317.29000000000002</v>
      </c>
      <c r="U23" s="3"/>
      <c r="V23" s="7">
        <f t="shared" si="5"/>
        <v>0</v>
      </c>
      <c r="W23" s="3"/>
      <c r="X23" s="8">
        <f t="shared" si="6"/>
        <v>-63.300000000000011</v>
      </c>
      <c r="Y23" s="3"/>
      <c r="Z23" s="7">
        <f t="shared" si="7"/>
        <v>-0.19950203284061901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11165.64</v>
      </c>
      <c r="E24" s="3"/>
      <c r="F24" s="7">
        <f t="shared" si="0"/>
        <v>0</v>
      </c>
      <c r="G24" s="3"/>
      <c r="H24" s="8">
        <v>8066.48</v>
      </c>
      <c r="I24" s="3"/>
      <c r="J24" s="7">
        <f t="shared" si="1"/>
        <v>0</v>
      </c>
      <c r="K24" s="3"/>
      <c r="L24" s="8">
        <f t="shared" si="2"/>
        <v>3099.16</v>
      </c>
      <c r="M24" s="3"/>
      <c r="N24" s="7">
        <f t="shared" si="3"/>
        <v>0.38420227906100307</v>
      </c>
      <c r="O24" s="11"/>
      <c r="P24" s="8">
        <v>11165.64</v>
      </c>
      <c r="Q24" s="3"/>
      <c r="R24" s="7">
        <f t="shared" si="4"/>
        <v>0</v>
      </c>
      <c r="S24" s="3"/>
      <c r="T24" s="8">
        <v>8066.48</v>
      </c>
      <c r="U24" s="3"/>
      <c r="V24" s="7">
        <f t="shared" si="5"/>
        <v>0</v>
      </c>
      <c r="W24" s="3"/>
      <c r="X24" s="8">
        <f t="shared" si="6"/>
        <v>3099.16</v>
      </c>
      <c r="Y24" s="3"/>
      <c r="Z24" s="7">
        <f t="shared" si="7"/>
        <v>0.38420227906100307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8">
        <v>1080.74</v>
      </c>
      <c r="E25" s="3"/>
      <c r="F25" s="7">
        <f t="shared" si="0"/>
        <v>0</v>
      </c>
      <c r="G25" s="3"/>
      <c r="H25" s="8">
        <v>632.32000000000005</v>
      </c>
      <c r="I25" s="3"/>
      <c r="J25" s="7">
        <f t="shared" si="1"/>
        <v>0</v>
      </c>
      <c r="K25" s="3"/>
      <c r="L25" s="8">
        <f t="shared" si="2"/>
        <v>448.41999999999996</v>
      </c>
      <c r="M25" s="3"/>
      <c r="N25" s="7">
        <f t="shared" si="3"/>
        <v>0.70916624493927116</v>
      </c>
      <c r="O25" s="11"/>
      <c r="P25" s="8">
        <v>1080.74</v>
      </c>
      <c r="Q25" s="3"/>
      <c r="R25" s="7">
        <f t="shared" si="4"/>
        <v>0</v>
      </c>
      <c r="S25" s="3"/>
      <c r="T25" s="8">
        <v>632.32000000000005</v>
      </c>
      <c r="U25" s="3"/>
      <c r="V25" s="7">
        <f t="shared" si="5"/>
        <v>0</v>
      </c>
      <c r="W25" s="3"/>
      <c r="X25" s="8">
        <f t="shared" si="6"/>
        <v>448.41999999999996</v>
      </c>
      <c r="Y25" s="3"/>
      <c r="Z25" s="7">
        <f t="shared" si="7"/>
        <v>0.70916624493927116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>
        <v>6023.54</v>
      </c>
      <c r="E26" s="3"/>
      <c r="F26" s="7">
        <f t="shared" si="0"/>
        <v>0</v>
      </c>
      <c r="G26" s="3"/>
      <c r="H26" s="8">
        <v>14722.95</v>
      </c>
      <c r="I26" s="3"/>
      <c r="J26" s="7">
        <f t="shared" si="1"/>
        <v>0</v>
      </c>
      <c r="K26" s="3"/>
      <c r="L26" s="8">
        <f t="shared" si="2"/>
        <v>-8699.41</v>
      </c>
      <c r="M26" s="3"/>
      <c r="N26" s="7">
        <f t="shared" si="3"/>
        <v>-0.59087411150618585</v>
      </c>
      <c r="O26" s="11"/>
      <c r="P26" s="8">
        <v>6023.54</v>
      </c>
      <c r="Q26" s="3"/>
      <c r="R26" s="7">
        <f t="shared" si="4"/>
        <v>0</v>
      </c>
      <c r="S26" s="3"/>
      <c r="T26" s="8">
        <v>14722.95</v>
      </c>
      <c r="U26" s="3"/>
      <c r="V26" s="7">
        <f t="shared" si="5"/>
        <v>0</v>
      </c>
      <c r="W26" s="3"/>
      <c r="X26" s="8">
        <f t="shared" si="6"/>
        <v>-8699.41</v>
      </c>
      <c r="Y26" s="3"/>
      <c r="Z26" s="7">
        <f t="shared" si="7"/>
        <v>-0.59087411150618585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>
        <v>4158.5</v>
      </c>
      <c r="E27" s="3"/>
      <c r="F27" s="7">
        <f t="shared" si="0"/>
        <v>0</v>
      </c>
      <c r="G27" s="3"/>
      <c r="H27" s="8">
        <v>15044.3</v>
      </c>
      <c r="I27" s="3"/>
      <c r="J27" s="7">
        <f t="shared" si="1"/>
        <v>0</v>
      </c>
      <c r="K27" s="3"/>
      <c r="L27" s="8">
        <f t="shared" si="2"/>
        <v>-10885.8</v>
      </c>
      <c r="M27" s="3"/>
      <c r="N27" s="7">
        <f t="shared" si="3"/>
        <v>-0.72358301815305459</v>
      </c>
      <c r="O27" s="11"/>
      <c r="P27" s="8">
        <v>4158.5</v>
      </c>
      <c r="Q27" s="3"/>
      <c r="R27" s="7">
        <f t="shared" si="4"/>
        <v>0</v>
      </c>
      <c r="S27" s="3"/>
      <c r="T27" s="8">
        <v>15044.3</v>
      </c>
      <c r="U27" s="3"/>
      <c r="V27" s="7">
        <f t="shared" si="5"/>
        <v>0</v>
      </c>
      <c r="W27" s="3"/>
      <c r="X27" s="8">
        <f t="shared" si="6"/>
        <v>-10885.8</v>
      </c>
      <c r="Y27" s="3"/>
      <c r="Z27" s="7">
        <f t="shared" si="7"/>
        <v>-0.72358301815305459</v>
      </c>
    </row>
    <row r="28" spans="1:26" s="24" customFormat="1" hidden="1" outlineLevel="2" x14ac:dyDescent="0.25">
      <c r="A28" s="29"/>
      <c r="B28" s="11" t="str">
        <f>CONCATENATE("          ", "6120", " - ", "RETIREES HEALTH INSURANCE")</f>
        <v xml:space="preserve">          6120 - RETIREES HEALTH INSURANCE</v>
      </c>
      <c r="C28" s="11"/>
      <c r="D28" s="8">
        <v>30249.09</v>
      </c>
      <c r="E28" s="3"/>
      <c r="F28" s="7">
        <f t="shared" si="0"/>
        <v>0</v>
      </c>
      <c r="G28" s="3"/>
      <c r="H28" s="8">
        <v>28870.880000000001</v>
      </c>
      <c r="I28" s="3"/>
      <c r="J28" s="7">
        <f t="shared" si="1"/>
        <v>0</v>
      </c>
      <c r="K28" s="3"/>
      <c r="L28" s="8">
        <f t="shared" si="2"/>
        <v>1378.2099999999991</v>
      </c>
      <c r="M28" s="3"/>
      <c r="N28" s="7">
        <f t="shared" si="3"/>
        <v>4.7737027759458636E-2</v>
      </c>
      <c r="O28" s="11"/>
      <c r="P28" s="8">
        <v>30249.09</v>
      </c>
      <c r="Q28" s="3"/>
      <c r="R28" s="7">
        <f t="shared" si="4"/>
        <v>0</v>
      </c>
      <c r="S28" s="3"/>
      <c r="T28" s="8">
        <v>28870.880000000001</v>
      </c>
      <c r="U28" s="3"/>
      <c r="V28" s="7">
        <f t="shared" si="5"/>
        <v>0</v>
      </c>
      <c r="W28" s="3"/>
      <c r="X28" s="8">
        <f t="shared" si="6"/>
        <v>1378.2099999999991</v>
      </c>
      <c r="Y28" s="3"/>
      <c r="Z28" s="7">
        <f t="shared" si="7"/>
        <v>4.7737027759458636E-2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8">
        <v>622.86</v>
      </c>
      <c r="E29" s="3"/>
      <c r="F29" s="7">
        <f t="shared" si="0"/>
        <v>0</v>
      </c>
      <c r="G29" s="3"/>
      <c r="H29" s="8">
        <v>2286.27</v>
      </c>
      <c r="I29" s="3"/>
      <c r="J29" s="7">
        <f t="shared" si="1"/>
        <v>0</v>
      </c>
      <c r="K29" s="3"/>
      <c r="L29" s="8">
        <f t="shared" si="2"/>
        <v>-1663.4099999999999</v>
      </c>
      <c r="M29" s="3"/>
      <c r="N29" s="7">
        <f t="shared" si="3"/>
        <v>-0.72756498576283635</v>
      </c>
      <c r="O29" s="11"/>
      <c r="P29" s="8">
        <v>622.86</v>
      </c>
      <c r="Q29" s="3"/>
      <c r="R29" s="7">
        <f t="shared" si="4"/>
        <v>0</v>
      </c>
      <c r="S29" s="3"/>
      <c r="T29" s="8">
        <v>2286.27</v>
      </c>
      <c r="U29" s="3"/>
      <c r="V29" s="7">
        <f t="shared" si="5"/>
        <v>0</v>
      </c>
      <c r="W29" s="3"/>
      <c r="X29" s="8">
        <f t="shared" si="6"/>
        <v>-1663.4099999999999</v>
      </c>
      <c r="Y29" s="3"/>
      <c r="Z29" s="7">
        <f t="shared" si="7"/>
        <v>-0.72756498576283635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114306.91</v>
      </c>
      <c r="E30" s="1"/>
      <c r="F30" s="5">
        <f t="shared" ref="F30:F37" si="8">IF(D$12=0,0,D30/D$12)</f>
        <v>0</v>
      </c>
      <c r="G30" s="1"/>
      <c r="H30" s="1">
        <f>SUM(OSRRefH22_1x_0)</f>
        <v>141355.81</v>
      </c>
      <c r="I30" s="1"/>
      <c r="J30" s="5">
        <f t="shared" ref="J30:J37" si="9">IF(H$12=0,0,H30/H$12)</f>
        <v>0</v>
      </c>
      <c r="K30" s="1"/>
      <c r="L30" s="1">
        <f t="shared" ref="L30:L37" si="10">+D30-H30</f>
        <v>-27048.899999999994</v>
      </c>
      <c r="M30" s="1"/>
      <c r="N30" s="5">
        <f t="shared" ref="N30:N37" si="11">IF(H30=0,0,L30/H30)</f>
        <v>-0.19135329492293238</v>
      </c>
      <c r="O30" s="14"/>
      <c r="P30" s="1">
        <f>SUM(OSRRefP22_1x_0)</f>
        <v>114306.91</v>
      </c>
      <c r="Q30" s="1"/>
      <c r="R30" s="5">
        <f t="shared" ref="R30:R37" si="12">IF(P$12=0,0,P30/P$12)</f>
        <v>0</v>
      </c>
      <c r="S30" s="1"/>
      <c r="T30" s="1">
        <f>SUM(OSRRefT22_1x_0)</f>
        <v>141355.81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-27048.899999999994</v>
      </c>
      <c r="Y30" s="1"/>
      <c r="Z30" s="5">
        <f t="shared" ref="Z30:Z37" si="15">IF(T30=0,0,X30/T30)</f>
        <v>-0.19135329492293238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28750.289999999997</v>
      </c>
      <c r="E31" s="3"/>
      <c r="F31" s="7">
        <f t="shared" si="8"/>
        <v>0</v>
      </c>
      <c r="G31" s="3"/>
      <c r="H31" s="8">
        <v>39603.08</v>
      </c>
      <c r="I31" s="3"/>
      <c r="J31" s="7">
        <f t="shared" si="9"/>
        <v>0</v>
      </c>
      <c r="K31" s="3"/>
      <c r="L31" s="8">
        <f t="shared" si="10"/>
        <v>-10852.790000000005</v>
      </c>
      <c r="M31" s="3"/>
      <c r="N31" s="7">
        <f t="shared" si="11"/>
        <v>-0.27403903938784568</v>
      </c>
      <c r="O31" s="11"/>
      <c r="P31" s="8">
        <v>28750.289999999997</v>
      </c>
      <c r="Q31" s="3"/>
      <c r="R31" s="7">
        <f t="shared" si="12"/>
        <v>0</v>
      </c>
      <c r="S31" s="3"/>
      <c r="T31" s="8">
        <v>39603.08</v>
      </c>
      <c r="U31" s="3"/>
      <c r="V31" s="7">
        <f t="shared" si="13"/>
        <v>0</v>
      </c>
      <c r="W31" s="3"/>
      <c r="X31" s="8">
        <f t="shared" si="14"/>
        <v>-10852.790000000005</v>
      </c>
      <c r="Y31" s="3"/>
      <c r="Z31" s="7">
        <f t="shared" si="15"/>
        <v>-0.27403903938784568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8">
        <v>53290.35</v>
      </c>
      <c r="E32" s="3"/>
      <c r="F32" s="7">
        <f t="shared" si="8"/>
        <v>0</v>
      </c>
      <c r="G32" s="3"/>
      <c r="H32" s="8">
        <v>51553.97</v>
      </c>
      <c r="I32" s="3"/>
      <c r="J32" s="7">
        <f t="shared" si="9"/>
        <v>0</v>
      </c>
      <c r="K32" s="3"/>
      <c r="L32" s="8">
        <f t="shared" si="10"/>
        <v>1736.3799999999974</v>
      </c>
      <c r="M32" s="3"/>
      <c r="N32" s="7">
        <f t="shared" si="11"/>
        <v>3.3680820313159152E-2</v>
      </c>
      <c r="O32" s="11"/>
      <c r="P32" s="8">
        <v>53290.35</v>
      </c>
      <c r="Q32" s="3"/>
      <c r="R32" s="7">
        <f t="shared" si="12"/>
        <v>0</v>
      </c>
      <c r="S32" s="3"/>
      <c r="T32" s="8">
        <v>51553.97</v>
      </c>
      <c r="U32" s="3"/>
      <c r="V32" s="7">
        <f t="shared" si="13"/>
        <v>0</v>
      </c>
      <c r="W32" s="3"/>
      <c r="X32" s="8">
        <f t="shared" si="14"/>
        <v>1736.3799999999974</v>
      </c>
      <c r="Y32" s="3"/>
      <c r="Z32" s="7">
        <f t="shared" si="15"/>
        <v>3.3680820313159152E-2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8">
        <v>18530.3</v>
      </c>
      <c r="E33" s="3"/>
      <c r="F33" s="7">
        <f t="shared" si="8"/>
        <v>0</v>
      </c>
      <c r="G33" s="3"/>
      <c r="H33" s="8">
        <v>20265.27</v>
      </c>
      <c r="I33" s="3"/>
      <c r="J33" s="7">
        <f t="shared" si="9"/>
        <v>0</v>
      </c>
      <c r="K33" s="3"/>
      <c r="L33" s="8">
        <f t="shared" si="10"/>
        <v>-1734.9700000000012</v>
      </c>
      <c r="M33" s="3"/>
      <c r="N33" s="7">
        <f t="shared" si="11"/>
        <v>-8.5612972341350554E-2</v>
      </c>
      <c r="O33" s="11"/>
      <c r="P33" s="8">
        <v>18530.3</v>
      </c>
      <c r="Q33" s="3"/>
      <c r="R33" s="7">
        <f t="shared" si="12"/>
        <v>0</v>
      </c>
      <c r="S33" s="3"/>
      <c r="T33" s="8">
        <v>20265.27</v>
      </c>
      <c r="U33" s="3"/>
      <c r="V33" s="7">
        <f t="shared" si="13"/>
        <v>0</v>
      </c>
      <c r="W33" s="3"/>
      <c r="X33" s="8">
        <f t="shared" si="14"/>
        <v>-1734.9700000000012</v>
      </c>
      <c r="Y33" s="3"/>
      <c r="Z33" s="7">
        <f t="shared" si="15"/>
        <v>-8.5612972341350554E-2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>
        <v>5883.34</v>
      </c>
      <c r="E34" s="3"/>
      <c r="F34" s="7">
        <f t="shared" si="8"/>
        <v>0</v>
      </c>
      <c r="G34" s="3"/>
      <c r="H34" s="8">
        <v>8356.0300000000007</v>
      </c>
      <c r="I34" s="3"/>
      <c r="J34" s="7">
        <f t="shared" si="9"/>
        <v>0</v>
      </c>
      <c r="K34" s="3"/>
      <c r="L34" s="8">
        <f t="shared" si="10"/>
        <v>-2472.6900000000005</v>
      </c>
      <c r="M34" s="3"/>
      <c r="N34" s="7">
        <f t="shared" si="11"/>
        <v>-0.2959168408921462</v>
      </c>
      <c r="O34" s="11"/>
      <c r="P34" s="8">
        <v>5883.34</v>
      </c>
      <c r="Q34" s="3"/>
      <c r="R34" s="7">
        <f t="shared" si="12"/>
        <v>0</v>
      </c>
      <c r="S34" s="3"/>
      <c r="T34" s="8">
        <v>8356.0300000000007</v>
      </c>
      <c r="U34" s="3"/>
      <c r="V34" s="7">
        <f t="shared" si="13"/>
        <v>0</v>
      </c>
      <c r="W34" s="3"/>
      <c r="X34" s="8">
        <f t="shared" si="14"/>
        <v>-2472.6900000000005</v>
      </c>
      <c r="Y34" s="3"/>
      <c r="Z34" s="7">
        <f t="shared" si="15"/>
        <v>-0.2959168408921462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708.75</v>
      </c>
      <c r="I35" s="3"/>
      <c r="J35" s="7">
        <f t="shared" si="9"/>
        <v>0</v>
      </c>
      <c r="K35" s="3"/>
      <c r="L35" s="8">
        <f t="shared" si="10"/>
        <v>-708.75</v>
      </c>
      <c r="M35" s="3"/>
      <c r="N35" s="7">
        <f t="shared" si="11"/>
        <v>-1</v>
      </c>
      <c r="O35" s="11"/>
      <c r="P35" s="8"/>
      <c r="Q35" s="3"/>
      <c r="R35" s="7">
        <f t="shared" si="12"/>
        <v>0</v>
      </c>
      <c r="S35" s="3"/>
      <c r="T35" s="8">
        <v>708.75</v>
      </c>
      <c r="U35" s="3"/>
      <c r="V35" s="7">
        <f t="shared" si="13"/>
        <v>0</v>
      </c>
      <c r="W35" s="3"/>
      <c r="X35" s="8">
        <f t="shared" si="14"/>
        <v>-708.75</v>
      </c>
      <c r="Y35" s="3"/>
      <c r="Z35" s="7">
        <f t="shared" si="15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>
        <v>6624</v>
      </c>
      <c r="E36" s="3"/>
      <c r="F36" s="7">
        <f t="shared" si="8"/>
        <v>0</v>
      </c>
      <c r="G36" s="3"/>
      <c r="H36" s="8">
        <v>18926.21</v>
      </c>
      <c r="I36" s="3"/>
      <c r="J36" s="7">
        <f t="shared" si="9"/>
        <v>0</v>
      </c>
      <c r="K36" s="3"/>
      <c r="L36" s="8">
        <f t="shared" si="10"/>
        <v>-12302.21</v>
      </c>
      <c r="M36" s="3"/>
      <c r="N36" s="7">
        <f t="shared" si="11"/>
        <v>-0.65000916718138491</v>
      </c>
      <c r="O36" s="11"/>
      <c r="P36" s="8">
        <v>6624</v>
      </c>
      <c r="Q36" s="3"/>
      <c r="R36" s="7">
        <f t="shared" si="12"/>
        <v>0</v>
      </c>
      <c r="S36" s="3"/>
      <c r="T36" s="8">
        <v>18926.21</v>
      </c>
      <c r="U36" s="3"/>
      <c r="V36" s="7">
        <f t="shared" si="13"/>
        <v>0</v>
      </c>
      <c r="W36" s="3"/>
      <c r="X36" s="8">
        <f t="shared" si="14"/>
        <v>-12302.21</v>
      </c>
      <c r="Y36" s="3"/>
      <c r="Z36" s="7">
        <f t="shared" si="15"/>
        <v>-0.65000916718138491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>
        <v>1228.6300000000001</v>
      </c>
      <c r="E37" s="3"/>
      <c r="F37" s="7">
        <f t="shared" si="8"/>
        <v>0</v>
      </c>
      <c r="G37" s="3"/>
      <c r="H37" s="8">
        <v>1942.5</v>
      </c>
      <c r="I37" s="3"/>
      <c r="J37" s="7">
        <f t="shared" si="9"/>
        <v>0</v>
      </c>
      <c r="K37" s="3"/>
      <c r="L37" s="8">
        <f t="shared" si="10"/>
        <v>-713.86999999999989</v>
      </c>
      <c r="M37" s="3"/>
      <c r="N37" s="7">
        <f t="shared" si="11"/>
        <v>-0.36750064350064343</v>
      </c>
      <c r="O37" s="11"/>
      <c r="P37" s="8">
        <v>1228.6300000000001</v>
      </c>
      <c r="Q37" s="3"/>
      <c r="R37" s="7">
        <f t="shared" si="12"/>
        <v>0</v>
      </c>
      <c r="S37" s="3"/>
      <c r="T37" s="8">
        <v>1942.5</v>
      </c>
      <c r="U37" s="3"/>
      <c r="V37" s="7">
        <f t="shared" si="13"/>
        <v>0</v>
      </c>
      <c r="W37" s="3"/>
      <c r="X37" s="8">
        <f t="shared" si="14"/>
        <v>-713.86999999999989</v>
      </c>
      <c r="Y37" s="3"/>
      <c r="Z37" s="7">
        <f t="shared" si="15"/>
        <v>-0.36750064350064343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58.38</v>
      </c>
      <c r="E38" s="1"/>
      <c r="F38" s="5">
        <f t="shared" ref="F38:F61" si="16">IF(D$12=0,0,D38/D$12)</f>
        <v>0</v>
      </c>
      <c r="G38" s="1"/>
      <c r="H38" s="1">
        <f>SUM(OSRRefH22_2x_0)</f>
        <v>-969.74</v>
      </c>
      <c r="I38" s="1"/>
      <c r="J38" s="5">
        <f t="shared" ref="J38:J61" si="17">IF(H$12=0,0,H38/H$12)</f>
        <v>0</v>
      </c>
      <c r="K38" s="1"/>
      <c r="L38" s="1">
        <f t="shared" ref="L38:L61" si="18">+D38-H38</f>
        <v>1028.1200000000001</v>
      </c>
      <c r="M38" s="1"/>
      <c r="N38" s="5">
        <f t="shared" ref="N38:N61" si="19">IF(H38=0,0,L38/H38)</f>
        <v>-1.0602017035494051</v>
      </c>
      <c r="O38" s="14"/>
      <c r="P38" s="1">
        <f>SUM(OSRRefP22_2x_0)</f>
        <v>58.38</v>
      </c>
      <c r="Q38" s="1"/>
      <c r="R38" s="5">
        <f t="shared" ref="R38:R61" si="20">IF(P$12=0,0,P38/P$12)</f>
        <v>0</v>
      </c>
      <c r="S38" s="1"/>
      <c r="T38" s="1">
        <f>SUM(OSRRefT22_2x_0)</f>
        <v>-969.74</v>
      </c>
      <c r="U38" s="1"/>
      <c r="V38" s="5">
        <f t="shared" ref="V38:V61" si="21">IF(T$12=0,0,T38/T$12)</f>
        <v>0</v>
      </c>
      <c r="W38" s="1"/>
      <c r="X38" s="1">
        <f t="shared" ref="X38:X61" si="22">+P38-T38</f>
        <v>1028.1200000000001</v>
      </c>
      <c r="Y38" s="1"/>
      <c r="Z38" s="5">
        <f t="shared" ref="Z38:Z61" si="23">IF(T38=0,0,X38/T38)</f>
        <v>-1.0602017035494051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8">
        <v>58.38</v>
      </c>
      <c r="E39" s="3"/>
      <c r="F39" s="7">
        <f t="shared" si="16"/>
        <v>0</v>
      </c>
      <c r="G39" s="3"/>
      <c r="H39" s="8">
        <v>-969.74</v>
      </c>
      <c r="I39" s="3"/>
      <c r="J39" s="7">
        <f t="shared" si="17"/>
        <v>0</v>
      </c>
      <c r="K39" s="3"/>
      <c r="L39" s="8">
        <f t="shared" si="18"/>
        <v>1028.1200000000001</v>
      </c>
      <c r="M39" s="3"/>
      <c r="N39" s="7">
        <f t="shared" si="19"/>
        <v>-1.0602017035494051</v>
      </c>
      <c r="O39" s="11"/>
      <c r="P39" s="8">
        <v>58.38</v>
      </c>
      <c r="Q39" s="3"/>
      <c r="R39" s="7">
        <f t="shared" si="20"/>
        <v>0</v>
      </c>
      <c r="S39" s="3"/>
      <c r="T39" s="8">
        <v>-969.74</v>
      </c>
      <c r="U39" s="3"/>
      <c r="V39" s="7">
        <f t="shared" si="21"/>
        <v>0</v>
      </c>
      <c r="W39" s="3"/>
      <c r="X39" s="8">
        <f t="shared" si="22"/>
        <v>1028.1200000000001</v>
      </c>
      <c r="Y39" s="3"/>
      <c r="Z39" s="7">
        <f t="shared" si="23"/>
        <v>-1.0602017035494051</v>
      </c>
    </row>
    <row r="40" spans="1:26" s="27" customFormat="1" outlineLevel="1" collapsed="1" x14ac:dyDescent="0.25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923.98</v>
      </c>
      <c r="E40" s="1"/>
      <c r="F40" s="5">
        <f t="shared" si="16"/>
        <v>0</v>
      </c>
      <c r="G40" s="1"/>
      <c r="H40" s="1">
        <f>SUM(OSRRefH22_3x_0)</f>
        <v>826.39</v>
      </c>
      <c r="I40" s="1"/>
      <c r="J40" s="5">
        <f t="shared" si="17"/>
        <v>0</v>
      </c>
      <c r="K40" s="1"/>
      <c r="L40" s="1">
        <f t="shared" si="18"/>
        <v>97.590000000000032</v>
      </c>
      <c r="M40" s="1"/>
      <c r="N40" s="5">
        <f t="shared" si="19"/>
        <v>0.11809194206125441</v>
      </c>
      <c r="O40" s="14"/>
      <c r="P40" s="1">
        <f>SUM(OSRRefP22_3x_0)</f>
        <v>923.98</v>
      </c>
      <c r="Q40" s="1"/>
      <c r="R40" s="5">
        <f t="shared" si="20"/>
        <v>0</v>
      </c>
      <c r="S40" s="1"/>
      <c r="T40" s="1">
        <f>SUM(OSRRefT22_3x_0)</f>
        <v>826.39</v>
      </c>
      <c r="U40" s="1"/>
      <c r="V40" s="5">
        <f t="shared" si="21"/>
        <v>0</v>
      </c>
      <c r="W40" s="1"/>
      <c r="X40" s="1">
        <f t="shared" si="22"/>
        <v>97.590000000000032</v>
      </c>
      <c r="Y40" s="1"/>
      <c r="Z40" s="5">
        <f t="shared" si="23"/>
        <v>0.11809194206125441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8">
        <v>923.98</v>
      </c>
      <c r="E41" s="3"/>
      <c r="F41" s="7">
        <f t="shared" si="16"/>
        <v>0</v>
      </c>
      <c r="G41" s="3"/>
      <c r="H41" s="8">
        <v>826.39</v>
      </c>
      <c r="I41" s="3"/>
      <c r="J41" s="7">
        <f t="shared" si="17"/>
        <v>0</v>
      </c>
      <c r="K41" s="3"/>
      <c r="L41" s="8">
        <f t="shared" si="18"/>
        <v>97.590000000000032</v>
      </c>
      <c r="M41" s="3"/>
      <c r="N41" s="7">
        <f t="shared" si="19"/>
        <v>0.11809194206125441</v>
      </c>
      <c r="O41" s="11"/>
      <c r="P41" s="8">
        <v>923.98</v>
      </c>
      <c r="Q41" s="3"/>
      <c r="R41" s="7">
        <f t="shared" si="20"/>
        <v>0</v>
      </c>
      <c r="S41" s="3"/>
      <c r="T41" s="8">
        <v>826.39</v>
      </c>
      <c r="U41" s="3"/>
      <c r="V41" s="7">
        <f t="shared" si="21"/>
        <v>0</v>
      </c>
      <c r="W41" s="3"/>
      <c r="X41" s="8">
        <f t="shared" si="22"/>
        <v>97.590000000000032</v>
      </c>
      <c r="Y41" s="3"/>
      <c r="Z41" s="7">
        <f t="shared" si="23"/>
        <v>0.11809194206125441</v>
      </c>
    </row>
    <row r="42" spans="1:26" s="27" customFormat="1" outlineLevel="1" collapsed="1" x14ac:dyDescent="0.25">
      <c r="A42" s="28"/>
      <c r="B42" s="14" t="str">
        <f>CONCATENATE("     ","Board                                             ")</f>
        <v xml:space="preserve">     Board                                             </v>
      </c>
      <c r="C42" s="14"/>
      <c r="D42" s="1">
        <f>SUM(OSRRefD22_4x_0)</f>
        <v>783.79</v>
      </c>
      <c r="E42" s="1"/>
      <c r="F42" s="5">
        <f t="shared" si="16"/>
        <v>0</v>
      </c>
      <c r="G42" s="1"/>
      <c r="H42" s="1">
        <f>SUM(OSRRefH22_4x_0)</f>
        <v>2425.4</v>
      </c>
      <c r="I42" s="1"/>
      <c r="J42" s="5">
        <f t="shared" si="17"/>
        <v>0</v>
      </c>
      <c r="K42" s="1"/>
      <c r="L42" s="1">
        <f t="shared" si="18"/>
        <v>-1641.6100000000001</v>
      </c>
      <c r="M42" s="1"/>
      <c r="N42" s="5">
        <f t="shared" si="19"/>
        <v>-0.67684093345427565</v>
      </c>
      <c r="O42" s="14"/>
      <c r="P42" s="1">
        <f>SUM(OSRRefP22_4x_0)</f>
        <v>783.79</v>
      </c>
      <c r="Q42" s="1"/>
      <c r="R42" s="5">
        <f t="shared" si="20"/>
        <v>0</v>
      </c>
      <c r="S42" s="1"/>
      <c r="T42" s="1">
        <f>SUM(OSRRefT22_4x_0)</f>
        <v>2425.4</v>
      </c>
      <c r="U42" s="1"/>
      <c r="V42" s="5">
        <f t="shared" si="21"/>
        <v>0</v>
      </c>
      <c r="W42" s="1"/>
      <c r="X42" s="1">
        <f t="shared" si="22"/>
        <v>-1641.6100000000001</v>
      </c>
      <c r="Y42" s="1"/>
      <c r="Z42" s="5">
        <f t="shared" si="23"/>
        <v>-0.67684093345427565</v>
      </c>
    </row>
    <row r="43" spans="1:26" s="24" customFormat="1" hidden="1" outlineLevel="2" x14ac:dyDescent="0.25">
      <c r="A43" s="29"/>
      <c r="B43" s="11" t="str">
        <f>CONCATENATE("          ", "6397", " - ", "BOARD EXPENSES")</f>
        <v xml:space="preserve">          6397 - BOARD EXPENSES</v>
      </c>
      <c r="C43" s="11"/>
      <c r="D43" s="8">
        <v>783.79</v>
      </c>
      <c r="E43" s="3"/>
      <c r="F43" s="7">
        <f t="shared" si="16"/>
        <v>0</v>
      </c>
      <c r="G43" s="3"/>
      <c r="H43" s="8">
        <v>2425.4</v>
      </c>
      <c r="I43" s="3"/>
      <c r="J43" s="7">
        <f t="shared" si="17"/>
        <v>0</v>
      </c>
      <c r="K43" s="3"/>
      <c r="L43" s="8">
        <f t="shared" si="18"/>
        <v>-1641.6100000000001</v>
      </c>
      <c r="M43" s="3"/>
      <c r="N43" s="7">
        <f t="shared" si="19"/>
        <v>-0.67684093345427565</v>
      </c>
      <c r="O43" s="11"/>
      <c r="P43" s="8">
        <v>783.79</v>
      </c>
      <c r="Q43" s="3"/>
      <c r="R43" s="7">
        <f t="shared" si="20"/>
        <v>0</v>
      </c>
      <c r="S43" s="3"/>
      <c r="T43" s="8">
        <v>2425.4</v>
      </c>
      <c r="U43" s="3"/>
      <c r="V43" s="7">
        <f t="shared" si="21"/>
        <v>0</v>
      </c>
      <c r="W43" s="3"/>
      <c r="X43" s="8">
        <f t="shared" si="22"/>
        <v>-1641.6100000000001</v>
      </c>
      <c r="Y43" s="3"/>
      <c r="Z43" s="7">
        <f t="shared" si="23"/>
        <v>-0.67684093345427565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7607.16</v>
      </c>
      <c r="E44" s="1"/>
      <c r="F44" s="5">
        <f t="shared" si="16"/>
        <v>0</v>
      </c>
      <c r="G44" s="1"/>
      <c r="H44" s="1">
        <f>SUM(OSRRefH22_5x_0)</f>
        <v>8599.93</v>
      </c>
      <c r="I44" s="1"/>
      <c r="J44" s="5">
        <f t="shared" si="17"/>
        <v>0</v>
      </c>
      <c r="K44" s="1"/>
      <c r="L44" s="1">
        <f t="shared" si="18"/>
        <v>-992.77000000000044</v>
      </c>
      <c r="M44" s="1"/>
      <c r="N44" s="5">
        <f t="shared" si="19"/>
        <v>-0.11543931171532797</v>
      </c>
      <c r="O44" s="14"/>
      <c r="P44" s="1">
        <f>SUM(OSRRefP22_5x_0)</f>
        <v>7607.16</v>
      </c>
      <c r="Q44" s="1"/>
      <c r="R44" s="5">
        <f t="shared" si="20"/>
        <v>0</v>
      </c>
      <c r="S44" s="1"/>
      <c r="T44" s="1">
        <f>SUM(OSRRefT22_5x_0)</f>
        <v>8599.93</v>
      </c>
      <c r="U44" s="1"/>
      <c r="V44" s="5">
        <f t="shared" si="21"/>
        <v>0</v>
      </c>
      <c r="W44" s="1"/>
      <c r="X44" s="1">
        <f t="shared" si="22"/>
        <v>-992.77000000000044</v>
      </c>
      <c r="Y44" s="1"/>
      <c r="Z44" s="5">
        <f t="shared" si="23"/>
        <v>-0.11543931171532797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8">
        <v>7607.16</v>
      </c>
      <c r="E45" s="3"/>
      <c r="F45" s="7">
        <f t="shared" si="16"/>
        <v>0</v>
      </c>
      <c r="G45" s="3"/>
      <c r="H45" s="8">
        <v>8599.93</v>
      </c>
      <c r="I45" s="3"/>
      <c r="J45" s="7">
        <f t="shared" si="17"/>
        <v>0</v>
      </c>
      <c r="K45" s="3"/>
      <c r="L45" s="8">
        <f t="shared" si="18"/>
        <v>-992.77000000000044</v>
      </c>
      <c r="M45" s="3"/>
      <c r="N45" s="7">
        <f t="shared" si="19"/>
        <v>-0.11543931171532797</v>
      </c>
      <c r="O45" s="11"/>
      <c r="P45" s="8">
        <v>7607.16</v>
      </c>
      <c r="Q45" s="3"/>
      <c r="R45" s="7">
        <f t="shared" si="20"/>
        <v>0</v>
      </c>
      <c r="S45" s="3"/>
      <c r="T45" s="8">
        <v>8599.93</v>
      </c>
      <c r="U45" s="3"/>
      <c r="V45" s="7">
        <f t="shared" si="21"/>
        <v>0</v>
      </c>
      <c r="W45" s="3"/>
      <c r="X45" s="8">
        <f t="shared" si="22"/>
        <v>-992.77000000000044</v>
      </c>
      <c r="Y45" s="3"/>
      <c r="Z45" s="7">
        <f t="shared" si="23"/>
        <v>-0.11543931171532797</v>
      </c>
    </row>
    <row r="46" spans="1:26" s="27" customFormat="1" outlineLevel="1" collapsed="1" x14ac:dyDescent="0.25">
      <c r="A46" s="28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SUM(OSRRefD22_6x_0)</f>
        <v>0</v>
      </c>
      <c r="E46" s="1"/>
      <c r="F46" s="5">
        <f t="shared" si="16"/>
        <v>0</v>
      </c>
      <c r="G46" s="1"/>
      <c r="H46" s="1">
        <f>SUM(OSRRefH22_6x_0)</f>
        <v>1667.85</v>
      </c>
      <c r="I46" s="1"/>
      <c r="J46" s="5">
        <f t="shared" si="17"/>
        <v>0</v>
      </c>
      <c r="K46" s="1"/>
      <c r="L46" s="1">
        <f t="shared" si="18"/>
        <v>-1667.85</v>
      </c>
      <c r="M46" s="1"/>
      <c r="N46" s="5">
        <f t="shared" si="19"/>
        <v>-1</v>
      </c>
      <c r="O46" s="14"/>
      <c r="P46" s="1">
        <f>SUM(OSRRefP22_6x_0)</f>
        <v>0</v>
      </c>
      <c r="Q46" s="1"/>
      <c r="R46" s="5">
        <f t="shared" si="20"/>
        <v>0</v>
      </c>
      <c r="S46" s="1"/>
      <c r="T46" s="1">
        <f>SUM(OSRRefT22_6x_0)</f>
        <v>1667.85</v>
      </c>
      <c r="U46" s="1"/>
      <c r="V46" s="5">
        <f t="shared" si="21"/>
        <v>0</v>
      </c>
      <c r="W46" s="1"/>
      <c r="X46" s="1">
        <f t="shared" si="22"/>
        <v>-1667.85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"6399", " - ", "DONATION-ON CAMPUS")</f>
        <v xml:space="preserve">          6399 - DONATION-ON CAMPUS</v>
      </c>
      <c r="C47" s="11"/>
      <c r="D47" s="8"/>
      <c r="E47" s="3"/>
      <c r="F47" s="7">
        <f t="shared" si="16"/>
        <v>0</v>
      </c>
      <c r="G47" s="3"/>
      <c r="H47" s="8">
        <v>1667.85</v>
      </c>
      <c r="I47" s="3"/>
      <c r="J47" s="7">
        <f t="shared" si="17"/>
        <v>0</v>
      </c>
      <c r="K47" s="3"/>
      <c r="L47" s="8">
        <f t="shared" si="18"/>
        <v>-1667.85</v>
      </c>
      <c r="M47" s="3"/>
      <c r="N47" s="7">
        <f t="shared" si="19"/>
        <v>-1</v>
      </c>
      <c r="O47" s="11"/>
      <c r="P47" s="8"/>
      <c r="Q47" s="3"/>
      <c r="R47" s="7">
        <f t="shared" si="20"/>
        <v>0</v>
      </c>
      <c r="S47" s="3"/>
      <c r="T47" s="8">
        <v>1667.85</v>
      </c>
      <c r="U47" s="3"/>
      <c r="V47" s="7">
        <f t="shared" si="21"/>
        <v>0</v>
      </c>
      <c r="W47" s="3"/>
      <c r="X47" s="8">
        <f t="shared" si="22"/>
        <v>-1667.85</v>
      </c>
      <c r="Y47" s="3"/>
      <c r="Z47" s="7">
        <f t="shared" si="23"/>
        <v>-1</v>
      </c>
    </row>
    <row r="48" spans="1:26" s="27" customFormat="1" outlineLevel="1" collapsed="1" x14ac:dyDescent="0.25">
      <c r="A48" s="28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SUM(OSRRefD22_7x_0)</f>
        <v>0</v>
      </c>
      <c r="E48" s="1"/>
      <c r="F48" s="5">
        <f t="shared" si="16"/>
        <v>0</v>
      </c>
      <c r="G48" s="1"/>
      <c r="H48" s="1">
        <f>SUM(OSRRefH22_7x_0)</f>
        <v>5147.58</v>
      </c>
      <c r="I48" s="1"/>
      <c r="J48" s="5">
        <f t="shared" si="17"/>
        <v>0</v>
      </c>
      <c r="K48" s="1"/>
      <c r="L48" s="1">
        <f t="shared" si="18"/>
        <v>-5147.58</v>
      </c>
      <c r="M48" s="1"/>
      <c r="N48" s="5">
        <f t="shared" si="19"/>
        <v>-1</v>
      </c>
      <c r="O48" s="14"/>
      <c r="P48" s="1">
        <f>SUM(OSRRefP22_7x_0)</f>
        <v>0</v>
      </c>
      <c r="Q48" s="1"/>
      <c r="R48" s="5">
        <f t="shared" si="20"/>
        <v>0</v>
      </c>
      <c r="S48" s="1"/>
      <c r="T48" s="1">
        <f>SUM(OSRRefT22_7x_0)</f>
        <v>5147.58</v>
      </c>
      <c r="U48" s="1"/>
      <c r="V48" s="5">
        <f t="shared" si="21"/>
        <v>0</v>
      </c>
      <c r="W48" s="1"/>
      <c r="X48" s="1">
        <f t="shared" si="22"/>
        <v>-5147.58</v>
      </c>
      <c r="Y48" s="1"/>
      <c r="Z48" s="5">
        <f t="shared" si="23"/>
        <v>-1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8"/>
      <c r="E49" s="3"/>
      <c r="F49" s="7">
        <f t="shared" si="16"/>
        <v>0</v>
      </c>
      <c r="G49" s="3"/>
      <c r="H49" s="8">
        <v>5147.58</v>
      </c>
      <c r="I49" s="3"/>
      <c r="J49" s="7">
        <f t="shared" si="17"/>
        <v>0</v>
      </c>
      <c r="K49" s="3"/>
      <c r="L49" s="8">
        <f t="shared" si="18"/>
        <v>-5147.58</v>
      </c>
      <c r="M49" s="3"/>
      <c r="N49" s="7">
        <f t="shared" si="19"/>
        <v>-1</v>
      </c>
      <c r="O49" s="11"/>
      <c r="P49" s="8"/>
      <c r="Q49" s="3"/>
      <c r="R49" s="7">
        <f t="shared" si="20"/>
        <v>0</v>
      </c>
      <c r="S49" s="3"/>
      <c r="T49" s="8">
        <v>5147.58</v>
      </c>
      <c r="U49" s="3"/>
      <c r="V49" s="7">
        <f t="shared" si="21"/>
        <v>0</v>
      </c>
      <c r="W49" s="3"/>
      <c r="X49" s="8">
        <f t="shared" si="22"/>
        <v>-5147.58</v>
      </c>
      <c r="Y49" s="3"/>
      <c r="Z49" s="7">
        <f t="shared" si="23"/>
        <v>-1</v>
      </c>
    </row>
    <row r="50" spans="1:26" s="27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SUM(OSRRefD22_8x_0)</f>
        <v>208.97</v>
      </c>
      <c r="E50" s="1"/>
      <c r="F50" s="5">
        <f t="shared" si="16"/>
        <v>0</v>
      </c>
      <c r="G50" s="1"/>
      <c r="H50" s="1">
        <f>SUM(OSRRefH22_8x_0)</f>
        <v>300.24</v>
      </c>
      <c r="I50" s="1"/>
      <c r="J50" s="5">
        <f t="shared" si="17"/>
        <v>0</v>
      </c>
      <c r="K50" s="1"/>
      <c r="L50" s="1">
        <f t="shared" si="18"/>
        <v>-91.27000000000001</v>
      </c>
      <c r="M50" s="1"/>
      <c r="N50" s="5">
        <f t="shared" si="19"/>
        <v>-0.30399014122035706</v>
      </c>
      <c r="O50" s="14"/>
      <c r="P50" s="1">
        <f>SUM(OSRRefP22_8x_0)</f>
        <v>208.97</v>
      </c>
      <c r="Q50" s="1"/>
      <c r="R50" s="5">
        <f t="shared" si="20"/>
        <v>0</v>
      </c>
      <c r="S50" s="1"/>
      <c r="T50" s="1">
        <f>SUM(OSRRefT22_8x_0)</f>
        <v>300.24</v>
      </c>
      <c r="U50" s="1"/>
      <c r="V50" s="5">
        <f t="shared" si="21"/>
        <v>0</v>
      </c>
      <c r="W50" s="1"/>
      <c r="X50" s="1">
        <f t="shared" si="22"/>
        <v>-91.27000000000001</v>
      </c>
      <c r="Y50" s="1"/>
      <c r="Z50" s="5">
        <f t="shared" si="23"/>
        <v>-0.30399014122035706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8">
        <v>208.97</v>
      </c>
      <c r="E51" s="3"/>
      <c r="F51" s="7">
        <f t="shared" si="16"/>
        <v>0</v>
      </c>
      <c r="G51" s="3"/>
      <c r="H51" s="8">
        <v>300.24</v>
      </c>
      <c r="I51" s="3"/>
      <c r="J51" s="7">
        <f t="shared" si="17"/>
        <v>0</v>
      </c>
      <c r="K51" s="3"/>
      <c r="L51" s="8">
        <f t="shared" si="18"/>
        <v>-91.27000000000001</v>
      </c>
      <c r="M51" s="3"/>
      <c r="N51" s="7">
        <f t="shared" si="19"/>
        <v>-0.30399014122035706</v>
      </c>
      <c r="O51" s="11"/>
      <c r="P51" s="8">
        <v>208.97</v>
      </c>
      <c r="Q51" s="3"/>
      <c r="R51" s="7">
        <f t="shared" si="20"/>
        <v>0</v>
      </c>
      <c r="S51" s="3"/>
      <c r="T51" s="8">
        <v>300.24</v>
      </c>
      <c r="U51" s="3"/>
      <c r="V51" s="7">
        <f t="shared" si="21"/>
        <v>0</v>
      </c>
      <c r="W51" s="3"/>
      <c r="X51" s="8">
        <f t="shared" si="22"/>
        <v>-91.27000000000001</v>
      </c>
      <c r="Y51" s="3"/>
      <c r="Z51" s="7">
        <f t="shared" si="23"/>
        <v>-0.30399014122035706</v>
      </c>
    </row>
    <row r="52" spans="1:26" s="27" customFormat="1" outlineLevel="1" collapsed="1" x14ac:dyDescent="0.25">
      <c r="A52" s="28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SUM(OSRRefD22_9x_0)</f>
        <v>84</v>
      </c>
      <c r="E52" s="1"/>
      <c r="F52" s="5">
        <f t="shared" si="16"/>
        <v>0</v>
      </c>
      <c r="G52" s="1"/>
      <c r="H52" s="1">
        <f>SUM(OSRRefH22_9x_0)</f>
        <v>108.65</v>
      </c>
      <c r="I52" s="1"/>
      <c r="J52" s="5">
        <f t="shared" si="17"/>
        <v>0</v>
      </c>
      <c r="K52" s="1"/>
      <c r="L52" s="1">
        <f t="shared" si="18"/>
        <v>-24.650000000000006</v>
      </c>
      <c r="M52" s="1"/>
      <c r="N52" s="5">
        <f t="shared" si="19"/>
        <v>-0.22687528762080078</v>
      </c>
      <c r="O52" s="14"/>
      <c r="P52" s="1">
        <f>SUM(OSRRefP22_9x_0)</f>
        <v>84</v>
      </c>
      <c r="Q52" s="1"/>
      <c r="R52" s="5">
        <f t="shared" si="20"/>
        <v>0</v>
      </c>
      <c r="S52" s="1"/>
      <c r="T52" s="1">
        <f>SUM(OSRRefT22_9x_0)</f>
        <v>108.65</v>
      </c>
      <c r="U52" s="1"/>
      <c r="V52" s="5">
        <f t="shared" si="21"/>
        <v>0</v>
      </c>
      <c r="W52" s="1"/>
      <c r="X52" s="1">
        <f t="shared" si="22"/>
        <v>-24.650000000000006</v>
      </c>
      <c r="Y52" s="1"/>
      <c r="Z52" s="5">
        <f t="shared" si="23"/>
        <v>-0.22687528762080078</v>
      </c>
    </row>
    <row r="53" spans="1:26" s="24" customFormat="1" hidden="1" outlineLevel="2" x14ac:dyDescent="0.25">
      <c r="A53" s="29"/>
      <c r="B53" s="11" t="str">
        <f>CONCATENATE("          ", "6307", " - ", "POSTAGE")</f>
        <v xml:space="preserve">          6307 - POSTAGE</v>
      </c>
      <c r="C53" s="11"/>
      <c r="D53" s="8">
        <v>84</v>
      </c>
      <c r="E53" s="3"/>
      <c r="F53" s="7">
        <f t="shared" si="16"/>
        <v>0</v>
      </c>
      <c r="G53" s="3"/>
      <c r="H53" s="8">
        <v>108.65</v>
      </c>
      <c r="I53" s="3"/>
      <c r="J53" s="7">
        <f t="shared" si="17"/>
        <v>0</v>
      </c>
      <c r="K53" s="3"/>
      <c r="L53" s="8">
        <f t="shared" si="18"/>
        <v>-24.650000000000006</v>
      </c>
      <c r="M53" s="3"/>
      <c r="N53" s="7">
        <f t="shared" si="19"/>
        <v>-0.22687528762080078</v>
      </c>
      <c r="O53" s="11"/>
      <c r="P53" s="8">
        <v>84</v>
      </c>
      <c r="Q53" s="3"/>
      <c r="R53" s="7">
        <f t="shared" si="20"/>
        <v>0</v>
      </c>
      <c r="S53" s="3"/>
      <c r="T53" s="8">
        <v>108.65</v>
      </c>
      <c r="U53" s="3"/>
      <c r="V53" s="7">
        <f t="shared" si="21"/>
        <v>0</v>
      </c>
      <c r="W53" s="3"/>
      <c r="X53" s="8">
        <f t="shared" si="22"/>
        <v>-24.650000000000006</v>
      </c>
      <c r="Y53" s="3"/>
      <c r="Z53" s="7">
        <f t="shared" si="23"/>
        <v>-0.22687528762080078</v>
      </c>
    </row>
    <row r="54" spans="1:26" s="27" customFormat="1" outlineLevel="1" collapsed="1" x14ac:dyDescent="0.25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SUM(OSRRefD22_10x_0)</f>
        <v>0</v>
      </c>
      <c r="E54" s="1"/>
      <c r="F54" s="5">
        <f t="shared" si="16"/>
        <v>0</v>
      </c>
      <c r="G54" s="1"/>
      <c r="H54" s="1">
        <f>SUM(OSRRefH22_10x_0)</f>
        <v>30.62</v>
      </c>
      <c r="I54" s="1"/>
      <c r="J54" s="5">
        <f t="shared" si="17"/>
        <v>0</v>
      </c>
      <c r="K54" s="1"/>
      <c r="L54" s="1">
        <f t="shared" si="18"/>
        <v>-30.62</v>
      </c>
      <c r="M54" s="1"/>
      <c r="N54" s="5">
        <f t="shared" si="19"/>
        <v>-1</v>
      </c>
      <c r="O54" s="14"/>
      <c r="P54" s="1">
        <f>SUM(OSRRefP22_10x_0)</f>
        <v>0</v>
      </c>
      <c r="Q54" s="1"/>
      <c r="R54" s="5">
        <f t="shared" si="20"/>
        <v>0</v>
      </c>
      <c r="S54" s="1"/>
      <c r="T54" s="1">
        <f>SUM(OSRRefT22_10x_0)</f>
        <v>30.62</v>
      </c>
      <c r="U54" s="1"/>
      <c r="V54" s="5">
        <f t="shared" si="21"/>
        <v>0</v>
      </c>
      <c r="W54" s="1"/>
      <c r="X54" s="1">
        <f t="shared" si="22"/>
        <v>-30.62</v>
      </c>
      <c r="Y54" s="1"/>
      <c r="Z54" s="5">
        <f t="shared" si="23"/>
        <v>-1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8"/>
      <c r="E55" s="3"/>
      <c r="F55" s="7">
        <f t="shared" si="16"/>
        <v>0</v>
      </c>
      <c r="G55" s="3"/>
      <c r="H55" s="8">
        <v>30.62</v>
      </c>
      <c r="I55" s="3"/>
      <c r="J55" s="7">
        <f t="shared" si="17"/>
        <v>0</v>
      </c>
      <c r="K55" s="3"/>
      <c r="L55" s="8">
        <f t="shared" si="18"/>
        <v>-30.62</v>
      </c>
      <c r="M55" s="3"/>
      <c r="N55" s="7">
        <f t="shared" si="19"/>
        <v>-1</v>
      </c>
      <c r="O55" s="11"/>
      <c r="P55" s="8"/>
      <c r="Q55" s="3"/>
      <c r="R55" s="7">
        <f t="shared" si="20"/>
        <v>0</v>
      </c>
      <c r="S55" s="3"/>
      <c r="T55" s="8">
        <v>30.62</v>
      </c>
      <c r="U55" s="3"/>
      <c r="V55" s="7">
        <f t="shared" si="21"/>
        <v>0</v>
      </c>
      <c r="W55" s="3"/>
      <c r="X55" s="8">
        <f t="shared" si="22"/>
        <v>-30.62</v>
      </c>
      <c r="Y55" s="3"/>
      <c r="Z55" s="7">
        <f t="shared" si="23"/>
        <v>-1</v>
      </c>
    </row>
    <row r="56" spans="1:26" s="27" customFormat="1" outlineLevel="1" collapsed="1" x14ac:dyDescent="0.25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SUM(OSRRefD22_11x_0)</f>
        <v>393.67</v>
      </c>
      <c r="E56" s="1"/>
      <c r="F56" s="5">
        <f t="shared" si="16"/>
        <v>0</v>
      </c>
      <c r="G56" s="1"/>
      <c r="H56" s="1">
        <f>SUM(OSRRefH22_11x_0)</f>
        <v>393.67</v>
      </c>
      <c r="I56" s="1"/>
      <c r="J56" s="5">
        <f t="shared" si="17"/>
        <v>0</v>
      </c>
      <c r="K56" s="1"/>
      <c r="L56" s="1">
        <f t="shared" si="18"/>
        <v>0</v>
      </c>
      <c r="M56" s="1"/>
      <c r="N56" s="5">
        <f t="shared" si="19"/>
        <v>0</v>
      </c>
      <c r="O56" s="14"/>
      <c r="P56" s="1">
        <f>SUM(OSRRefP22_11x_0)</f>
        <v>393.67</v>
      </c>
      <c r="Q56" s="1"/>
      <c r="R56" s="5">
        <f t="shared" si="20"/>
        <v>0</v>
      </c>
      <c r="S56" s="1"/>
      <c r="T56" s="1">
        <f>SUM(OSRRefT22_11x_0)</f>
        <v>393.67</v>
      </c>
      <c r="U56" s="1"/>
      <c r="V56" s="5">
        <f t="shared" si="21"/>
        <v>0</v>
      </c>
      <c r="W56" s="1"/>
      <c r="X56" s="1">
        <f t="shared" si="22"/>
        <v>0</v>
      </c>
      <c r="Y56" s="1"/>
      <c r="Z56" s="5">
        <f t="shared" si="23"/>
        <v>0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8">
        <v>393.67</v>
      </c>
      <c r="E57" s="3"/>
      <c r="F57" s="7">
        <f t="shared" si="16"/>
        <v>0</v>
      </c>
      <c r="G57" s="3"/>
      <c r="H57" s="8">
        <v>393.67</v>
      </c>
      <c r="I57" s="3"/>
      <c r="J57" s="7">
        <f t="shared" si="17"/>
        <v>0</v>
      </c>
      <c r="K57" s="3"/>
      <c r="L57" s="8">
        <f t="shared" si="18"/>
        <v>0</v>
      </c>
      <c r="M57" s="3"/>
      <c r="N57" s="7">
        <f t="shared" si="19"/>
        <v>0</v>
      </c>
      <c r="O57" s="11"/>
      <c r="P57" s="8">
        <v>393.67</v>
      </c>
      <c r="Q57" s="3"/>
      <c r="R57" s="7">
        <f t="shared" si="20"/>
        <v>0</v>
      </c>
      <c r="S57" s="3"/>
      <c r="T57" s="8">
        <v>393.67</v>
      </c>
      <c r="U57" s="3"/>
      <c r="V57" s="7">
        <f t="shared" si="21"/>
        <v>0</v>
      </c>
      <c r="W57" s="3"/>
      <c r="X57" s="8">
        <f t="shared" si="22"/>
        <v>0</v>
      </c>
      <c r="Y57" s="3"/>
      <c r="Z57" s="7">
        <f t="shared" si="23"/>
        <v>0</v>
      </c>
    </row>
    <row r="58" spans="1:26" s="27" customFormat="1" outlineLevel="1" collapsed="1" x14ac:dyDescent="0.25">
      <c r="A58" s="28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SUM(OSRRefD22_12x_0)</f>
        <v>1755</v>
      </c>
      <c r="E58" s="1"/>
      <c r="F58" s="5">
        <f t="shared" si="16"/>
        <v>0</v>
      </c>
      <c r="G58" s="1"/>
      <c r="H58" s="1">
        <f>SUM(OSRRefH22_12x_0)</f>
        <v>5751.24</v>
      </c>
      <c r="I58" s="1"/>
      <c r="J58" s="5">
        <f t="shared" si="17"/>
        <v>0</v>
      </c>
      <c r="K58" s="1"/>
      <c r="L58" s="1">
        <f t="shared" si="18"/>
        <v>-3996.24</v>
      </c>
      <c r="M58" s="1"/>
      <c r="N58" s="5">
        <f t="shared" si="19"/>
        <v>-0.69484841529826613</v>
      </c>
      <c r="O58" s="14"/>
      <c r="P58" s="1">
        <f>SUM(OSRRefP22_12x_0)</f>
        <v>1755</v>
      </c>
      <c r="Q58" s="1"/>
      <c r="R58" s="5">
        <f t="shared" si="20"/>
        <v>0</v>
      </c>
      <c r="S58" s="1"/>
      <c r="T58" s="1">
        <f>SUM(OSRRefT22_12x_0)</f>
        <v>5751.24</v>
      </c>
      <c r="U58" s="1"/>
      <c r="V58" s="5">
        <f t="shared" si="21"/>
        <v>0</v>
      </c>
      <c r="W58" s="1"/>
      <c r="X58" s="1">
        <f t="shared" si="22"/>
        <v>-3996.24</v>
      </c>
      <c r="Y58" s="1"/>
      <c r="Z58" s="5">
        <f t="shared" si="23"/>
        <v>-0.69484841529826613</v>
      </c>
    </row>
    <row r="59" spans="1:26" s="24" customFormat="1" hidden="1" outlineLevel="2" x14ac:dyDescent="0.25">
      <c r="A59" s="29"/>
      <c r="B59" s="11" t="str">
        <f>CONCATENATE("          ", "6332", " - ", "CONSULTANT FEES")</f>
        <v xml:space="preserve">          6332 - CONSULTANT FEES</v>
      </c>
      <c r="C59" s="11"/>
      <c r="D59" s="8"/>
      <c r="E59" s="3"/>
      <c r="F59" s="7">
        <f t="shared" si="16"/>
        <v>0</v>
      </c>
      <c r="G59" s="3"/>
      <c r="H59" s="8">
        <v>82.5</v>
      </c>
      <c r="I59" s="3"/>
      <c r="J59" s="7">
        <f t="shared" si="17"/>
        <v>0</v>
      </c>
      <c r="K59" s="3"/>
      <c r="L59" s="8">
        <f t="shared" si="18"/>
        <v>-82.5</v>
      </c>
      <c r="M59" s="3"/>
      <c r="N59" s="7">
        <f t="shared" si="19"/>
        <v>-1</v>
      </c>
      <c r="O59" s="11"/>
      <c r="P59" s="8"/>
      <c r="Q59" s="3"/>
      <c r="R59" s="7">
        <f t="shared" si="20"/>
        <v>0</v>
      </c>
      <c r="S59" s="3"/>
      <c r="T59" s="8">
        <v>82.5</v>
      </c>
      <c r="U59" s="3"/>
      <c r="V59" s="7">
        <f t="shared" si="21"/>
        <v>0</v>
      </c>
      <c r="W59" s="3"/>
      <c r="X59" s="8">
        <f t="shared" si="22"/>
        <v>-82.5</v>
      </c>
      <c r="Y59" s="3"/>
      <c r="Z59" s="7">
        <f t="shared" si="23"/>
        <v>-1</v>
      </c>
    </row>
    <row r="60" spans="1:26" s="24" customFormat="1" hidden="1" outlineLevel="2" x14ac:dyDescent="0.25">
      <c r="A60" s="29"/>
      <c r="B60" s="11" t="str">
        <f>CONCATENATE("          ", "6334", " - ", "LEGAL COUNCIL EXPENSE")</f>
        <v xml:space="preserve">          6334 - LEGAL COUNCIL EXPENSE</v>
      </c>
      <c r="C60" s="11"/>
      <c r="D60" s="8">
        <v>100</v>
      </c>
      <c r="E60" s="3"/>
      <c r="F60" s="7">
        <f t="shared" si="16"/>
        <v>0</v>
      </c>
      <c r="G60" s="3"/>
      <c r="H60" s="8">
        <v>15</v>
      </c>
      <c r="I60" s="3"/>
      <c r="J60" s="7">
        <f t="shared" si="17"/>
        <v>0</v>
      </c>
      <c r="K60" s="3"/>
      <c r="L60" s="8">
        <f t="shared" si="18"/>
        <v>85</v>
      </c>
      <c r="M60" s="3"/>
      <c r="N60" s="7">
        <f t="shared" si="19"/>
        <v>5.666666666666667</v>
      </c>
      <c r="O60" s="11"/>
      <c r="P60" s="8">
        <v>100</v>
      </c>
      <c r="Q60" s="3"/>
      <c r="R60" s="7">
        <f t="shared" si="20"/>
        <v>0</v>
      </c>
      <c r="S60" s="3"/>
      <c r="T60" s="8">
        <v>15</v>
      </c>
      <c r="U60" s="3"/>
      <c r="V60" s="7">
        <f t="shared" si="21"/>
        <v>0</v>
      </c>
      <c r="W60" s="3"/>
      <c r="X60" s="8">
        <f t="shared" si="22"/>
        <v>85</v>
      </c>
      <c r="Y60" s="3"/>
      <c r="Z60" s="7">
        <f t="shared" si="23"/>
        <v>5.666666666666667</v>
      </c>
    </row>
    <row r="61" spans="1:26" s="24" customFormat="1" hidden="1" outlineLevel="2" x14ac:dyDescent="0.25">
      <c r="A61" s="29"/>
      <c r="B61" s="11" t="str">
        <f>CONCATENATE("          ", "6336", " - ", "PROFESSIONAL SERVICES")</f>
        <v xml:space="preserve">          6336 - PROFESSIONAL SERVICES</v>
      </c>
      <c r="C61" s="11"/>
      <c r="D61" s="8">
        <v>1655</v>
      </c>
      <c r="E61" s="3"/>
      <c r="F61" s="7">
        <f t="shared" si="16"/>
        <v>0</v>
      </c>
      <c r="G61" s="3"/>
      <c r="H61" s="8">
        <v>5653.74</v>
      </c>
      <c r="I61" s="3"/>
      <c r="J61" s="7">
        <f t="shared" si="17"/>
        <v>0</v>
      </c>
      <c r="K61" s="3"/>
      <c r="L61" s="8">
        <f t="shared" si="18"/>
        <v>-3998.74</v>
      </c>
      <c r="M61" s="3"/>
      <c r="N61" s="7">
        <f t="shared" si="19"/>
        <v>-0.70727341547365108</v>
      </c>
      <c r="O61" s="11"/>
      <c r="P61" s="8">
        <v>1655</v>
      </c>
      <c r="Q61" s="3"/>
      <c r="R61" s="7">
        <f t="shared" si="20"/>
        <v>0</v>
      </c>
      <c r="S61" s="3"/>
      <c r="T61" s="8">
        <v>5653.74</v>
      </c>
      <c r="U61" s="3"/>
      <c r="V61" s="7">
        <f t="shared" si="21"/>
        <v>0</v>
      </c>
      <c r="W61" s="3"/>
      <c r="X61" s="8">
        <f t="shared" si="22"/>
        <v>-3998.74</v>
      </c>
      <c r="Y61" s="3"/>
      <c r="Z61" s="7">
        <f t="shared" si="23"/>
        <v>-0.70727341547365108</v>
      </c>
    </row>
    <row r="62" spans="1:26" s="27" customFormat="1" outlineLevel="1" collapsed="1" x14ac:dyDescent="0.25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SUM(OSRRefD22_13x_0)</f>
        <v>20807.009999999998</v>
      </c>
      <c r="E62" s="1"/>
      <c r="F62" s="5">
        <f t="shared" ref="F62:F65" si="24">IF(D$12=0,0,D62/D$12)</f>
        <v>0</v>
      </c>
      <c r="G62" s="1"/>
      <c r="H62" s="1">
        <f>SUM(OSRRefH22_13x_0)</f>
        <v>26788.65</v>
      </c>
      <c r="I62" s="1"/>
      <c r="J62" s="5">
        <f t="shared" ref="J62:J65" si="25">IF(H$12=0,0,H62/H$12)</f>
        <v>0</v>
      </c>
      <c r="K62" s="1"/>
      <c r="L62" s="1">
        <f t="shared" ref="L62:L65" si="26">+D62-H62</f>
        <v>-5981.6400000000031</v>
      </c>
      <c r="M62" s="1"/>
      <c r="N62" s="5">
        <f t="shared" ref="N62:N65" si="27">IF(H62=0,0,L62/H62)</f>
        <v>-0.22329008740642037</v>
      </c>
      <c r="O62" s="14"/>
      <c r="P62" s="1">
        <f>SUM(OSRRefP22_13x_0)</f>
        <v>20807.009999999998</v>
      </c>
      <c r="Q62" s="1"/>
      <c r="R62" s="5">
        <f t="shared" ref="R62:R65" si="28">IF(P$12=0,0,P62/P$12)</f>
        <v>0</v>
      </c>
      <c r="S62" s="1"/>
      <c r="T62" s="1">
        <f>SUM(OSRRefT22_13x_0)</f>
        <v>26788.65</v>
      </c>
      <c r="U62" s="1"/>
      <c r="V62" s="5">
        <f t="shared" ref="V62:V65" si="29">IF(T$12=0,0,T62/T$12)</f>
        <v>0</v>
      </c>
      <c r="W62" s="1"/>
      <c r="X62" s="1">
        <f t="shared" ref="X62:X65" si="30">+P62-T62</f>
        <v>-5981.6400000000031</v>
      </c>
      <c r="Y62" s="1"/>
      <c r="Z62" s="5">
        <f t="shared" ref="Z62:Z65" si="31">IF(T62=0,0,X62/T62)</f>
        <v>-0.22329008740642037</v>
      </c>
    </row>
    <row r="63" spans="1:26" s="24" customFormat="1" hidden="1" outlineLevel="2" x14ac:dyDescent="0.25">
      <c r="A63" s="29"/>
      <c r="B63" s="11" t="str">
        <f>CONCATENATE("          ", "6371", " - ", "COMPUTER SOFTWARE MAINTENANCE")</f>
        <v xml:space="preserve">          6371 - COMPUTER SOFTWARE MAINTENANCE</v>
      </c>
      <c r="C63" s="11"/>
      <c r="D63" s="8">
        <v>4532.2</v>
      </c>
      <c r="E63" s="3"/>
      <c r="F63" s="7">
        <f t="shared" si="24"/>
        <v>0</v>
      </c>
      <c r="G63" s="3"/>
      <c r="H63" s="8">
        <v>10755.91</v>
      </c>
      <c r="I63" s="3"/>
      <c r="J63" s="7">
        <f t="shared" si="25"/>
        <v>0</v>
      </c>
      <c r="K63" s="3"/>
      <c r="L63" s="8">
        <f t="shared" si="26"/>
        <v>-6223.71</v>
      </c>
      <c r="M63" s="3"/>
      <c r="N63" s="7">
        <f t="shared" si="27"/>
        <v>-0.57863165459733301</v>
      </c>
      <c r="O63" s="11"/>
      <c r="P63" s="8">
        <v>4532.2</v>
      </c>
      <c r="Q63" s="3"/>
      <c r="R63" s="7">
        <f t="shared" si="28"/>
        <v>0</v>
      </c>
      <c r="S63" s="3"/>
      <c r="T63" s="8">
        <v>10755.91</v>
      </c>
      <c r="U63" s="3"/>
      <c r="V63" s="7">
        <f t="shared" si="29"/>
        <v>0</v>
      </c>
      <c r="W63" s="3"/>
      <c r="X63" s="8">
        <f t="shared" si="30"/>
        <v>-6223.71</v>
      </c>
      <c r="Y63" s="3"/>
      <c r="Z63" s="7">
        <f t="shared" si="31"/>
        <v>-0.57863165459733301</v>
      </c>
    </row>
    <row r="64" spans="1:26" s="24" customFormat="1" hidden="1" outlineLevel="2" x14ac:dyDescent="0.25">
      <c r="A64" s="29"/>
      <c r="B64" s="11" t="str">
        <f>CONCATENATE("          ", "6373", " - ", "MAINTENANCE CONTRACTS")</f>
        <v xml:space="preserve">          6373 - MAINTENANCE CONTRACTS</v>
      </c>
      <c r="C64" s="11"/>
      <c r="D64" s="8">
        <v>15455.62</v>
      </c>
      <c r="E64" s="3"/>
      <c r="F64" s="7">
        <f t="shared" si="24"/>
        <v>0</v>
      </c>
      <c r="G64" s="3"/>
      <c r="H64" s="8">
        <v>15913.310000000001</v>
      </c>
      <c r="I64" s="3"/>
      <c r="J64" s="7">
        <f t="shared" si="25"/>
        <v>0</v>
      </c>
      <c r="K64" s="3"/>
      <c r="L64" s="8">
        <f t="shared" si="26"/>
        <v>-457.69000000000051</v>
      </c>
      <c r="M64" s="3"/>
      <c r="N64" s="7">
        <f t="shared" si="27"/>
        <v>-2.876145817557758E-2</v>
      </c>
      <c r="O64" s="11"/>
      <c r="P64" s="8">
        <v>15455.62</v>
      </c>
      <c r="Q64" s="3"/>
      <c r="R64" s="7">
        <f t="shared" si="28"/>
        <v>0</v>
      </c>
      <c r="S64" s="3"/>
      <c r="T64" s="8">
        <v>15913.310000000001</v>
      </c>
      <c r="U64" s="3"/>
      <c r="V64" s="7">
        <f t="shared" si="29"/>
        <v>0</v>
      </c>
      <c r="W64" s="3"/>
      <c r="X64" s="8">
        <f t="shared" si="30"/>
        <v>-457.69000000000051</v>
      </c>
      <c r="Y64" s="3"/>
      <c r="Z64" s="7">
        <f t="shared" si="31"/>
        <v>-2.876145817557758E-2</v>
      </c>
    </row>
    <row r="65" spans="1:26" s="24" customFormat="1" hidden="1" outlineLevel="2" x14ac:dyDescent="0.25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8">
        <v>819.19</v>
      </c>
      <c r="E65" s="3"/>
      <c r="F65" s="7">
        <f t="shared" si="24"/>
        <v>0</v>
      </c>
      <c r="G65" s="3"/>
      <c r="H65" s="8">
        <v>119.43</v>
      </c>
      <c r="I65" s="3"/>
      <c r="J65" s="7">
        <f t="shared" si="25"/>
        <v>0</v>
      </c>
      <c r="K65" s="3"/>
      <c r="L65" s="8">
        <f t="shared" si="26"/>
        <v>699.76</v>
      </c>
      <c r="M65" s="3"/>
      <c r="N65" s="7">
        <f t="shared" si="27"/>
        <v>5.8591643640626305</v>
      </c>
      <c r="O65" s="11"/>
      <c r="P65" s="8">
        <v>819.19</v>
      </c>
      <c r="Q65" s="3"/>
      <c r="R65" s="7">
        <f t="shared" si="28"/>
        <v>0</v>
      </c>
      <c r="S65" s="3"/>
      <c r="T65" s="8">
        <v>119.43</v>
      </c>
      <c r="U65" s="3"/>
      <c r="V65" s="7">
        <f t="shared" si="29"/>
        <v>0</v>
      </c>
      <c r="W65" s="3"/>
      <c r="X65" s="8">
        <f t="shared" si="30"/>
        <v>699.76</v>
      </c>
      <c r="Y65" s="3"/>
      <c r="Z65" s="7">
        <f t="shared" si="31"/>
        <v>5.8591643640626305</v>
      </c>
    </row>
    <row r="66" spans="1:26" s="27" customFormat="1" outlineLevel="1" collapsed="1" x14ac:dyDescent="0.25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SUM(OSRRefD22_14x_0)</f>
        <v>512.48</v>
      </c>
      <c r="E66" s="1"/>
      <c r="F66" s="5">
        <f t="shared" ref="F66:F68" si="32">IF(D$12=0,0,D66/D$12)</f>
        <v>0</v>
      </c>
      <c r="G66" s="1"/>
      <c r="H66" s="1">
        <f>SUM(OSRRefH22_14x_0)</f>
        <v>1022.5400000000001</v>
      </c>
      <c r="I66" s="1"/>
      <c r="J66" s="5">
        <f t="shared" ref="J66:J68" si="33">IF(H$12=0,0,H66/H$12)</f>
        <v>0</v>
      </c>
      <c r="K66" s="1"/>
      <c r="L66" s="1">
        <f t="shared" ref="L66:L68" si="34">+D66-H66</f>
        <v>-510.06000000000006</v>
      </c>
      <c r="M66" s="1"/>
      <c r="N66" s="5">
        <f t="shared" ref="N66:N68" si="35">IF(H66=0,0,L66/H66)</f>
        <v>-0.49881667220842218</v>
      </c>
      <c r="O66" s="14"/>
      <c r="P66" s="1">
        <f>SUM(OSRRefP22_14x_0)</f>
        <v>512.48</v>
      </c>
      <c r="Q66" s="1"/>
      <c r="R66" s="5">
        <f t="shared" ref="R66:R68" si="36">IF(P$12=0,0,P66/P$12)</f>
        <v>0</v>
      </c>
      <c r="S66" s="1"/>
      <c r="T66" s="1">
        <f>SUM(OSRRefT22_14x_0)</f>
        <v>1022.5400000000001</v>
      </c>
      <c r="U66" s="1"/>
      <c r="V66" s="5">
        <f t="shared" ref="V66:V68" si="37">IF(T$12=0,0,T66/T$12)</f>
        <v>0</v>
      </c>
      <c r="W66" s="1"/>
      <c r="X66" s="1">
        <f t="shared" ref="X66:X68" si="38">+P66-T66</f>
        <v>-510.06000000000006</v>
      </c>
      <c r="Y66" s="1"/>
      <c r="Z66" s="5">
        <f t="shared" ref="Z66:Z68" si="39">IF(T66=0,0,X66/T66)</f>
        <v>-0.49881667220842218</v>
      </c>
    </row>
    <row r="67" spans="1:26" s="24" customFormat="1" hidden="1" outlineLevel="2" x14ac:dyDescent="0.25">
      <c r="A67" s="29"/>
      <c r="B67" s="11" t="str">
        <f>CONCATENATE("          ", "6281", " - ", "STORAGE FEE")</f>
        <v xml:space="preserve">          6281 - STORAGE FEE</v>
      </c>
      <c r="C67" s="11"/>
      <c r="D67" s="8">
        <v>512.48</v>
      </c>
      <c r="E67" s="3"/>
      <c r="F67" s="7">
        <f t="shared" si="32"/>
        <v>0</v>
      </c>
      <c r="G67" s="3"/>
      <c r="H67" s="8">
        <v>1013.7</v>
      </c>
      <c r="I67" s="3"/>
      <c r="J67" s="7">
        <f t="shared" si="33"/>
        <v>0</v>
      </c>
      <c r="K67" s="3"/>
      <c r="L67" s="8">
        <f t="shared" si="34"/>
        <v>-501.22</v>
      </c>
      <c r="M67" s="3"/>
      <c r="N67" s="7">
        <f t="shared" si="35"/>
        <v>-0.49444608858636679</v>
      </c>
      <c r="O67" s="11"/>
      <c r="P67" s="8">
        <v>512.48</v>
      </c>
      <c r="Q67" s="3"/>
      <c r="R67" s="7">
        <f t="shared" si="36"/>
        <v>0</v>
      </c>
      <c r="S67" s="3"/>
      <c r="T67" s="8">
        <v>1013.7</v>
      </c>
      <c r="U67" s="3"/>
      <c r="V67" s="7">
        <f t="shared" si="37"/>
        <v>0</v>
      </c>
      <c r="W67" s="3"/>
      <c r="X67" s="8">
        <f t="shared" si="38"/>
        <v>-501.22</v>
      </c>
      <c r="Y67" s="3"/>
      <c r="Z67" s="7">
        <f t="shared" si="39"/>
        <v>-0.49444608858636679</v>
      </c>
    </row>
    <row r="68" spans="1:26" s="24" customFormat="1" hidden="1" outlineLevel="2" x14ac:dyDescent="0.25">
      <c r="A68" s="29"/>
      <c r="B68" s="11" t="str">
        <f>CONCATENATE("          ", "6286", " - ", "LAUNDRY EXPENSE")</f>
        <v xml:space="preserve">          6286 - LAUNDRY EXPENSE</v>
      </c>
      <c r="C68" s="11"/>
      <c r="D68" s="8"/>
      <c r="E68" s="3"/>
      <c r="F68" s="7">
        <f t="shared" si="32"/>
        <v>0</v>
      </c>
      <c r="G68" s="3"/>
      <c r="H68" s="8">
        <v>8.84</v>
      </c>
      <c r="I68" s="3"/>
      <c r="J68" s="7">
        <f t="shared" si="33"/>
        <v>0</v>
      </c>
      <c r="K68" s="3"/>
      <c r="L68" s="8">
        <f t="shared" si="34"/>
        <v>-8.84</v>
      </c>
      <c r="M68" s="3"/>
      <c r="N68" s="7">
        <f t="shared" si="35"/>
        <v>-1</v>
      </c>
      <c r="O68" s="11"/>
      <c r="P68" s="8"/>
      <c r="Q68" s="3"/>
      <c r="R68" s="7">
        <f t="shared" si="36"/>
        <v>0</v>
      </c>
      <c r="S68" s="3"/>
      <c r="T68" s="8">
        <v>8.84</v>
      </c>
      <c r="U68" s="3"/>
      <c r="V68" s="7">
        <f t="shared" si="37"/>
        <v>0</v>
      </c>
      <c r="W68" s="3"/>
      <c r="X68" s="8">
        <f t="shared" si="38"/>
        <v>-8.84</v>
      </c>
      <c r="Y68" s="3"/>
      <c r="Z68" s="7">
        <f t="shared" si="39"/>
        <v>-1</v>
      </c>
    </row>
    <row r="69" spans="1:26" s="27" customFormat="1" outlineLevel="1" collapsed="1" x14ac:dyDescent="0.25">
      <c r="A69" s="28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SUM(OSRRefD22_15x_0)</f>
        <v>0</v>
      </c>
      <c r="E69" s="1"/>
      <c r="F69" s="5">
        <f t="shared" ref="F69:F76" si="40">IF(D$12=0,0,D69/D$12)</f>
        <v>0</v>
      </c>
      <c r="G69" s="1"/>
      <c r="H69" s="1">
        <f>SUM(OSRRefH22_15x_0)</f>
        <v>1000</v>
      </c>
      <c r="I69" s="1"/>
      <c r="J69" s="5">
        <f t="shared" ref="J69:J76" si="41">IF(H$12=0,0,H69/H$12)</f>
        <v>0</v>
      </c>
      <c r="K69" s="1"/>
      <c r="L69" s="1">
        <f t="shared" ref="L69:L76" si="42">+D69-H69</f>
        <v>-1000</v>
      </c>
      <c r="M69" s="1"/>
      <c r="N69" s="5">
        <f t="shared" ref="N69:N76" si="43">IF(H69=0,0,L69/H69)</f>
        <v>-1</v>
      </c>
      <c r="O69" s="14"/>
      <c r="P69" s="1">
        <f>SUM(OSRRefP22_15x_0)</f>
        <v>0</v>
      </c>
      <c r="Q69" s="1"/>
      <c r="R69" s="5">
        <f t="shared" ref="R69:R76" si="44">IF(P$12=0,0,P69/P$12)</f>
        <v>0</v>
      </c>
      <c r="S69" s="1"/>
      <c r="T69" s="1">
        <f>SUM(OSRRefT22_15x_0)</f>
        <v>1000</v>
      </c>
      <c r="U69" s="1"/>
      <c r="V69" s="5">
        <f t="shared" ref="V69:V76" si="45">IF(T$12=0,0,T69/T$12)</f>
        <v>0</v>
      </c>
      <c r="W69" s="1"/>
      <c r="X69" s="1">
        <f t="shared" ref="X69:X76" si="46">+P69-T69</f>
        <v>-1000</v>
      </c>
      <c r="Y69" s="1"/>
      <c r="Z69" s="5">
        <f t="shared" ref="Z69:Z76" si="47">IF(T69=0,0,X69/T69)</f>
        <v>-1</v>
      </c>
    </row>
    <row r="70" spans="1:26" s="24" customFormat="1" hidden="1" outlineLevel="2" x14ac:dyDescent="0.25">
      <c r="A70" s="29"/>
      <c r="B70" s="11" t="str">
        <f>CONCATENATE("          ", "6258", " - ", "MEMBERSHIP DUES")</f>
        <v xml:space="preserve">          6258 - MEMBERSHIP DUES</v>
      </c>
      <c r="C70" s="11"/>
      <c r="D70" s="8"/>
      <c r="E70" s="3"/>
      <c r="F70" s="7">
        <f t="shared" si="40"/>
        <v>0</v>
      </c>
      <c r="G70" s="3"/>
      <c r="H70" s="8">
        <v>1000</v>
      </c>
      <c r="I70" s="3"/>
      <c r="J70" s="7">
        <f t="shared" si="41"/>
        <v>0</v>
      </c>
      <c r="K70" s="3"/>
      <c r="L70" s="8">
        <f t="shared" si="42"/>
        <v>-1000</v>
      </c>
      <c r="M70" s="3"/>
      <c r="N70" s="7">
        <f t="shared" si="43"/>
        <v>-1</v>
      </c>
      <c r="O70" s="11"/>
      <c r="P70" s="8"/>
      <c r="Q70" s="3"/>
      <c r="R70" s="7">
        <f t="shared" si="44"/>
        <v>0</v>
      </c>
      <c r="S70" s="3"/>
      <c r="T70" s="8">
        <v>1000</v>
      </c>
      <c r="U70" s="3"/>
      <c r="V70" s="7">
        <f t="shared" si="45"/>
        <v>0</v>
      </c>
      <c r="W70" s="3"/>
      <c r="X70" s="8">
        <f t="shared" si="46"/>
        <v>-1000</v>
      </c>
      <c r="Y70" s="3"/>
      <c r="Z70" s="7">
        <f t="shared" si="47"/>
        <v>-1</v>
      </c>
    </row>
    <row r="71" spans="1:26" s="27" customFormat="1" outlineLevel="1" collapsed="1" x14ac:dyDescent="0.25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SUM(OSRRefD22_16x_0)</f>
        <v>1098.79</v>
      </c>
      <c r="E71" s="1"/>
      <c r="F71" s="5">
        <f t="shared" si="40"/>
        <v>0</v>
      </c>
      <c r="G71" s="1"/>
      <c r="H71" s="1">
        <f>SUM(OSRRefH22_16x_0)</f>
        <v>9790.6</v>
      </c>
      <c r="I71" s="1"/>
      <c r="J71" s="5">
        <f t="shared" si="41"/>
        <v>0</v>
      </c>
      <c r="K71" s="1"/>
      <c r="L71" s="1">
        <f t="shared" si="42"/>
        <v>-8691.8100000000013</v>
      </c>
      <c r="M71" s="1"/>
      <c r="N71" s="5">
        <f t="shared" si="43"/>
        <v>-0.88777092313034967</v>
      </c>
      <c r="O71" s="14"/>
      <c r="P71" s="1">
        <f>SUM(OSRRefP22_16x_0)</f>
        <v>1098.79</v>
      </c>
      <c r="Q71" s="1"/>
      <c r="R71" s="5">
        <f t="shared" si="44"/>
        <v>0</v>
      </c>
      <c r="S71" s="1"/>
      <c r="T71" s="1">
        <f>SUM(OSRRefT22_16x_0)</f>
        <v>9790.6</v>
      </c>
      <c r="U71" s="1"/>
      <c r="V71" s="5">
        <f t="shared" si="45"/>
        <v>0</v>
      </c>
      <c r="W71" s="1"/>
      <c r="X71" s="1">
        <f t="shared" si="46"/>
        <v>-8691.8100000000013</v>
      </c>
      <c r="Y71" s="1"/>
      <c r="Z71" s="5">
        <f t="shared" si="47"/>
        <v>-0.88777092313034967</v>
      </c>
    </row>
    <row r="72" spans="1:26" s="24" customFormat="1" hidden="1" outlineLevel="2" x14ac:dyDescent="0.25">
      <c r="A72" s="29"/>
      <c r="B72" s="11" t="str">
        <f>CONCATENATE("          ", "6234", " - ", "EXPENDABLE SUPPLIES &amp; EQUIPMEN")</f>
        <v xml:space="preserve">          6234 - EXPENDABLE SUPPLIES &amp; EQUIPMEN</v>
      </c>
      <c r="C72" s="11"/>
      <c r="D72" s="8"/>
      <c r="E72" s="3"/>
      <c r="F72" s="7">
        <f t="shared" si="40"/>
        <v>0</v>
      </c>
      <c r="G72" s="3"/>
      <c r="H72" s="8">
        <v>-225.81</v>
      </c>
      <c r="I72" s="3"/>
      <c r="J72" s="7">
        <f t="shared" si="41"/>
        <v>0</v>
      </c>
      <c r="K72" s="3"/>
      <c r="L72" s="8">
        <f t="shared" si="42"/>
        <v>225.81</v>
      </c>
      <c r="M72" s="3"/>
      <c r="N72" s="7">
        <f t="shared" si="43"/>
        <v>-1</v>
      </c>
      <c r="O72" s="11"/>
      <c r="P72" s="8"/>
      <c r="Q72" s="3"/>
      <c r="R72" s="7">
        <f t="shared" si="44"/>
        <v>0</v>
      </c>
      <c r="S72" s="3"/>
      <c r="T72" s="8">
        <v>-225.81</v>
      </c>
      <c r="U72" s="3"/>
      <c r="V72" s="7">
        <f t="shared" si="45"/>
        <v>0</v>
      </c>
      <c r="W72" s="3"/>
      <c r="X72" s="8">
        <f t="shared" si="46"/>
        <v>225.81</v>
      </c>
      <c r="Y72" s="3"/>
      <c r="Z72" s="7">
        <f t="shared" si="47"/>
        <v>-1</v>
      </c>
    </row>
    <row r="73" spans="1:26" s="24" customFormat="1" hidden="1" outlineLevel="2" x14ac:dyDescent="0.25">
      <c r="A73" s="29"/>
      <c r="B73" s="11" t="str">
        <f>CONCATENATE("          ", "6235", " - ", "COVID-19 EXPENSES")</f>
        <v xml:space="preserve">          6235 - COVID-19 EXPENSES</v>
      </c>
      <c r="C73" s="11"/>
      <c r="D73" s="8">
        <v>744.18</v>
      </c>
      <c r="E73" s="3"/>
      <c r="F73" s="7">
        <f t="shared" si="40"/>
        <v>0</v>
      </c>
      <c r="G73" s="3"/>
      <c r="H73" s="8"/>
      <c r="I73" s="3"/>
      <c r="J73" s="7">
        <f t="shared" si="41"/>
        <v>0</v>
      </c>
      <c r="K73" s="3"/>
      <c r="L73" s="8">
        <f t="shared" si="42"/>
        <v>744.18</v>
      </c>
      <c r="M73" s="3"/>
      <c r="N73" s="7">
        <f t="shared" si="43"/>
        <v>0</v>
      </c>
      <c r="O73" s="11"/>
      <c r="P73" s="8">
        <v>744.18</v>
      </c>
      <c r="Q73" s="3"/>
      <c r="R73" s="7">
        <f t="shared" si="44"/>
        <v>0</v>
      </c>
      <c r="S73" s="3"/>
      <c r="T73" s="8"/>
      <c r="U73" s="3"/>
      <c r="V73" s="7">
        <f t="shared" si="45"/>
        <v>0</v>
      </c>
      <c r="W73" s="3"/>
      <c r="X73" s="8">
        <f t="shared" si="46"/>
        <v>744.18</v>
      </c>
      <c r="Y73" s="3"/>
      <c r="Z73" s="7">
        <f t="shared" si="47"/>
        <v>0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8">
        <v>252.94</v>
      </c>
      <c r="E74" s="3"/>
      <c r="F74" s="7">
        <f t="shared" si="40"/>
        <v>0</v>
      </c>
      <c r="G74" s="3"/>
      <c r="H74" s="8">
        <v>8933.3799999999992</v>
      </c>
      <c r="I74" s="3"/>
      <c r="J74" s="7">
        <f t="shared" si="41"/>
        <v>0</v>
      </c>
      <c r="K74" s="3"/>
      <c r="L74" s="8">
        <f t="shared" si="42"/>
        <v>-8680.4399999999987</v>
      </c>
      <c r="M74" s="3"/>
      <c r="N74" s="7">
        <f t="shared" si="43"/>
        <v>-0.97168596880464053</v>
      </c>
      <c r="O74" s="11"/>
      <c r="P74" s="8">
        <v>252.94</v>
      </c>
      <c r="Q74" s="3"/>
      <c r="R74" s="7">
        <f t="shared" si="44"/>
        <v>0</v>
      </c>
      <c r="S74" s="3"/>
      <c r="T74" s="8">
        <v>8933.3799999999992</v>
      </c>
      <c r="U74" s="3"/>
      <c r="V74" s="7">
        <f t="shared" si="45"/>
        <v>0</v>
      </c>
      <c r="W74" s="3"/>
      <c r="X74" s="8">
        <f t="shared" si="46"/>
        <v>-8680.4399999999987</v>
      </c>
      <c r="Y74" s="3"/>
      <c r="Z74" s="7">
        <f t="shared" si="47"/>
        <v>-0.97168596880464053</v>
      </c>
    </row>
    <row r="75" spans="1:26" s="24" customFormat="1" hidden="1" outlineLevel="2" x14ac:dyDescent="0.25">
      <c r="A75" s="29"/>
      <c r="B75" s="11" t="str">
        <f>CONCATENATE("          ", "6244", " - ", "SAFETY SUPPLY EXPENSE")</f>
        <v xml:space="preserve">          6244 - SAFETY SUPPLY EXPENSE</v>
      </c>
      <c r="C75" s="11"/>
      <c r="D75" s="8">
        <v>101.67</v>
      </c>
      <c r="E75" s="3"/>
      <c r="F75" s="7">
        <f t="shared" si="40"/>
        <v>0</v>
      </c>
      <c r="G75" s="3"/>
      <c r="H75" s="8">
        <v>127.92</v>
      </c>
      <c r="I75" s="3"/>
      <c r="J75" s="7">
        <f t="shared" si="41"/>
        <v>0</v>
      </c>
      <c r="K75" s="3"/>
      <c r="L75" s="8">
        <f t="shared" si="42"/>
        <v>-26.25</v>
      </c>
      <c r="M75" s="3"/>
      <c r="N75" s="7">
        <f t="shared" si="43"/>
        <v>-0.20520637898686678</v>
      </c>
      <c r="O75" s="11"/>
      <c r="P75" s="8">
        <v>101.67</v>
      </c>
      <c r="Q75" s="3"/>
      <c r="R75" s="7">
        <f t="shared" si="44"/>
        <v>0</v>
      </c>
      <c r="S75" s="3"/>
      <c r="T75" s="8">
        <v>127.92</v>
      </c>
      <c r="U75" s="3"/>
      <c r="V75" s="7">
        <f t="shared" si="45"/>
        <v>0</v>
      </c>
      <c r="W75" s="3"/>
      <c r="X75" s="8">
        <f t="shared" si="46"/>
        <v>-26.25</v>
      </c>
      <c r="Y75" s="3"/>
      <c r="Z75" s="7">
        <f t="shared" si="47"/>
        <v>-0.20520637898686678</v>
      </c>
    </row>
    <row r="76" spans="1:26" s="24" customFormat="1" hidden="1" outlineLevel="2" x14ac:dyDescent="0.25">
      <c r="A76" s="29"/>
      <c r="B76" s="11" t="str">
        <f>CONCATENATE("          ", "6245", " - ", "PRINTING")</f>
        <v xml:space="preserve">          6245 - PRINTING</v>
      </c>
      <c r="C76" s="11"/>
      <c r="D76" s="8"/>
      <c r="E76" s="3"/>
      <c r="F76" s="7">
        <f t="shared" si="40"/>
        <v>0</v>
      </c>
      <c r="G76" s="3"/>
      <c r="H76" s="8">
        <v>955.11</v>
      </c>
      <c r="I76" s="3"/>
      <c r="J76" s="7">
        <f t="shared" si="41"/>
        <v>0</v>
      </c>
      <c r="K76" s="3"/>
      <c r="L76" s="8">
        <f t="shared" si="42"/>
        <v>-955.11</v>
      </c>
      <c r="M76" s="3"/>
      <c r="N76" s="7">
        <f t="shared" si="43"/>
        <v>-1</v>
      </c>
      <c r="O76" s="11"/>
      <c r="P76" s="8"/>
      <c r="Q76" s="3"/>
      <c r="R76" s="7">
        <f t="shared" si="44"/>
        <v>0</v>
      </c>
      <c r="S76" s="3"/>
      <c r="T76" s="8">
        <v>955.11</v>
      </c>
      <c r="U76" s="3"/>
      <c r="V76" s="7">
        <f t="shared" si="45"/>
        <v>0</v>
      </c>
      <c r="W76" s="3"/>
      <c r="X76" s="8">
        <f t="shared" si="46"/>
        <v>-955.11</v>
      </c>
      <c r="Y76" s="3"/>
      <c r="Z76" s="7">
        <f t="shared" si="47"/>
        <v>-1</v>
      </c>
    </row>
    <row r="77" spans="1:26" s="27" customFormat="1" outlineLevel="1" collapsed="1" x14ac:dyDescent="0.25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SUM(OSRRefD22_17x_0)</f>
        <v>2014.43</v>
      </c>
      <c r="E77" s="1"/>
      <c r="F77" s="5">
        <f t="shared" ref="F77:F79" si="48">IF(D$12=0,0,D77/D$12)</f>
        <v>0</v>
      </c>
      <c r="G77" s="1"/>
      <c r="H77" s="1">
        <f>SUM(OSRRefH22_17x_0)</f>
        <v>4914.92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-2900.49</v>
      </c>
      <c r="M77" s="1"/>
      <c r="N77" s="5">
        <f t="shared" ref="N77:N79" si="51">IF(H77=0,0,L77/H77)</f>
        <v>-0.59013981916287539</v>
      </c>
      <c r="O77" s="14"/>
      <c r="P77" s="1">
        <f>SUM(OSRRefP22_17x_0)</f>
        <v>2014.43</v>
      </c>
      <c r="Q77" s="1"/>
      <c r="R77" s="5">
        <f t="shared" ref="R77:R79" si="52">IF(P$12=0,0,P77/P$12)</f>
        <v>0</v>
      </c>
      <c r="S77" s="1"/>
      <c r="T77" s="1">
        <f>SUM(OSRRefT22_17x_0)</f>
        <v>4914.92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-2900.49</v>
      </c>
      <c r="Y77" s="1"/>
      <c r="Z77" s="5">
        <f t="shared" ref="Z77:Z79" si="55">IF(T77=0,0,X77/T77)</f>
        <v>-0.59013981916287539</v>
      </c>
    </row>
    <row r="78" spans="1:26" s="24" customFormat="1" hidden="1" outlineLevel="2" x14ac:dyDescent="0.25">
      <c r="A78" s="29"/>
      <c r="B78" s="11" t="str">
        <f>CONCATENATE("          ", "6303", " - ", "DATA PHONE LINES")</f>
        <v xml:space="preserve">          6303 - DATA PHONE LINES</v>
      </c>
      <c r="C78" s="11"/>
      <c r="D78" s="8">
        <v>78.989999999999995</v>
      </c>
      <c r="E78" s="3"/>
      <c r="F78" s="7">
        <f t="shared" si="48"/>
        <v>0</v>
      </c>
      <c r="G78" s="3"/>
      <c r="H78" s="8">
        <v>195.53</v>
      </c>
      <c r="I78" s="3"/>
      <c r="J78" s="7">
        <f t="shared" si="49"/>
        <v>0</v>
      </c>
      <c r="K78" s="3"/>
      <c r="L78" s="8">
        <f t="shared" si="50"/>
        <v>-116.54</v>
      </c>
      <c r="M78" s="3"/>
      <c r="N78" s="7">
        <f t="shared" si="51"/>
        <v>-0.59602107093540635</v>
      </c>
      <c r="O78" s="11"/>
      <c r="P78" s="8">
        <v>78.989999999999995</v>
      </c>
      <c r="Q78" s="3"/>
      <c r="R78" s="7">
        <f t="shared" si="52"/>
        <v>0</v>
      </c>
      <c r="S78" s="3"/>
      <c r="T78" s="8">
        <v>195.53</v>
      </c>
      <c r="U78" s="3"/>
      <c r="V78" s="7">
        <f t="shared" si="53"/>
        <v>0</v>
      </c>
      <c r="W78" s="3"/>
      <c r="X78" s="8">
        <f t="shared" si="54"/>
        <v>-116.54</v>
      </c>
      <c r="Y78" s="3"/>
      <c r="Z78" s="7">
        <f t="shared" si="55"/>
        <v>-0.59602107093540635</v>
      </c>
    </row>
    <row r="79" spans="1:26" s="24" customFormat="1" hidden="1" outlineLevel="2" x14ac:dyDescent="0.25">
      <c r="A79" s="29"/>
      <c r="B79" s="11" t="str">
        <f>CONCATENATE("          ", "6309", " - ", "TELEPHONE")</f>
        <v xml:space="preserve">          6309 - TELEPHONE</v>
      </c>
      <c r="C79" s="11"/>
      <c r="D79" s="8">
        <v>1935.44</v>
      </c>
      <c r="E79" s="3"/>
      <c r="F79" s="7">
        <f t="shared" si="48"/>
        <v>0</v>
      </c>
      <c r="G79" s="3"/>
      <c r="H79" s="8">
        <v>4719.3900000000003</v>
      </c>
      <c r="I79" s="3"/>
      <c r="J79" s="7">
        <f t="shared" si="49"/>
        <v>0</v>
      </c>
      <c r="K79" s="3"/>
      <c r="L79" s="8">
        <f t="shared" si="50"/>
        <v>-2783.9500000000003</v>
      </c>
      <c r="M79" s="3"/>
      <c r="N79" s="7">
        <f t="shared" si="51"/>
        <v>-0.58989615183318189</v>
      </c>
      <c r="O79" s="11"/>
      <c r="P79" s="8">
        <v>1935.44</v>
      </c>
      <c r="Q79" s="3"/>
      <c r="R79" s="7">
        <f t="shared" si="52"/>
        <v>0</v>
      </c>
      <c r="S79" s="3"/>
      <c r="T79" s="8">
        <v>4719.3900000000003</v>
      </c>
      <c r="U79" s="3"/>
      <c r="V79" s="7">
        <f t="shared" si="53"/>
        <v>0</v>
      </c>
      <c r="W79" s="3"/>
      <c r="X79" s="8">
        <f t="shared" si="54"/>
        <v>-2783.9500000000003</v>
      </c>
      <c r="Y79" s="3"/>
      <c r="Z79" s="7">
        <f t="shared" si="55"/>
        <v>-0.58989615183318189</v>
      </c>
    </row>
    <row r="80" spans="1:26" s="27" customFormat="1" outlineLevel="1" collapsed="1" x14ac:dyDescent="0.25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SUM(OSRRefD22_18x_0)</f>
        <v>0</v>
      </c>
      <c r="E80" s="1"/>
      <c r="F80" s="5">
        <f t="shared" ref="F80:F84" si="56">IF(D$12=0,0,D80/D$12)</f>
        <v>0</v>
      </c>
      <c r="G80" s="1"/>
      <c r="H80" s="1">
        <f>SUM(OSRRefH22_18x_0)</f>
        <v>746.62</v>
      </c>
      <c r="I80" s="1"/>
      <c r="J80" s="5">
        <f t="shared" ref="J80:J84" si="57">IF(H$12=0,0,H80/H$12)</f>
        <v>0</v>
      </c>
      <c r="K80" s="1"/>
      <c r="L80" s="1">
        <f t="shared" ref="L80:L84" si="58">+D80-H80</f>
        <v>-746.62</v>
      </c>
      <c r="M80" s="1"/>
      <c r="N80" s="5">
        <f t="shared" ref="N80:N84" si="59">IF(H80=0,0,L80/H80)</f>
        <v>-1</v>
      </c>
      <c r="O80" s="14"/>
      <c r="P80" s="1">
        <f>SUM(OSRRefP22_18x_0)</f>
        <v>0</v>
      </c>
      <c r="Q80" s="1"/>
      <c r="R80" s="5">
        <f t="shared" ref="R80:R84" si="60">IF(P$12=0,0,P80/P$12)</f>
        <v>0</v>
      </c>
      <c r="S80" s="1"/>
      <c r="T80" s="1">
        <f>SUM(OSRRefT22_18x_0)</f>
        <v>746.62</v>
      </c>
      <c r="U80" s="1"/>
      <c r="V80" s="5">
        <f t="shared" ref="V80:V84" si="61">IF(T$12=0,0,T80/T$12)</f>
        <v>0</v>
      </c>
      <c r="W80" s="1"/>
      <c r="X80" s="1">
        <f t="shared" ref="X80:X84" si="62">+P80-T80</f>
        <v>-746.62</v>
      </c>
      <c r="Y80" s="1"/>
      <c r="Z80" s="5">
        <f t="shared" ref="Z80:Z84" si="63">IF(T80=0,0,X80/T80)</f>
        <v>-1</v>
      </c>
    </row>
    <row r="81" spans="1:26" s="24" customFormat="1" hidden="1" outlineLevel="2" x14ac:dyDescent="0.25">
      <c r="A81" s="29"/>
      <c r="B81" s="11" t="str">
        <f>CONCATENATE("          ", "6376", " - ", "TRAINING")</f>
        <v xml:space="preserve">          6376 - TRAINING</v>
      </c>
      <c r="C81" s="11"/>
      <c r="D81" s="8"/>
      <c r="E81" s="3"/>
      <c r="F81" s="7">
        <f t="shared" si="56"/>
        <v>0</v>
      </c>
      <c r="G81" s="3"/>
      <c r="H81" s="8">
        <v>746.62</v>
      </c>
      <c r="I81" s="3"/>
      <c r="J81" s="7">
        <f t="shared" si="57"/>
        <v>0</v>
      </c>
      <c r="K81" s="3"/>
      <c r="L81" s="8">
        <f t="shared" si="58"/>
        <v>-746.62</v>
      </c>
      <c r="M81" s="3"/>
      <c r="N81" s="7">
        <f t="shared" si="59"/>
        <v>-1</v>
      </c>
      <c r="O81" s="11"/>
      <c r="P81" s="8"/>
      <c r="Q81" s="3"/>
      <c r="R81" s="7">
        <f t="shared" si="60"/>
        <v>0</v>
      </c>
      <c r="S81" s="3"/>
      <c r="T81" s="8">
        <v>746.62</v>
      </c>
      <c r="U81" s="3"/>
      <c r="V81" s="7">
        <f t="shared" si="61"/>
        <v>0</v>
      </c>
      <c r="W81" s="3"/>
      <c r="X81" s="8">
        <f t="shared" si="62"/>
        <v>-746.62</v>
      </c>
      <c r="Y81" s="3"/>
      <c r="Z81" s="7">
        <f t="shared" si="63"/>
        <v>-1</v>
      </c>
    </row>
    <row r="82" spans="1:26" s="27" customFormat="1" outlineLevel="1" collapsed="1" x14ac:dyDescent="0.25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SUM(OSRRefD22_19x_0)</f>
        <v>9.75</v>
      </c>
      <c r="E82" s="1"/>
      <c r="F82" s="5">
        <f t="shared" si="56"/>
        <v>0</v>
      </c>
      <c r="G82" s="1"/>
      <c r="H82" s="1">
        <f>SUM(OSRRefH22_19x_0)</f>
        <v>569</v>
      </c>
      <c r="I82" s="1"/>
      <c r="J82" s="5">
        <f t="shared" si="57"/>
        <v>0</v>
      </c>
      <c r="K82" s="1"/>
      <c r="L82" s="1">
        <f t="shared" si="58"/>
        <v>-559.25</v>
      </c>
      <c r="M82" s="1"/>
      <c r="N82" s="5">
        <f t="shared" si="59"/>
        <v>-0.98286467486818985</v>
      </c>
      <c r="O82" s="14"/>
      <c r="P82" s="1">
        <f>SUM(OSRRefP22_19x_0)</f>
        <v>9.75</v>
      </c>
      <c r="Q82" s="1"/>
      <c r="R82" s="5">
        <f t="shared" si="60"/>
        <v>0</v>
      </c>
      <c r="S82" s="1"/>
      <c r="T82" s="1">
        <f>SUM(OSRRefT22_19x_0)</f>
        <v>569</v>
      </c>
      <c r="U82" s="1"/>
      <c r="V82" s="5">
        <f t="shared" si="61"/>
        <v>0</v>
      </c>
      <c r="W82" s="1"/>
      <c r="X82" s="1">
        <f t="shared" si="62"/>
        <v>-559.25</v>
      </c>
      <c r="Y82" s="1"/>
      <c r="Z82" s="5">
        <f t="shared" si="63"/>
        <v>-0.98286467486818985</v>
      </c>
    </row>
    <row r="83" spans="1:26" s="24" customFormat="1" hidden="1" outlineLevel="2" x14ac:dyDescent="0.25">
      <c r="A83" s="29"/>
      <c r="B83" s="11" t="str">
        <f>CONCATENATE("          ", "6292", " - ", "TRAVEL/CONFERENCE")</f>
        <v xml:space="preserve">          6292 - TRAVEL/CONFERENCE</v>
      </c>
      <c r="C83" s="11"/>
      <c r="D83" s="8"/>
      <c r="E83" s="3"/>
      <c r="F83" s="7">
        <f t="shared" si="56"/>
        <v>0</v>
      </c>
      <c r="G83" s="3"/>
      <c r="H83" s="8">
        <v>569</v>
      </c>
      <c r="I83" s="3"/>
      <c r="J83" s="7">
        <f t="shared" si="57"/>
        <v>0</v>
      </c>
      <c r="K83" s="3"/>
      <c r="L83" s="8">
        <f t="shared" si="58"/>
        <v>-569</v>
      </c>
      <c r="M83" s="3"/>
      <c r="N83" s="7">
        <f t="shared" si="59"/>
        <v>-1</v>
      </c>
      <c r="O83" s="11"/>
      <c r="P83" s="8"/>
      <c r="Q83" s="3"/>
      <c r="R83" s="7">
        <f t="shared" si="60"/>
        <v>0</v>
      </c>
      <c r="S83" s="3"/>
      <c r="T83" s="8">
        <v>569</v>
      </c>
      <c r="U83" s="3"/>
      <c r="V83" s="7">
        <f t="shared" si="61"/>
        <v>0</v>
      </c>
      <c r="W83" s="3"/>
      <c r="X83" s="8">
        <f t="shared" si="62"/>
        <v>-569</v>
      </c>
      <c r="Y83" s="3"/>
      <c r="Z83" s="7">
        <f t="shared" si="63"/>
        <v>-1</v>
      </c>
    </row>
    <row r="84" spans="1:26" s="24" customFormat="1" hidden="1" outlineLevel="2" x14ac:dyDescent="0.25">
      <c r="A84" s="29"/>
      <c r="B84" s="11" t="str">
        <f>CONCATENATE("          ", "6294", " - ", "TRAVEL OPERATIONAL")</f>
        <v xml:space="preserve">          6294 - TRAVEL OPERATIONAL</v>
      </c>
      <c r="C84" s="11"/>
      <c r="D84" s="8">
        <v>9.75</v>
      </c>
      <c r="E84" s="3"/>
      <c r="F84" s="7">
        <f t="shared" si="56"/>
        <v>0</v>
      </c>
      <c r="G84" s="3"/>
      <c r="H84" s="8"/>
      <c r="I84" s="3"/>
      <c r="J84" s="7">
        <f t="shared" si="57"/>
        <v>0</v>
      </c>
      <c r="K84" s="3"/>
      <c r="L84" s="8">
        <f t="shared" si="58"/>
        <v>9.75</v>
      </c>
      <c r="M84" s="3"/>
      <c r="N84" s="7">
        <f t="shared" si="59"/>
        <v>0</v>
      </c>
      <c r="O84" s="11"/>
      <c r="P84" s="8">
        <v>9.75</v>
      </c>
      <c r="Q84" s="3"/>
      <c r="R84" s="7">
        <f t="shared" si="60"/>
        <v>0</v>
      </c>
      <c r="S84" s="3"/>
      <c r="T84" s="8"/>
      <c r="U84" s="3"/>
      <c r="V84" s="7">
        <f t="shared" si="61"/>
        <v>0</v>
      </c>
      <c r="W84" s="3"/>
      <c r="X84" s="8">
        <f t="shared" si="62"/>
        <v>9.75</v>
      </c>
      <c r="Y84" s="3"/>
      <c r="Z84" s="7">
        <f t="shared" si="63"/>
        <v>0</v>
      </c>
    </row>
    <row r="85" spans="1:26" s="61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10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25">
      <c r="A88" s="10"/>
      <c r="B88" s="26" t="s">
        <v>3</v>
      </c>
      <c r="C88" s="26"/>
      <c r="D88" s="19">
        <f>+D16-D18+D86</f>
        <v>-234703.24000000005</v>
      </c>
      <c r="E88" s="13"/>
      <c r="F88" s="20">
        <f>IF(D$12=0,0,D88/D$12)</f>
        <v>0</v>
      </c>
      <c r="G88" s="13"/>
      <c r="H88" s="19">
        <f>+H16-H18+H86</f>
        <v>-313331.27</v>
      </c>
      <c r="I88" s="13"/>
      <c r="J88" s="20">
        <f>IF(H$12=0,0,H88/H$12)</f>
        <v>0</v>
      </c>
      <c r="K88" s="16"/>
      <c r="L88" s="19">
        <f>+D88-H88</f>
        <v>78628.02999999997</v>
      </c>
      <c r="M88" s="16"/>
      <c r="N88" s="20">
        <f>IF(H88=0,0,L88/H88)</f>
        <v>-0.25094217375750583</v>
      </c>
      <c r="O88" s="25"/>
      <c r="P88" s="19">
        <f>+P16-P18+P86</f>
        <v>-234703.24000000005</v>
      </c>
      <c r="Q88" s="13"/>
      <c r="R88" s="20">
        <f>IF(P$12=0,0,P88/P$12)</f>
        <v>0</v>
      </c>
      <c r="S88" s="13"/>
      <c r="T88" s="19">
        <f>+T16-T18+T86</f>
        <v>-313331.27</v>
      </c>
      <c r="U88" s="13"/>
      <c r="V88" s="20">
        <f>IF(T$12=0,0,T88/T$12)</f>
        <v>0</v>
      </c>
      <c r="W88" s="16"/>
      <c r="X88" s="19">
        <f>+P88-T88</f>
        <v>78628.02999999997</v>
      </c>
      <c r="Y88" s="16"/>
      <c r="Z88" s="20">
        <f>IF(T88=0,0,X88/T88)</f>
        <v>-0.25094217375750583</v>
      </c>
    </row>
    <row r="89" spans="1:26" x14ac:dyDescent="0.25">
      <c r="A89" s="9"/>
      <c r="B89" s="10"/>
      <c r="C89" s="9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25">
      <c r="A90" s="51"/>
      <c r="B90" s="10" t="s">
        <v>13</v>
      </c>
      <c r="C90" s="10"/>
      <c r="D90" s="4"/>
      <c r="E90" s="4"/>
      <c r="F90" s="12">
        <f>IF(D$12=0,0,D90/D$12)</f>
        <v>0</v>
      </c>
      <c r="G90" s="4"/>
      <c r="H90" s="4"/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/>
      <c r="Q90" s="4"/>
      <c r="R90" s="12">
        <f>IF(P$12=0,0,P90/P$12)</f>
        <v>0</v>
      </c>
      <c r="S90" s="4"/>
      <c r="T90" s="4"/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10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.75" thickBot="1" x14ac:dyDescent="0.3">
      <c r="A92" s="10"/>
      <c r="B92" s="26" t="s">
        <v>4</v>
      </c>
      <c r="C92" s="26"/>
      <c r="D92" s="35">
        <f>+D88-D90</f>
        <v>-234703.24000000005</v>
      </c>
      <c r="E92" s="13"/>
      <c r="F92" s="30">
        <f>IF(D$12=0,0,D92/D$12)</f>
        <v>0</v>
      </c>
      <c r="G92" s="13"/>
      <c r="H92" s="35">
        <f>+H88-H90</f>
        <v>-313331.27</v>
      </c>
      <c r="I92" s="13"/>
      <c r="J92" s="30">
        <f>IF(H$12=0,0,H92/H$12)</f>
        <v>0</v>
      </c>
      <c r="K92" s="16"/>
      <c r="L92" s="35">
        <f>D92-H92</f>
        <v>78628.02999999997</v>
      </c>
      <c r="M92" s="16"/>
      <c r="N92" s="30">
        <f>IF(H92=0,0,L92/H92)</f>
        <v>-0.25094217375750583</v>
      </c>
      <c r="O92" s="25"/>
      <c r="P92" s="35">
        <f>+P88-P90</f>
        <v>-234703.24000000005</v>
      </c>
      <c r="Q92" s="13"/>
      <c r="R92" s="30">
        <f>IF(P$12=0,0,P92/P$12)</f>
        <v>0</v>
      </c>
      <c r="S92" s="13"/>
      <c r="T92" s="35">
        <f>+T88-T90</f>
        <v>-313331.27</v>
      </c>
      <c r="U92" s="13"/>
      <c r="V92" s="30">
        <f>IF(T$12=0,0,T92/T$12)</f>
        <v>0</v>
      </c>
      <c r="W92" s="16"/>
      <c r="X92" s="35">
        <f>P92-T92</f>
        <v>78628.02999999997</v>
      </c>
      <c r="Y92" s="16"/>
      <c r="Z92" s="30">
        <f>IF(T92=0,0,X92/T92)</f>
        <v>-0.25094217375750583</v>
      </c>
    </row>
    <row r="93" spans="1:26" ht="15.75" thickTop="1" x14ac:dyDescent="0.25">
      <c r="A93" s="9"/>
      <c r="B93" s="9"/>
      <c r="C93" s="9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x14ac:dyDescent="0.25">
      <c r="A94" s="9"/>
      <c r="B94" s="9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3" customFormat="1" ht="15.75" thickBot="1" x14ac:dyDescent="0.3">
      <c r="A95" s="10"/>
      <c r="B95" s="26" t="s">
        <v>5</v>
      </c>
      <c r="C95" s="26"/>
      <c r="D95" s="31">
        <f>SUM(D92:D94)</f>
        <v>-234703.24000000005</v>
      </c>
      <c r="E95" s="13"/>
      <c r="F95" s="32">
        <f>IF(D$12=0,0,D95/D$12)</f>
        <v>0</v>
      </c>
      <c r="G95" s="13"/>
      <c r="H95" s="31">
        <f>SUM(H92:H94)</f>
        <v>-313331.27</v>
      </c>
      <c r="I95" s="13"/>
      <c r="J95" s="32">
        <f>IF(H$12=0,0,H95/H$12)</f>
        <v>0</v>
      </c>
      <c r="K95" s="16"/>
      <c r="L95" s="31">
        <f>+D95-H95</f>
        <v>78628.02999999997</v>
      </c>
      <c r="M95" s="16"/>
      <c r="N95" s="32">
        <f>IF(H95=0,0,L95/H95)</f>
        <v>-0.25094217375750583</v>
      </c>
      <c r="O95" s="25"/>
      <c r="P95" s="31">
        <f>SUM(P92:P94)</f>
        <v>-234703.24000000005</v>
      </c>
      <c r="Q95" s="13"/>
      <c r="R95" s="32">
        <f>IF(P$12=0,0,P95/P$12)</f>
        <v>0</v>
      </c>
      <c r="S95" s="13"/>
      <c r="T95" s="31">
        <f>SUM(T92:T94)</f>
        <v>-313331.27</v>
      </c>
      <c r="U95" s="13"/>
      <c r="V95" s="32">
        <f>IF(T$12=0,0,T95/T$12)</f>
        <v>0</v>
      </c>
      <c r="W95" s="16"/>
      <c r="X95" s="31">
        <f>+P95-T95</f>
        <v>78628.02999999997</v>
      </c>
      <c r="Y95" s="16"/>
      <c r="Z95" s="32">
        <f>IF(T95=0,0,X95/T95)</f>
        <v>-0.25094217375750583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9">
        <v>44109.413547025462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2" t="s">
        <v>313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56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31956.86</v>
      </c>
      <c r="E18" s="21"/>
      <c r="F18" s="34">
        <f t="shared" ref="F18:F24" si="0">IF(D$12=0,0,D18/D$12)</f>
        <v>0</v>
      </c>
      <c r="G18" s="21"/>
      <c r="H18" s="21">
        <f>SUM(OSRRefH22x_0)</f>
        <v>32122.670000000002</v>
      </c>
      <c r="I18" s="21"/>
      <c r="J18" s="34">
        <f t="shared" ref="J18:J24" si="1">IF(H$12=0,0,H18/H$12)</f>
        <v>0</v>
      </c>
      <c r="K18" s="4"/>
      <c r="L18" s="21">
        <f t="shared" ref="L18:L24" si="2">+D18-H18</f>
        <v>-165.81000000000131</v>
      </c>
      <c r="M18" s="4"/>
      <c r="N18" s="34">
        <f t="shared" ref="N18:N24" si="3">IF(H18=0,0,L18/H18)</f>
        <v>-5.1617751575445412E-3</v>
      </c>
      <c r="O18" s="10"/>
      <c r="P18" s="21">
        <f>SUM(OSRRefP22x_0)</f>
        <v>31956.86</v>
      </c>
      <c r="Q18" s="21"/>
      <c r="R18" s="34">
        <f t="shared" ref="R18:R24" si="4">IF(P$12=0,0,P18/P$12)</f>
        <v>0</v>
      </c>
      <c r="S18" s="21"/>
      <c r="T18" s="21">
        <f>SUM(OSRRefT22x_0)</f>
        <v>32122.670000000002</v>
      </c>
      <c r="U18" s="21"/>
      <c r="V18" s="34">
        <f t="shared" ref="V18:V24" si="5">IF(T$12=0,0,T18/T$12)</f>
        <v>0</v>
      </c>
      <c r="W18" s="4"/>
      <c r="X18" s="21">
        <f t="shared" ref="X18:X24" si="6">+P18-T18</f>
        <v>-165.81000000000131</v>
      </c>
      <c r="Y18" s="4"/>
      <c r="Z18" s="34">
        <f t="shared" ref="Z18:Z24" si="7">IF(T18=0,0,X18/T18)</f>
        <v>-5.1617751575445412E-3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30249.09</v>
      </c>
      <c r="E19" s="1"/>
      <c r="F19" s="5">
        <f t="shared" si="0"/>
        <v>0</v>
      </c>
      <c r="G19" s="1"/>
      <c r="H19" s="1">
        <f>SUM(OSRRefH22_0x_0)</f>
        <v>28870.880000000001</v>
      </c>
      <c r="I19" s="1"/>
      <c r="J19" s="5">
        <f t="shared" si="1"/>
        <v>0</v>
      </c>
      <c r="K19" s="1"/>
      <c r="L19" s="1">
        <f t="shared" si="2"/>
        <v>1378.2099999999991</v>
      </c>
      <c r="M19" s="1"/>
      <c r="N19" s="5">
        <f t="shared" si="3"/>
        <v>4.7737027759458636E-2</v>
      </c>
      <c r="O19" s="14"/>
      <c r="P19" s="1">
        <f>SUM(OSRRefP22_0x_0)</f>
        <v>30249.09</v>
      </c>
      <c r="Q19" s="1"/>
      <c r="R19" s="5">
        <f t="shared" si="4"/>
        <v>0</v>
      </c>
      <c r="S19" s="1"/>
      <c r="T19" s="1">
        <f>SUM(OSRRefT22_0x_0)</f>
        <v>28870.880000000001</v>
      </c>
      <c r="U19" s="1"/>
      <c r="V19" s="5">
        <f t="shared" si="5"/>
        <v>0</v>
      </c>
      <c r="W19" s="1"/>
      <c r="X19" s="1">
        <f t="shared" si="6"/>
        <v>1378.2099999999991</v>
      </c>
      <c r="Y19" s="1"/>
      <c r="Z19" s="5">
        <f t="shared" si="7"/>
        <v>4.7737027759458636E-2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8">
        <v>30249.09</v>
      </c>
      <c r="E20" s="3"/>
      <c r="F20" s="7">
        <f t="shared" si="0"/>
        <v>0</v>
      </c>
      <c r="G20" s="3"/>
      <c r="H20" s="8">
        <v>28870.880000000001</v>
      </c>
      <c r="I20" s="3"/>
      <c r="J20" s="7">
        <f t="shared" si="1"/>
        <v>0</v>
      </c>
      <c r="K20" s="3"/>
      <c r="L20" s="8">
        <f t="shared" si="2"/>
        <v>1378.2099999999991</v>
      </c>
      <c r="M20" s="3"/>
      <c r="N20" s="7">
        <f t="shared" si="3"/>
        <v>4.7737027759458636E-2</v>
      </c>
      <c r="O20" s="11"/>
      <c r="P20" s="8">
        <v>30249.09</v>
      </c>
      <c r="Q20" s="3"/>
      <c r="R20" s="7">
        <f t="shared" si="4"/>
        <v>0</v>
      </c>
      <c r="S20" s="3"/>
      <c r="T20" s="8">
        <v>28870.880000000001</v>
      </c>
      <c r="U20" s="3"/>
      <c r="V20" s="7">
        <f t="shared" si="5"/>
        <v>0</v>
      </c>
      <c r="W20" s="3"/>
      <c r="X20" s="8">
        <f t="shared" si="6"/>
        <v>1378.2099999999991</v>
      </c>
      <c r="Y20" s="3"/>
      <c r="Z20" s="7">
        <f t="shared" si="7"/>
        <v>4.7737027759458636E-2</v>
      </c>
    </row>
    <row r="21" spans="1:26" s="27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923.98</v>
      </c>
      <c r="E21" s="1"/>
      <c r="F21" s="5">
        <f t="shared" si="0"/>
        <v>0</v>
      </c>
      <c r="G21" s="1"/>
      <c r="H21" s="1">
        <f>SUM(OSRRefH22_1x_0)</f>
        <v>826.39</v>
      </c>
      <c r="I21" s="1"/>
      <c r="J21" s="5">
        <f t="shared" si="1"/>
        <v>0</v>
      </c>
      <c r="K21" s="1"/>
      <c r="L21" s="1">
        <f t="shared" si="2"/>
        <v>97.590000000000032</v>
      </c>
      <c r="M21" s="1"/>
      <c r="N21" s="5">
        <f t="shared" si="3"/>
        <v>0.11809194206125441</v>
      </c>
      <c r="O21" s="14"/>
      <c r="P21" s="1">
        <f>SUM(OSRRefP22_1x_0)</f>
        <v>923.98</v>
      </c>
      <c r="Q21" s="1"/>
      <c r="R21" s="5">
        <f t="shared" si="4"/>
        <v>0</v>
      </c>
      <c r="S21" s="1"/>
      <c r="T21" s="1">
        <f>SUM(OSRRefT22_1x_0)</f>
        <v>826.39</v>
      </c>
      <c r="U21" s="1"/>
      <c r="V21" s="5">
        <f t="shared" si="5"/>
        <v>0</v>
      </c>
      <c r="W21" s="1"/>
      <c r="X21" s="1">
        <f t="shared" si="6"/>
        <v>97.590000000000032</v>
      </c>
      <c r="Y21" s="1"/>
      <c r="Z21" s="5">
        <f t="shared" si="7"/>
        <v>0.11809194206125441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8">
        <v>923.98</v>
      </c>
      <c r="E22" s="3"/>
      <c r="F22" s="7">
        <f t="shared" si="0"/>
        <v>0</v>
      </c>
      <c r="G22" s="3"/>
      <c r="H22" s="8">
        <v>826.39</v>
      </c>
      <c r="I22" s="3"/>
      <c r="J22" s="7">
        <f t="shared" si="1"/>
        <v>0</v>
      </c>
      <c r="K22" s="3"/>
      <c r="L22" s="8">
        <f t="shared" si="2"/>
        <v>97.590000000000032</v>
      </c>
      <c r="M22" s="3"/>
      <c r="N22" s="7">
        <f t="shared" si="3"/>
        <v>0.11809194206125441</v>
      </c>
      <c r="O22" s="11"/>
      <c r="P22" s="8">
        <v>923.98</v>
      </c>
      <c r="Q22" s="3"/>
      <c r="R22" s="7">
        <f t="shared" si="4"/>
        <v>0</v>
      </c>
      <c r="S22" s="3"/>
      <c r="T22" s="8">
        <v>826.39</v>
      </c>
      <c r="U22" s="3"/>
      <c r="V22" s="7">
        <f t="shared" si="5"/>
        <v>0</v>
      </c>
      <c r="W22" s="3"/>
      <c r="X22" s="8">
        <f t="shared" si="6"/>
        <v>97.590000000000032</v>
      </c>
      <c r="Y22" s="3"/>
      <c r="Z22" s="7">
        <f t="shared" si="7"/>
        <v>0.11809194206125441</v>
      </c>
    </row>
    <row r="23" spans="1:26" s="27" customFormat="1" outlineLevel="1" collapsed="1" x14ac:dyDescent="0.25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783.79</v>
      </c>
      <c r="E23" s="1"/>
      <c r="F23" s="5">
        <f t="shared" si="0"/>
        <v>0</v>
      </c>
      <c r="G23" s="1"/>
      <c r="H23" s="1">
        <f>SUM(OSRRefH22_2x_0)</f>
        <v>2425.4</v>
      </c>
      <c r="I23" s="1"/>
      <c r="J23" s="5">
        <f t="shared" si="1"/>
        <v>0</v>
      </c>
      <c r="K23" s="1"/>
      <c r="L23" s="1">
        <f t="shared" si="2"/>
        <v>-1641.6100000000001</v>
      </c>
      <c r="M23" s="1"/>
      <c r="N23" s="5">
        <f t="shared" si="3"/>
        <v>-0.67684093345427565</v>
      </c>
      <c r="O23" s="14"/>
      <c r="P23" s="1">
        <f>SUM(OSRRefP22_2x_0)</f>
        <v>783.79</v>
      </c>
      <c r="Q23" s="1"/>
      <c r="R23" s="5">
        <f t="shared" si="4"/>
        <v>0</v>
      </c>
      <c r="S23" s="1"/>
      <c r="T23" s="1">
        <f>SUM(OSRRefT22_2x_0)</f>
        <v>2425.4</v>
      </c>
      <c r="U23" s="1"/>
      <c r="V23" s="5">
        <f t="shared" si="5"/>
        <v>0</v>
      </c>
      <c r="W23" s="1"/>
      <c r="X23" s="1">
        <f t="shared" si="6"/>
        <v>-1641.6100000000001</v>
      </c>
      <c r="Y23" s="1"/>
      <c r="Z23" s="5">
        <f t="shared" si="7"/>
        <v>-0.67684093345427565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8">
        <v>783.79</v>
      </c>
      <c r="E24" s="3"/>
      <c r="F24" s="7">
        <f t="shared" si="0"/>
        <v>0</v>
      </c>
      <c r="G24" s="3"/>
      <c r="H24" s="8">
        <v>2425.4</v>
      </c>
      <c r="I24" s="3"/>
      <c r="J24" s="7">
        <f t="shared" si="1"/>
        <v>0</v>
      </c>
      <c r="K24" s="3"/>
      <c r="L24" s="8">
        <f t="shared" si="2"/>
        <v>-1641.6100000000001</v>
      </c>
      <c r="M24" s="3"/>
      <c r="N24" s="7">
        <f t="shared" si="3"/>
        <v>-0.67684093345427565</v>
      </c>
      <c r="O24" s="11"/>
      <c r="P24" s="8">
        <v>783.79</v>
      </c>
      <c r="Q24" s="3"/>
      <c r="R24" s="7">
        <f t="shared" si="4"/>
        <v>0</v>
      </c>
      <c r="S24" s="3"/>
      <c r="T24" s="8">
        <v>2425.4</v>
      </c>
      <c r="U24" s="3"/>
      <c r="V24" s="7">
        <f t="shared" si="5"/>
        <v>0</v>
      </c>
      <c r="W24" s="3"/>
      <c r="X24" s="8">
        <f t="shared" si="6"/>
        <v>-1641.6100000000001</v>
      </c>
      <c r="Y24" s="3"/>
      <c r="Z24" s="7">
        <f t="shared" si="7"/>
        <v>-0.67684093345427565</v>
      </c>
    </row>
    <row r="25" spans="1:26" s="61" customFormat="1" x14ac:dyDescent="0.25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25">
      <c r="A28" s="10"/>
      <c r="B28" s="26" t="s">
        <v>3</v>
      </c>
      <c r="C28" s="26"/>
      <c r="D28" s="19">
        <f>+D16-D18+D26</f>
        <v>-31956.86</v>
      </c>
      <c r="E28" s="13"/>
      <c r="F28" s="20">
        <f>IF(D$12=0,0,D28/D$12)</f>
        <v>0</v>
      </c>
      <c r="G28" s="13"/>
      <c r="H28" s="19">
        <f>+H16-H18+H26</f>
        <v>-32122.670000000002</v>
      </c>
      <c r="I28" s="13"/>
      <c r="J28" s="20">
        <f>IF(H$12=0,0,H28/H$12)</f>
        <v>0</v>
      </c>
      <c r="K28" s="16"/>
      <c r="L28" s="19">
        <f>+D28-H28</f>
        <v>165.81000000000131</v>
      </c>
      <c r="M28" s="16"/>
      <c r="N28" s="20">
        <f>IF(H28=0,0,L28/H28)</f>
        <v>-5.1617751575445412E-3</v>
      </c>
      <c r="O28" s="25"/>
      <c r="P28" s="19">
        <f>+P16-P18+P26</f>
        <v>-31956.86</v>
      </c>
      <c r="Q28" s="13"/>
      <c r="R28" s="20">
        <f>IF(P$12=0,0,P28/P$12)</f>
        <v>0</v>
      </c>
      <c r="S28" s="13"/>
      <c r="T28" s="19">
        <f>+T16-T18+T26</f>
        <v>-32122.670000000002</v>
      </c>
      <c r="U28" s="13"/>
      <c r="V28" s="20">
        <f>IF(T$12=0,0,T28/T$12)</f>
        <v>0</v>
      </c>
      <c r="W28" s="16"/>
      <c r="X28" s="19">
        <f>+P28-T28</f>
        <v>165.81000000000131</v>
      </c>
      <c r="Y28" s="16"/>
      <c r="Z28" s="20">
        <f>IF(T28=0,0,X28/T28)</f>
        <v>-5.1617751575445412E-3</v>
      </c>
    </row>
    <row r="29" spans="1:26" x14ac:dyDescent="0.25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25">
      <c r="A30" s="51"/>
      <c r="B30" s="10" t="s">
        <v>13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.75" thickBot="1" x14ac:dyDescent="0.3">
      <c r="A32" s="10"/>
      <c r="B32" s="26" t="s">
        <v>4</v>
      </c>
      <c r="C32" s="26"/>
      <c r="D32" s="35">
        <f>+D28-D30</f>
        <v>-31956.86</v>
      </c>
      <c r="E32" s="13"/>
      <c r="F32" s="30">
        <f>IF(D$12=0,0,D32/D$12)</f>
        <v>0</v>
      </c>
      <c r="G32" s="13"/>
      <c r="H32" s="35">
        <f>+H28-H30</f>
        <v>-32122.670000000002</v>
      </c>
      <c r="I32" s="13"/>
      <c r="J32" s="30">
        <f>IF(H$12=0,0,H32/H$12)</f>
        <v>0</v>
      </c>
      <c r="K32" s="16"/>
      <c r="L32" s="35">
        <f>D32-H32</f>
        <v>165.81000000000131</v>
      </c>
      <c r="M32" s="16"/>
      <c r="N32" s="30">
        <f>IF(H32=0,0,L32/H32)</f>
        <v>-5.1617751575445412E-3</v>
      </c>
      <c r="O32" s="25"/>
      <c r="P32" s="35">
        <f>+P28-P30</f>
        <v>-31956.86</v>
      </c>
      <c r="Q32" s="13"/>
      <c r="R32" s="30">
        <f>IF(P$12=0,0,P32/P$12)</f>
        <v>0</v>
      </c>
      <c r="S32" s="13"/>
      <c r="T32" s="35">
        <f>+T28-T30</f>
        <v>-32122.670000000002</v>
      </c>
      <c r="U32" s="13"/>
      <c r="V32" s="30">
        <f>IF(T$12=0,0,T32/T$12)</f>
        <v>0</v>
      </c>
      <c r="W32" s="16"/>
      <c r="X32" s="35">
        <f>P32-T32</f>
        <v>165.81000000000131</v>
      </c>
      <c r="Y32" s="16"/>
      <c r="Z32" s="30">
        <f>IF(T32=0,0,X32/T32)</f>
        <v>-5.1617751575445412E-3</v>
      </c>
    </row>
    <row r="33" spans="1:26" ht="15.75" thickTop="1" x14ac:dyDescent="0.25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25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.75" thickBot="1" x14ac:dyDescent="0.3">
      <c r="A35" s="10"/>
      <c r="B35" s="26" t="s">
        <v>5</v>
      </c>
      <c r="C35" s="26"/>
      <c r="D35" s="31">
        <f>SUM(D32:D34)</f>
        <v>-31956.86</v>
      </c>
      <c r="E35" s="13"/>
      <c r="F35" s="32">
        <f>IF(D$12=0,0,D35/D$12)</f>
        <v>0</v>
      </c>
      <c r="G35" s="13"/>
      <c r="H35" s="31">
        <f>SUM(H32:H34)</f>
        <v>-32122.670000000002</v>
      </c>
      <c r="I35" s="13"/>
      <c r="J35" s="32">
        <f>IF(H$12=0,0,H35/H$12)</f>
        <v>0</v>
      </c>
      <c r="K35" s="16"/>
      <c r="L35" s="31">
        <f>+D35-H35</f>
        <v>165.81000000000131</v>
      </c>
      <c r="M35" s="16"/>
      <c r="N35" s="32">
        <f>IF(H35=0,0,L35/H35)</f>
        <v>-5.1617751575445412E-3</v>
      </c>
      <c r="O35" s="25"/>
      <c r="P35" s="31">
        <f>SUM(P32:P34)</f>
        <v>-31956.86</v>
      </c>
      <c r="Q35" s="13"/>
      <c r="R35" s="32">
        <f>IF(P$12=0,0,P35/P$12)</f>
        <v>0</v>
      </c>
      <c r="S35" s="13"/>
      <c r="T35" s="31">
        <f>SUM(T32:T34)</f>
        <v>-32122.670000000002</v>
      </c>
      <c r="U35" s="13"/>
      <c r="V35" s="32">
        <f>IF(T$12=0,0,T35/T$12)</f>
        <v>0</v>
      </c>
      <c r="W35" s="16"/>
      <c r="X35" s="31">
        <f>+P35-T35</f>
        <v>165.81000000000131</v>
      </c>
      <c r="Y35" s="16"/>
      <c r="Z35" s="32">
        <f>IF(T35=0,0,X35/T35)</f>
        <v>-5.1617751575445412E-3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9">
        <v>44109.413928391201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2" t="s">
        <v>313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35660.750000000007</v>
      </c>
      <c r="E18" s="21"/>
      <c r="F18" s="34">
        <f t="shared" ref="F18:F27" si="0">IF(D$12=0,0,D18/D$12)</f>
        <v>0</v>
      </c>
      <c r="G18" s="21"/>
      <c r="H18" s="21">
        <f>SUM(OSRRefH22x_0)</f>
        <v>77391.169999999969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-41730.419999999962</v>
      </c>
      <c r="M18" s="4"/>
      <c r="N18" s="34">
        <f t="shared" ref="N18:N27" si="3">IF(H18=0,0,L18/H18)</f>
        <v>-0.539214228186497</v>
      </c>
      <c r="O18" s="10"/>
      <c r="P18" s="21">
        <f>SUM(OSRRefP22x_0)</f>
        <v>35660.750000000007</v>
      </c>
      <c r="Q18" s="21"/>
      <c r="R18" s="34">
        <f t="shared" ref="R18:R27" si="4">IF(P$12=0,0,P18/P$12)</f>
        <v>0</v>
      </c>
      <c r="S18" s="21"/>
      <c r="T18" s="21">
        <f>SUM(OSRRefT22x_0)</f>
        <v>77391.169999999969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-41730.419999999962</v>
      </c>
      <c r="Y18" s="4"/>
      <c r="Z18" s="34">
        <f t="shared" ref="Z18:Z27" si="7">IF(T18=0,0,X18/T18)</f>
        <v>-0.539214228186497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11138.359999999999</v>
      </c>
      <c r="E19" s="1"/>
      <c r="F19" s="5">
        <f t="shared" si="0"/>
        <v>0</v>
      </c>
      <c r="G19" s="1"/>
      <c r="H19" s="1">
        <f>SUM(OSRRefH22_0x_0)</f>
        <v>21882.059999999998</v>
      </c>
      <c r="I19" s="1"/>
      <c r="J19" s="5">
        <f t="shared" si="1"/>
        <v>0</v>
      </c>
      <c r="K19" s="1"/>
      <c r="L19" s="1">
        <f t="shared" si="2"/>
        <v>-10743.699999999999</v>
      </c>
      <c r="M19" s="1"/>
      <c r="N19" s="5">
        <f t="shared" si="3"/>
        <v>-0.49098211045943574</v>
      </c>
      <c r="O19" s="14"/>
      <c r="P19" s="1">
        <f>SUM(OSRRefP22_0x_0)</f>
        <v>11138.359999999999</v>
      </c>
      <c r="Q19" s="1"/>
      <c r="R19" s="5">
        <f t="shared" si="4"/>
        <v>0</v>
      </c>
      <c r="S19" s="1"/>
      <c r="T19" s="1">
        <f>SUM(OSRRefT22_0x_0)</f>
        <v>21882.059999999998</v>
      </c>
      <c r="U19" s="1"/>
      <c r="V19" s="5">
        <f t="shared" si="5"/>
        <v>0</v>
      </c>
      <c r="W19" s="1"/>
      <c r="X19" s="1">
        <f t="shared" si="6"/>
        <v>-10743.699999999999</v>
      </c>
      <c r="Y19" s="1"/>
      <c r="Z19" s="5">
        <f t="shared" si="7"/>
        <v>-0.49098211045943574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1447.92</v>
      </c>
      <c r="E20" s="3"/>
      <c r="F20" s="7">
        <f t="shared" si="0"/>
        <v>0</v>
      </c>
      <c r="G20" s="3"/>
      <c r="H20" s="8">
        <v>2863.07</v>
      </c>
      <c r="I20" s="3"/>
      <c r="J20" s="7">
        <f t="shared" si="1"/>
        <v>0</v>
      </c>
      <c r="K20" s="3"/>
      <c r="L20" s="8">
        <f t="shared" si="2"/>
        <v>-1415.15</v>
      </c>
      <c r="M20" s="3"/>
      <c r="N20" s="7">
        <f t="shared" si="3"/>
        <v>-0.49427712211018243</v>
      </c>
      <c r="O20" s="11"/>
      <c r="P20" s="8">
        <v>1447.92</v>
      </c>
      <c r="Q20" s="3"/>
      <c r="R20" s="7">
        <f t="shared" si="4"/>
        <v>0</v>
      </c>
      <c r="S20" s="3"/>
      <c r="T20" s="8">
        <v>2863.07</v>
      </c>
      <c r="U20" s="3"/>
      <c r="V20" s="7">
        <f t="shared" si="5"/>
        <v>0</v>
      </c>
      <c r="W20" s="3"/>
      <c r="X20" s="8">
        <f t="shared" si="6"/>
        <v>-1415.15</v>
      </c>
      <c r="Y20" s="3"/>
      <c r="Z20" s="7">
        <f t="shared" si="7"/>
        <v>-0.49427712211018243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62.46</v>
      </c>
      <c r="E21" s="3"/>
      <c r="F21" s="7">
        <f t="shared" si="0"/>
        <v>0</v>
      </c>
      <c r="G21" s="3"/>
      <c r="H21" s="8">
        <v>112.88</v>
      </c>
      <c r="I21" s="3"/>
      <c r="J21" s="7">
        <f t="shared" si="1"/>
        <v>0</v>
      </c>
      <c r="K21" s="3"/>
      <c r="L21" s="8">
        <f t="shared" si="2"/>
        <v>-50.419999999999995</v>
      </c>
      <c r="M21" s="3"/>
      <c r="N21" s="7">
        <f t="shared" si="3"/>
        <v>-0.44666902905740608</v>
      </c>
      <c r="O21" s="11"/>
      <c r="P21" s="8">
        <v>62.46</v>
      </c>
      <c r="Q21" s="3"/>
      <c r="R21" s="7">
        <f t="shared" si="4"/>
        <v>0</v>
      </c>
      <c r="S21" s="3"/>
      <c r="T21" s="8">
        <v>112.88</v>
      </c>
      <c r="U21" s="3"/>
      <c r="V21" s="7">
        <f t="shared" si="5"/>
        <v>0</v>
      </c>
      <c r="W21" s="3"/>
      <c r="X21" s="8">
        <f t="shared" si="6"/>
        <v>-50.419999999999995</v>
      </c>
      <c r="Y21" s="3"/>
      <c r="Z21" s="7">
        <f t="shared" si="7"/>
        <v>-0.44666902905740608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3965.44</v>
      </c>
      <c r="E22" s="3"/>
      <c r="F22" s="7">
        <f t="shared" si="0"/>
        <v>0</v>
      </c>
      <c r="G22" s="3"/>
      <c r="H22" s="8">
        <v>4870.25</v>
      </c>
      <c r="I22" s="3"/>
      <c r="J22" s="7">
        <f t="shared" si="1"/>
        <v>0</v>
      </c>
      <c r="K22" s="3"/>
      <c r="L22" s="8">
        <f t="shared" si="2"/>
        <v>-904.81</v>
      </c>
      <c r="M22" s="3"/>
      <c r="N22" s="7">
        <f t="shared" si="3"/>
        <v>-0.18578307068425645</v>
      </c>
      <c r="O22" s="11"/>
      <c r="P22" s="8">
        <v>3965.44</v>
      </c>
      <c r="Q22" s="3"/>
      <c r="R22" s="7">
        <f t="shared" si="4"/>
        <v>0</v>
      </c>
      <c r="S22" s="3"/>
      <c r="T22" s="8">
        <v>4870.25</v>
      </c>
      <c r="U22" s="3"/>
      <c r="V22" s="7">
        <f t="shared" si="5"/>
        <v>0</v>
      </c>
      <c r="W22" s="3"/>
      <c r="X22" s="8">
        <f t="shared" si="6"/>
        <v>-904.81</v>
      </c>
      <c r="Y22" s="3"/>
      <c r="Z22" s="7">
        <f t="shared" si="7"/>
        <v>-0.18578307068425645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49.21</v>
      </c>
      <c r="E23" s="3"/>
      <c r="F23" s="7">
        <f t="shared" si="0"/>
        <v>0</v>
      </c>
      <c r="G23" s="3"/>
      <c r="H23" s="8">
        <v>86.32</v>
      </c>
      <c r="I23" s="3"/>
      <c r="J23" s="7">
        <f t="shared" si="1"/>
        <v>0</v>
      </c>
      <c r="K23" s="3"/>
      <c r="L23" s="8">
        <f t="shared" si="2"/>
        <v>-37.109999999999992</v>
      </c>
      <c r="M23" s="3"/>
      <c r="N23" s="7">
        <f t="shared" si="3"/>
        <v>-0.42991195551436512</v>
      </c>
      <c r="O23" s="11"/>
      <c r="P23" s="8">
        <v>49.21</v>
      </c>
      <c r="Q23" s="3"/>
      <c r="R23" s="7">
        <f t="shared" si="4"/>
        <v>0</v>
      </c>
      <c r="S23" s="3"/>
      <c r="T23" s="8">
        <v>86.32</v>
      </c>
      <c r="U23" s="3"/>
      <c r="V23" s="7">
        <f t="shared" si="5"/>
        <v>0</v>
      </c>
      <c r="W23" s="3"/>
      <c r="X23" s="8">
        <f t="shared" si="6"/>
        <v>-37.109999999999992</v>
      </c>
      <c r="Y23" s="3"/>
      <c r="Z23" s="7">
        <f t="shared" si="7"/>
        <v>-0.42991195551436512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3073.55</v>
      </c>
      <c r="E24" s="3"/>
      <c r="F24" s="7">
        <f t="shared" si="0"/>
        <v>0</v>
      </c>
      <c r="G24" s="3"/>
      <c r="H24" s="8">
        <v>3181.98</v>
      </c>
      <c r="I24" s="3"/>
      <c r="J24" s="7">
        <f t="shared" si="1"/>
        <v>0</v>
      </c>
      <c r="K24" s="3"/>
      <c r="L24" s="8">
        <f t="shared" si="2"/>
        <v>-108.42999999999984</v>
      </c>
      <c r="M24" s="3"/>
      <c r="N24" s="7">
        <f t="shared" si="3"/>
        <v>-3.4076266978422191E-2</v>
      </c>
      <c r="O24" s="11"/>
      <c r="P24" s="8">
        <v>3073.55</v>
      </c>
      <c r="Q24" s="3"/>
      <c r="R24" s="7">
        <f t="shared" si="4"/>
        <v>0</v>
      </c>
      <c r="S24" s="3"/>
      <c r="T24" s="8">
        <v>3181.98</v>
      </c>
      <c r="U24" s="3"/>
      <c r="V24" s="7">
        <f t="shared" si="5"/>
        <v>0</v>
      </c>
      <c r="W24" s="3"/>
      <c r="X24" s="8">
        <f t="shared" si="6"/>
        <v>-108.42999999999984</v>
      </c>
      <c r="Y24" s="3"/>
      <c r="Z24" s="7">
        <f t="shared" si="7"/>
        <v>-3.4076266978422191E-2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>
        <v>1658.98</v>
      </c>
      <c r="E25" s="3"/>
      <c r="F25" s="7">
        <f t="shared" si="0"/>
        <v>0</v>
      </c>
      <c r="G25" s="3"/>
      <c r="H25" s="8">
        <v>4208.96</v>
      </c>
      <c r="I25" s="3"/>
      <c r="J25" s="7">
        <f t="shared" si="1"/>
        <v>0</v>
      </c>
      <c r="K25" s="3"/>
      <c r="L25" s="8">
        <f t="shared" si="2"/>
        <v>-2549.98</v>
      </c>
      <c r="M25" s="3"/>
      <c r="N25" s="7">
        <f t="shared" si="3"/>
        <v>-0.60584562457234092</v>
      </c>
      <c r="O25" s="11"/>
      <c r="P25" s="8">
        <v>1658.98</v>
      </c>
      <c r="Q25" s="3"/>
      <c r="R25" s="7">
        <f t="shared" si="4"/>
        <v>0</v>
      </c>
      <c r="S25" s="3"/>
      <c r="T25" s="8">
        <v>4208.96</v>
      </c>
      <c r="U25" s="3"/>
      <c r="V25" s="7">
        <f t="shared" si="5"/>
        <v>0</v>
      </c>
      <c r="W25" s="3"/>
      <c r="X25" s="8">
        <f t="shared" si="6"/>
        <v>-2549.98</v>
      </c>
      <c r="Y25" s="3"/>
      <c r="Z25" s="7">
        <f t="shared" si="7"/>
        <v>-0.60584562457234092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>
        <v>856.8</v>
      </c>
      <c r="E26" s="3"/>
      <c r="F26" s="7">
        <f t="shared" si="0"/>
        <v>0</v>
      </c>
      <c r="G26" s="3"/>
      <c r="H26" s="8">
        <v>6119.23</v>
      </c>
      <c r="I26" s="3"/>
      <c r="J26" s="7">
        <f t="shared" si="1"/>
        <v>0</v>
      </c>
      <c r="K26" s="3"/>
      <c r="L26" s="8">
        <f t="shared" si="2"/>
        <v>-5262.4299999999994</v>
      </c>
      <c r="M26" s="3"/>
      <c r="N26" s="7">
        <f t="shared" si="3"/>
        <v>-0.85998238340444788</v>
      </c>
      <c r="O26" s="11"/>
      <c r="P26" s="8">
        <v>856.8</v>
      </c>
      <c r="Q26" s="3"/>
      <c r="R26" s="7">
        <f t="shared" si="4"/>
        <v>0</v>
      </c>
      <c r="S26" s="3"/>
      <c r="T26" s="8">
        <v>6119.23</v>
      </c>
      <c r="U26" s="3"/>
      <c r="V26" s="7">
        <f t="shared" si="5"/>
        <v>0</v>
      </c>
      <c r="W26" s="3"/>
      <c r="X26" s="8">
        <f t="shared" si="6"/>
        <v>-5262.4299999999994</v>
      </c>
      <c r="Y26" s="3"/>
      <c r="Z26" s="7">
        <f t="shared" si="7"/>
        <v>-0.85998238340444788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8">
        <v>24</v>
      </c>
      <c r="E27" s="3"/>
      <c r="F27" s="7">
        <f t="shared" si="0"/>
        <v>0</v>
      </c>
      <c r="G27" s="3"/>
      <c r="H27" s="8">
        <v>439.37</v>
      </c>
      <c r="I27" s="3"/>
      <c r="J27" s="7">
        <f t="shared" si="1"/>
        <v>0</v>
      </c>
      <c r="K27" s="3"/>
      <c r="L27" s="8">
        <f t="shared" si="2"/>
        <v>-415.37</v>
      </c>
      <c r="M27" s="3"/>
      <c r="N27" s="7">
        <f t="shared" si="3"/>
        <v>-0.9453763342968341</v>
      </c>
      <c r="O27" s="11"/>
      <c r="P27" s="8">
        <v>24</v>
      </c>
      <c r="Q27" s="3"/>
      <c r="R27" s="7">
        <f t="shared" si="4"/>
        <v>0</v>
      </c>
      <c r="S27" s="3"/>
      <c r="T27" s="8">
        <v>439.37</v>
      </c>
      <c r="U27" s="3"/>
      <c r="V27" s="7">
        <f t="shared" si="5"/>
        <v>0</v>
      </c>
      <c r="W27" s="3"/>
      <c r="X27" s="8">
        <f t="shared" si="6"/>
        <v>-415.37</v>
      </c>
      <c r="Y27" s="3"/>
      <c r="Z27" s="7">
        <f t="shared" si="7"/>
        <v>-0.9453763342968341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20793.400000000001</v>
      </c>
      <c r="E28" s="1"/>
      <c r="F28" s="5">
        <f t="shared" ref="F28:F31" si="8">IF(D$12=0,0,D28/D$12)</f>
        <v>0</v>
      </c>
      <c r="G28" s="1"/>
      <c r="H28" s="1">
        <f>SUM(OSRRefH22_1x_0)</f>
        <v>35837.299999999996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-15043.899999999994</v>
      </c>
      <c r="M28" s="1"/>
      <c r="N28" s="5">
        <f t="shared" ref="N28:N31" si="11">IF(H28=0,0,L28/H28)</f>
        <v>-0.41978329840696693</v>
      </c>
      <c r="O28" s="14"/>
      <c r="P28" s="1">
        <f>SUM(OSRRefP22_1x_0)</f>
        <v>20793.400000000001</v>
      </c>
      <c r="Q28" s="1"/>
      <c r="R28" s="5">
        <f t="shared" ref="R28:R31" si="12">IF(P$12=0,0,P28/P$12)</f>
        <v>0</v>
      </c>
      <c r="S28" s="1"/>
      <c r="T28" s="1">
        <f>SUM(OSRRefT22_1x_0)</f>
        <v>35837.299999999996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-15043.899999999994</v>
      </c>
      <c r="Y28" s="1"/>
      <c r="Z28" s="5">
        <f t="shared" ref="Z28:Z31" si="15">IF(T28=0,0,X28/T28)</f>
        <v>-0.41978329840696693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8">
        <v>16876.34</v>
      </c>
      <c r="E29" s="3"/>
      <c r="F29" s="7">
        <f t="shared" si="8"/>
        <v>0</v>
      </c>
      <c r="G29" s="3"/>
      <c r="H29" s="8">
        <v>28358.92</v>
      </c>
      <c r="I29" s="3"/>
      <c r="J29" s="7">
        <f t="shared" si="9"/>
        <v>0</v>
      </c>
      <c r="K29" s="3"/>
      <c r="L29" s="8">
        <f t="shared" si="10"/>
        <v>-11482.579999999998</v>
      </c>
      <c r="M29" s="3"/>
      <c r="N29" s="7">
        <f t="shared" si="11"/>
        <v>-0.40490187919709208</v>
      </c>
      <c r="O29" s="11"/>
      <c r="P29" s="8">
        <v>16876.34</v>
      </c>
      <c r="Q29" s="3"/>
      <c r="R29" s="7">
        <f t="shared" si="12"/>
        <v>0</v>
      </c>
      <c r="S29" s="3"/>
      <c r="T29" s="8">
        <v>28358.92</v>
      </c>
      <c r="U29" s="3"/>
      <c r="V29" s="7">
        <f t="shared" si="13"/>
        <v>0</v>
      </c>
      <c r="W29" s="3"/>
      <c r="X29" s="8">
        <f t="shared" si="14"/>
        <v>-11482.579999999998</v>
      </c>
      <c r="Y29" s="3"/>
      <c r="Z29" s="7">
        <f t="shared" si="15"/>
        <v>-0.40490187919709208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8">
        <v>3917.06</v>
      </c>
      <c r="E30" s="3"/>
      <c r="F30" s="7">
        <f t="shared" si="8"/>
        <v>0</v>
      </c>
      <c r="G30" s="3"/>
      <c r="H30" s="8">
        <v>5141.18</v>
      </c>
      <c r="I30" s="3"/>
      <c r="J30" s="7">
        <f t="shared" si="9"/>
        <v>0</v>
      </c>
      <c r="K30" s="3"/>
      <c r="L30" s="8">
        <f t="shared" si="10"/>
        <v>-1224.1200000000003</v>
      </c>
      <c r="M30" s="3"/>
      <c r="N30" s="7">
        <f t="shared" si="11"/>
        <v>-0.23810098070870894</v>
      </c>
      <c r="O30" s="11"/>
      <c r="P30" s="8">
        <v>3917.06</v>
      </c>
      <c r="Q30" s="3"/>
      <c r="R30" s="7">
        <f t="shared" si="12"/>
        <v>0</v>
      </c>
      <c r="S30" s="3"/>
      <c r="T30" s="8">
        <v>5141.18</v>
      </c>
      <c r="U30" s="3"/>
      <c r="V30" s="7">
        <f t="shared" si="13"/>
        <v>0</v>
      </c>
      <c r="W30" s="3"/>
      <c r="X30" s="8">
        <f t="shared" si="14"/>
        <v>-1224.1200000000003</v>
      </c>
      <c r="Y30" s="3"/>
      <c r="Z30" s="7">
        <f t="shared" si="15"/>
        <v>-0.23810098070870894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8"/>
      <c r="E31" s="3"/>
      <c r="F31" s="7">
        <f t="shared" si="8"/>
        <v>0</v>
      </c>
      <c r="G31" s="3"/>
      <c r="H31" s="8">
        <v>2337.1999999999998</v>
      </c>
      <c r="I31" s="3"/>
      <c r="J31" s="7">
        <f t="shared" si="9"/>
        <v>0</v>
      </c>
      <c r="K31" s="3"/>
      <c r="L31" s="8">
        <f t="shared" si="10"/>
        <v>-2337.1999999999998</v>
      </c>
      <c r="M31" s="3"/>
      <c r="N31" s="7">
        <f t="shared" si="11"/>
        <v>-1</v>
      </c>
      <c r="O31" s="11"/>
      <c r="P31" s="8"/>
      <c r="Q31" s="3"/>
      <c r="R31" s="7">
        <f t="shared" si="12"/>
        <v>0</v>
      </c>
      <c r="S31" s="3"/>
      <c r="T31" s="8">
        <v>2337.1999999999998</v>
      </c>
      <c r="U31" s="3"/>
      <c r="V31" s="7">
        <f t="shared" si="13"/>
        <v>0</v>
      </c>
      <c r="W31" s="3"/>
      <c r="X31" s="8">
        <f t="shared" si="14"/>
        <v>-2337.1999999999998</v>
      </c>
      <c r="Y31" s="3"/>
      <c r="Z31" s="7">
        <f t="shared" si="15"/>
        <v>-1</v>
      </c>
    </row>
    <row r="32" spans="1:26" s="27" customFormat="1" outlineLevel="1" collapsed="1" x14ac:dyDescent="0.25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58.38</v>
      </c>
      <c r="E32" s="1"/>
      <c r="F32" s="5">
        <f t="shared" ref="F32:F46" si="16">IF(D$12=0,0,D32/D$12)</f>
        <v>0</v>
      </c>
      <c r="G32" s="1"/>
      <c r="H32" s="1">
        <f>SUM(OSRRefH22_2x_0)</f>
        <v>5723.92</v>
      </c>
      <c r="I32" s="1"/>
      <c r="J32" s="5">
        <f t="shared" ref="J32:J46" si="17">IF(H$12=0,0,H32/H$12)</f>
        <v>0</v>
      </c>
      <c r="K32" s="1"/>
      <c r="L32" s="1">
        <f t="shared" ref="L32:L46" si="18">+D32-H32</f>
        <v>-5665.54</v>
      </c>
      <c r="M32" s="1"/>
      <c r="N32" s="5">
        <f t="shared" ref="N32:N46" si="19">IF(H32=0,0,L32/H32)</f>
        <v>-0.98980069602649934</v>
      </c>
      <c r="O32" s="14"/>
      <c r="P32" s="1">
        <f>SUM(OSRRefP22_2x_0)</f>
        <v>58.38</v>
      </c>
      <c r="Q32" s="1"/>
      <c r="R32" s="5">
        <f t="shared" ref="R32:R46" si="20">IF(P$12=0,0,P32/P$12)</f>
        <v>0</v>
      </c>
      <c r="S32" s="1"/>
      <c r="T32" s="1">
        <f>SUM(OSRRefT22_2x_0)</f>
        <v>5723.92</v>
      </c>
      <c r="U32" s="1"/>
      <c r="V32" s="5">
        <f t="shared" ref="V32:V46" si="21">IF(T$12=0,0,T32/T$12)</f>
        <v>0</v>
      </c>
      <c r="W32" s="1"/>
      <c r="X32" s="1">
        <f t="shared" ref="X32:X46" si="22">+P32-T32</f>
        <v>-5665.54</v>
      </c>
      <c r="Y32" s="1"/>
      <c r="Z32" s="5">
        <f t="shared" ref="Z32:Z46" si="23">IF(T32=0,0,X32/T32)</f>
        <v>-0.98980069602649934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8">
        <v>58.38</v>
      </c>
      <c r="E33" s="3"/>
      <c r="F33" s="7">
        <f t="shared" si="16"/>
        <v>0</v>
      </c>
      <c r="G33" s="3"/>
      <c r="H33" s="8">
        <v>5723.92</v>
      </c>
      <c r="I33" s="3"/>
      <c r="J33" s="7">
        <f t="shared" si="17"/>
        <v>0</v>
      </c>
      <c r="K33" s="3"/>
      <c r="L33" s="8">
        <f t="shared" si="18"/>
        <v>-5665.54</v>
      </c>
      <c r="M33" s="3"/>
      <c r="N33" s="7">
        <f t="shared" si="19"/>
        <v>-0.98980069602649934</v>
      </c>
      <c r="O33" s="11"/>
      <c r="P33" s="8">
        <v>58.38</v>
      </c>
      <c r="Q33" s="3"/>
      <c r="R33" s="7">
        <f t="shared" si="20"/>
        <v>0</v>
      </c>
      <c r="S33" s="3"/>
      <c r="T33" s="8">
        <v>5723.92</v>
      </c>
      <c r="U33" s="3"/>
      <c r="V33" s="7">
        <f t="shared" si="21"/>
        <v>0</v>
      </c>
      <c r="W33" s="3"/>
      <c r="X33" s="8">
        <f t="shared" si="22"/>
        <v>-5665.54</v>
      </c>
      <c r="Y33" s="3"/>
      <c r="Z33" s="7">
        <f t="shared" si="23"/>
        <v>-0.98980069602649934</v>
      </c>
    </row>
    <row r="34" spans="1:26" s="27" customFormat="1" outlineLevel="1" collapsed="1" x14ac:dyDescent="0.25">
      <c r="A34" s="28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4"/>
      <c r="P34" s="1">
        <f>SUM(OSRRefP22_3x_0)</f>
        <v>314.87</v>
      </c>
      <c r="Q34" s="1"/>
      <c r="R34" s="5">
        <f t="shared" si="20"/>
        <v>0</v>
      </c>
      <c r="S34" s="1"/>
      <c r="T34" s="1">
        <f>SUM(OSRRefT22_3x_0)</f>
        <v>345.23</v>
      </c>
      <c r="U34" s="1"/>
      <c r="V34" s="5">
        <f t="shared" si="21"/>
        <v>0</v>
      </c>
      <c r="W34" s="1"/>
      <c r="X34" s="1">
        <f t="shared" si="22"/>
        <v>-30.360000000000014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8">
        <v>314.87</v>
      </c>
      <c r="E35" s="3"/>
      <c r="F35" s="7">
        <f t="shared" si="16"/>
        <v>0</v>
      </c>
      <c r="G35" s="3"/>
      <c r="H35" s="8">
        <v>345.23</v>
      </c>
      <c r="I35" s="3"/>
      <c r="J35" s="7">
        <f t="shared" si="17"/>
        <v>0</v>
      </c>
      <c r="K35" s="3"/>
      <c r="L35" s="8">
        <f t="shared" si="18"/>
        <v>-30.360000000000014</v>
      </c>
      <c r="M35" s="3"/>
      <c r="N35" s="7">
        <f t="shared" si="19"/>
        <v>-8.7941372418387773E-2</v>
      </c>
      <c r="O35" s="11"/>
      <c r="P35" s="8">
        <v>314.87</v>
      </c>
      <c r="Q35" s="3"/>
      <c r="R35" s="7">
        <f t="shared" si="20"/>
        <v>0</v>
      </c>
      <c r="S35" s="3"/>
      <c r="T35" s="8">
        <v>345.23</v>
      </c>
      <c r="U35" s="3"/>
      <c r="V35" s="7">
        <f t="shared" si="21"/>
        <v>0</v>
      </c>
      <c r="W35" s="3"/>
      <c r="X35" s="8">
        <f t="shared" si="22"/>
        <v>-30.360000000000014</v>
      </c>
      <c r="Y35" s="3"/>
      <c r="Z35" s="7">
        <f t="shared" si="23"/>
        <v>-8.7941372418387773E-2</v>
      </c>
    </row>
    <row r="36" spans="1:26" s="27" customFormat="1" outlineLevel="1" collapsed="1" x14ac:dyDescent="0.25">
      <c r="A36" s="28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1667.85</v>
      </c>
      <c r="I36" s="1"/>
      <c r="J36" s="5">
        <f t="shared" si="17"/>
        <v>0</v>
      </c>
      <c r="K36" s="1"/>
      <c r="L36" s="1">
        <f t="shared" si="18"/>
        <v>-1667.85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1667.85</v>
      </c>
      <c r="U36" s="1"/>
      <c r="V36" s="5">
        <f t="shared" si="21"/>
        <v>0</v>
      </c>
      <c r="W36" s="1"/>
      <c r="X36" s="1">
        <f t="shared" si="22"/>
        <v>-1667.85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"6399", " - ", "DONATION-ON CAMPUS")</f>
        <v xml:space="preserve">          6399 - DONATION-ON CAMPUS</v>
      </c>
      <c r="C37" s="11"/>
      <c r="D37" s="8"/>
      <c r="E37" s="3"/>
      <c r="F37" s="7">
        <f t="shared" si="16"/>
        <v>0</v>
      </c>
      <c r="G37" s="3"/>
      <c r="H37" s="8">
        <v>1667.85</v>
      </c>
      <c r="I37" s="3"/>
      <c r="J37" s="7">
        <f t="shared" si="17"/>
        <v>0</v>
      </c>
      <c r="K37" s="3"/>
      <c r="L37" s="8">
        <f t="shared" si="18"/>
        <v>-1667.85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1667.85</v>
      </c>
      <c r="U37" s="3"/>
      <c r="V37" s="7">
        <f t="shared" si="21"/>
        <v>0</v>
      </c>
      <c r="W37" s="3"/>
      <c r="X37" s="8">
        <f t="shared" si="22"/>
        <v>-1667.85</v>
      </c>
      <c r="Y37" s="3"/>
      <c r="Z37" s="7">
        <f t="shared" si="23"/>
        <v>-1</v>
      </c>
    </row>
    <row r="38" spans="1:26" s="27" customFormat="1" outlineLevel="1" collapsed="1" x14ac:dyDescent="0.25">
      <c r="A38" s="28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4"/>
      <c r="P38" s="1">
        <f>SUM(OSRRefP22_5x_0)</f>
        <v>117.71</v>
      </c>
      <c r="Q38" s="1"/>
      <c r="R38" s="5">
        <f t="shared" si="20"/>
        <v>0</v>
      </c>
      <c r="S38" s="1"/>
      <c r="T38" s="1">
        <f>SUM(OSRRefT22_5x_0)</f>
        <v>117.72</v>
      </c>
      <c r="U38" s="1"/>
      <c r="V38" s="5">
        <f t="shared" si="21"/>
        <v>0</v>
      </c>
      <c r="W38" s="1"/>
      <c r="X38" s="1">
        <f t="shared" si="22"/>
        <v>-1.0000000000005116E-2</v>
      </c>
      <c r="Y38" s="1"/>
      <c r="Z38" s="5">
        <f t="shared" si="23"/>
        <v>-8.4947332653798128E-5</v>
      </c>
    </row>
    <row r="39" spans="1:26" s="24" customFormat="1" hidden="1" outlineLevel="2" x14ac:dyDescent="0.25">
      <c r="A39" s="29"/>
      <c r="B39" s="11" t="str">
        <f>CONCATENATE("          ", "6351", " - ", "EQUIPMENT RENTAL")</f>
        <v xml:space="preserve">          6351 - EQUIPMENT RENTAL</v>
      </c>
      <c r="C39" s="11"/>
      <c r="D39" s="8">
        <v>117.71</v>
      </c>
      <c r="E39" s="3"/>
      <c r="F39" s="7">
        <f t="shared" si="16"/>
        <v>0</v>
      </c>
      <c r="G39" s="3"/>
      <c r="H39" s="8">
        <v>117.72</v>
      </c>
      <c r="I39" s="3"/>
      <c r="J39" s="7">
        <f t="shared" si="17"/>
        <v>0</v>
      </c>
      <c r="K39" s="3"/>
      <c r="L39" s="8">
        <f t="shared" si="18"/>
        <v>-1.0000000000005116E-2</v>
      </c>
      <c r="M39" s="3"/>
      <c r="N39" s="7">
        <f t="shared" si="19"/>
        <v>-8.4947332653798128E-5</v>
      </c>
      <c r="O39" s="11"/>
      <c r="P39" s="8">
        <v>117.71</v>
      </c>
      <c r="Q39" s="3"/>
      <c r="R39" s="7">
        <f t="shared" si="20"/>
        <v>0</v>
      </c>
      <c r="S39" s="3"/>
      <c r="T39" s="8">
        <v>117.72</v>
      </c>
      <c r="U39" s="3"/>
      <c r="V39" s="7">
        <f t="shared" si="21"/>
        <v>0</v>
      </c>
      <c r="W39" s="3"/>
      <c r="X39" s="8">
        <f t="shared" si="22"/>
        <v>-1.0000000000005116E-2</v>
      </c>
      <c r="Y39" s="3"/>
      <c r="Z39" s="7">
        <f t="shared" si="23"/>
        <v>-8.4947332653798128E-5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30.62</v>
      </c>
      <c r="I40" s="1"/>
      <c r="J40" s="5">
        <f t="shared" si="17"/>
        <v>0</v>
      </c>
      <c r="K40" s="1"/>
      <c r="L40" s="1">
        <f t="shared" si="18"/>
        <v>-30.62</v>
      </c>
      <c r="M40" s="1"/>
      <c r="N40" s="5">
        <f t="shared" si="19"/>
        <v>-1</v>
      </c>
      <c r="O40" s="14"/>
      <c r="P40" s="1">
        <f>SUM(OSRRefP22_6x_0)</f>
        <v>0</v>
      </c>
      <c r="Q40" s="1"/>
      <c r="R40" s="5">
        <f t="shared" si="20"/>
        <v>0</v>
      </c>
      <c r="S40" s="1"/>
      <c r="T40" s="1">
        <f>SUM(OSRRefT22_6x_0)</f>
        <v>30.62</v>
      </c>
      <c r="U40" s="1"/>
      <c r="V40" s="5">
        <f t="shared" si="21"/>
        <v>0</v>
      </c>
      <c r="W40" s="1"/>
      <c r="X40" s="1">
        <f t="shared" si="22"/>
        <v>-30.62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8"/>
      <c r="E41" s="3"/>
      <c r="F41" s="7">
        <f t="shared" si="16"/>
        <v>0</v>
      </c>
      <c r="G41" s="3"/>
      <c r="H41" s="8">
        <v>30.62</v>
      </c>
      <c r="I41" s="3"/>
      <c r="J41" s="7">
        <f t="shared" si="17"/>
        <v>0</v>
      </c>
      <c r="K41" s="3"/>
      <c r="L41" s="8">
        <f t="shared" si="18"/>
        <v>-30.62</v>
      </c>
      <c r="M41" s="3"/>
      <c r="N41" s="7">
        <f t="shared" si="19"/>
        <v>-1</v>
      </c>
      <c r="O41" s="11"/>
      <c r="P41" s="8"/>
      <c r="Q41" s="3"/>
      <c r="R41" s="7">
        <f t="shared" si="20"/>
        <v>0</v>
      </c>
      <c r="S41" s="3"/>
      <c r="T41" s="8">
        <v>30.62</v>
      </c>
      <c r="U41" s="3"/>
      <c r="V41" s="7">
        <f t="shared" si="21"/>
        <v>0</v>
      </c>
      <c r="W41" s="3"/>
      <c r="X41" s="8">
        <f t="shared" si="22"/>
        <v>-30.62</v>
      </c>
      <c r="Y41" s="3"/>
      <c r="Z41" s="7">
        <f t="shared" si="23"/>
        <v>-1</v>
      </c>
    </row>
    <row r="42" spans="1:26" s="27" customFormat="1" outlineLevel="1" collapsed="1" x14ac:dyDescent="0.25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SUM(OSRRefD22_7x_0)</f>
        <v>115.13</v>
      </c>
      <c r="E42" s="1"/>
      <c r="F42" s="5">
        <f t="shared" si="16"/>
        <v>0</v>
      </c>
      <c r="G42" s="1"/>
      <c r="H42" s="1">
        <f>SUM(OSRRefH22_7x_0)</f>
        <v>115.13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SUM(OSRRefP22_7x_0)</f>
        <v>115.13</v>
      </c>
      <c r="Q42" s="1"/>
      <c r="R42" s="5">
        <f t="shared" si="20"/>
        <v>0</v>
      </c>
      <c r="S42" s="1"/>
      <c r="T42" s="1">
        <f>SUM(OSRRefT22_7x_0)</f>
        <v>115.13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8">
        <v>115.13</v>
      </c>
      <c r="E43" s="3"/>
      <c r="F43" s="7">
        <f t="shared" si="16"/>
        <v>0</v>
      </c>
      <c r="G43" s="3"/>
      <c r="H43" s="8">
        <v>115.13</v>
      </c>
      <c r="I43" s="3"/>
      <c r="J43" s="7">
        <f t="shared" si="17"/>
        <v>0</v>
      </c>
      <c r="K43" s="3"/>
      <c r="L43" s="8">
        <f t="shared" si="18"/>
        <v>0</v>
      </c>
      <c r="M43" s="3"/>
      <c r="N43" s="7">
        <f t="shared" si="19"/>
        <v>0</v>
      </c>
      <c r="O43" s="11"/>
      <c r="P43" s="8">
        <v>115.13</v>
      </c>
      <c r="Q43" s="3"/>
      <c r="R43" s="7">
        <f t="shared" si="20"/>
        <v>0</v>
      </c>
      <c r="S43" s="3"/>
      <c r="T43" s="8">
        <v>115.13</v>
      </c>
      <c r="U43" s="3"/>
      <c r="V43" s="7">
        <f t="shared" si="21"/>
        <v>0</v>
      </c>
      <c r="W43" s="3"/>
      <c r="X43" s="8">
        <f t="shared" si="22"/>
        <v>0</v>
      </c>
      <c r="Y43" s="3"/>
      <c r="Z43" s="7">
        <f t="shared" si="23"/>
        <v>0</v>
      </c>
    </row>
    <row r="44" spans="1:26" s="27" customFormat="1" outlineLevel="1" collapsed="1" x14ac:dyDescent="0.25">
      <c r="A44" s="28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SUM(OSRRefD22_8x_0)</f>
        <v>100</v>
      </c>
      <c r="E44" s="1"/>
      <c r="F44" s="5">
        <f t="shared" si="16"/>
        <v>0</v>
      </c>
      <c r="G44" s="1"/>
      <c r="H44" s="1">
        <f>SUM(OSRRefH22_8x_0)</f>
        <v>5015</v>
      </c>
      <c r="I44" s="1"/>
      <c r="J44" s="5">
        <f t="shared" si="17"/>
        <v>0</v>
      </c>
      <c r="K44" s="1"/>
      <c r="L44" s="1">
        <f t="shared" si="18"/>
        <v>-4915</v>
      </c>
      <c r="M44" s="1"/>
      <c r="N44" s="5">
        <f t="shared" si="19"/>
        <v>-0.98005982053838481</v>
      </c>
      <c r="O44" s="14"/>
      <c r="P44" s="1">
        <f>SUM(OSRRefP22_8x_0)</f>
        <v>100</v>
      </c>
      <c r="Q44" s="1"/>
      <c r="R44" s="5">
        <f t="shared" si="20"/>
        <v>0</v>
      </c>
      <c r="S44" s="1"/>
      <c r="T44" s="1">
        <f>SUM(OSRRefT22_8x_0)</f>
        <v>5015</v>
      </c>
      <c r="U44" s="1"/>
      <c r="V44" s="5">
        <f t="shared" si="21"/>
        <v>0</v>
      </c>
      <c r="W44" s="1"/>
      <c r="X44" s="1">
        <f t="shared" si="22"/>
        <v>-4915</v>
      </c>
      <c r="Y44" s="1"/>
      <c r="Z44" s="5">
        <f t="shared" si="23"/>
        <v>-0.98005982053838481</v>
      </c>
    </row>
    <row r="45" spans="1:26" s="24" customFormat="1" hidden="1" outlineLevel="2" x14ac:dyDescent="0.25">
      <c r="A45" s="29"/>
      <c r="B45" s="11" t="str">
        <f>CONCATENATE("          ", "6334", " - ", "LEGAL COUNCIL EXPENSE")</f>
        <v xml:space="preserve">          6334 - LEGAL COUNCIL EXPENSE</v>
      </c>
      <c r="C45" s="11"/>
      <c r="D45" s="8">
        <v>100</v>
      </c>
      <c r="E45" s="3"/>
      <c r="F45" s="7">
        <f t="shared" si="16"/>
        <v>0</v>
      </c>
      <c r="G45" s="3"/>
      <c r="H45" s="8">
        <v>15</v>
      </c>
      <c r="I45" s="3"/>
      <c r="J45" s="7">
        <f t="shared" si="17"/>
        <v>0</v>
      </c>
      <c r="K45" s="3"/>
      <c r="L45" s="8">
        <f t="shared" si="18"/>
        <v>85</v>
      </c>
      <c r="M45" s="3"/>
      <c r="N45" s="7">
        <f t="shared" si="19"/>
        <v>5.666666666666667</v>
      </c>
      <c r="O45" s="11"/>
      <c r="P45" s="8">
        <v>100</v>
      </c>
      <c r="Q45" s="3"/>
      <c r="R45" s="7">
        <f t="shared" si="20"/>
        <v>0</v>
      </c>
      <c r="S45" s="3"/>
      <c r="T45" s="8">
        <v>15</v>
      </c>
      <c r="U45" s="3"/>
      <c r="V45" s="7">
        <f t="shared" si="21"/>
        <v>0</v>
      </c>
      <c r="W45" s="3"/>
      <c r="X45" s="8">
        <f t="shared" si="22"/>
        <v>85</v>
      </c>
      <c r="Y45" s="3"/>
      <c r="Z45" s="7">
        <f t="shared" si="23"/>
        <v>5.666666666666667</v>
      </c>
    </row>
    <row r="46" spans="1:26" s="24" customFormat="1" hidden="1" outlineLevel="2" x14ac:dyDescent="0.25">
      <c r="A46" s="29"/>
      <c r="B46" s="11" t="str">
        <f>CONCATENATE("          ", "6336", " - ", "PROFESSIONAL SERVICES")</f>
        <v xml:space="preserve">          6336 - PROFESSIONAL SERVICES</v>
      </c>
      <c r="C46" s="11"/>
      <c r="D46" s="8"/>
      <c r="E46" s="3"/>
      <c r="F46" s="7">
        <f t="shared" si="16"/>
        <v>0</v>
      </c>
      <c r="G46" s="3"/>
      <c r="H46" s="8">
        <v>5000</v>
      </c>
      <c r="I46" s="3"/>
      <c r="J46" s="7">
        <f t="shared" si="17"/>
        <v>0</v>
      </c>
      <c r="K46" s="3"/>
      <c r="L46" s="8">
        <f t="shared" si="18"/>
        <v>-5000</v>
      </c>
      <c r="M46" s="3"/>
      <c r="N46" s="7">
        <f t="shared" si="19"/>
        <v>-1</v>
      </c>
      <c r="O46" s="11"/>
      <c r="P46" s="8"/>
      <c r="Q46" s="3"/>
      <c r="R46" s="7">
        <f t="shared" si="20"/>
        <v>0</v>
      </c>
      <c r="S46" s="3"/>
      <c r="T46" s="8">
        <v>5000</v>
      </c>
      <c r="U46" s="3"/>
      <c r="V46" s="7">
        <f t="shared" si="21"/>
        <v>0</v>
      </c>
      <c r="W46" s="3"/>
      <c r="X46" s="8">
        <f t="shared" si="22"/>
        <v>-5000</v>
      </c>
      <c r="Y46" s="3"/>
      <c r="Z46" s="7">
        <f t="shared" si="23"/>
        <v>-1</v>
      </c>
    </row>
    <row r="47" spans="1:26" s="27" customFormat="1" outlineLevel="1" collapsed="1" x14ac:dyDescent="0.25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SUM(OSRRefD22_9x_0)</f>
        <v>2587.73</v>
      </c>
      <c r="E47" s="1"/>
      <c r="F47" s="5">
        <f t="shared" ref="F47:F49" si="24">IF(D$12=0,0,D47/D$12)</f>
        <v>0</v>
      </c>
      <c r="G47" s="1"/>
      <c r="H47" s="1">
        <f>SUM(OSRRefH22_9x_0)</f>
        <v>5027.62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-2439.89</v>
      </c>
      <c r="M47" s="1"/>
      <c r="N47" s="5">
        <f t="shared" ref="N47:N49" si="27">IF(H47=0,0,L47/H47)</f>
        <v>-0.48529721816684634</v>
      </c>
      <c r="O47" s="14"/>
      <c r="P47" s="1">
        <f>SUM(OSRRefP22_9x_0)</f>
        <v>2587.73</v>
      </c>
      <c r="Q47" s="1"/>
      <c r="R47" s="5">
        <f t="shared" ref="R47:R49" si="28">IF(P$12=0,0,P47/P$12)</f>
        <v>0</v>
      </c>
      <c r="S47" s="1"/>
      <c r="T47" s="1">
        <f>SUM(OSRRefT22_9x_0)</f>
        <v>5027.62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-2439.89</v>
      </c>
      <c r="Y47" s="1"/>
      <c r="Z47" s="5">
        <f t="shared" ref="Z47:Z49" si="31">IF(T47=0,0,X47/T47)</f>
        <v>-0.48529721816684634</v>
      </c>
    </row>
    <row r="48" spans="1:26" s="24" customFormat="1" hidden="1" outlineLevel="2" x14ac:dyDescent="0.25">
      <c r="A48" s="29"/>
      <c r="B48" s="11" t="str">
        <f>CONCATENATE("          ", "6373", " - ", "MAINTENANCE CONTRACTS")</f>
        <v xml:space="preserve">          6373 - MAINTENANCE CONTRACTS</v>
      </c>
      <c r="C48" s="11"/>
      <c r="D48" s="8">
        <v>2587.73</v>
      </c>
      <c r="E48" s="3"/>
      <c r="F48" s="7">
        <f t="shared" si="24"/>
        <v>0</v>
      </c>
      <c r="G48" s="3"/>
      <c r="H48" s="8">
        <v>4939.87</v>
      </c>
      <c r="I48" s="3"/>
      <c r="J48" s="7">
        <f t="shared" si="25"/>
        <v>0</v>
      </c>
      <c r="K48" s="3"/>
      <c r="L48" s="8">
        <f t="shared" si="26"/>
        <v>-2352.14</v>
      </c>
      <c r="M48" s="3"/>
      <c r="N48" s="7">
        <f t="shared" si="27"/>
        <v>-0.47615423077935248</v>
      </c>
      <c r="O48" s="11"/>
      <c r="P48" s="8">
        <v>2587.73</v>
      </c>
      <c r="Q48" s="3"/>
      <c r="R48" s="7">
        <f t="shared" si="28"/>
        <v>0</v>
      </c>
      <c r="S48" s="3"/>
      <c r="T48" s="8">
        <v>4939.87</v>
      </c>
      <c r="U48" s="3"/>
      <c r="V48" s="7">
        <f t="shared" si="29"/>
        <v>0</v>
      </c>
      <c r="W48" s="3"/>
      <c r="X48" s="8">
        <f t="shared" si="30"/>
        <v>-2352.14</v>
      </c>
      <c r="Y48" s="3"/>
      <c r="Z48" s="7">
        <f t="shared" si="31"/>
        <v>-0.47615423077935248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8"/>
      <c r="E49" s="3"/>
      <c r="F49" s="7">
        <f t="shared" si="24"/>
        <v>0</v>
      </c>
      <c r="G49" s="3"/>
      <c r="H49" s="8">
        <v>87.75</v>
      </c>
      <c r="I49" s="3"/>
      <c r="J49" s="7">
        <f t="shared" si="25"/>
        <v>0</v>
      </c>
      <c r="K49" s="3"/>
      <c r="L49" s="8">
        <f t="shared" si="26"/>
        <v>-87.75</v>
      </c>
      <c r="M49" s="3"/>
      <c r="N49" s="7">
        <f t="shared" si="27"/>
        <v>-1</v>
      </c>
      <c r="O49" s="11"/>
      <c r="P49" s="8"/>
      <c r="Q49" s="3"/>
      <c r="R49" s="7">
        <f t="shared" si="28"/>
        <v>0</v>
      </c>
      <c r="S49" s="3"/>
      <c r="T49" s="8">
        <v>87.75</v>
      </c>
      <c r="U49" s="3"/>
      <c r="V49" s="7">
        <f t="shared" si="29"/>
        <v>0</v>
      </c>
      <c r="W49" s="3"/>
      <c r="X49" s="8">
        <f t="shared" si="30"/>
        <v>-87.75</v>
      </c>
      <c r="Y49" s="3"/>
      <c r="Z49" s="7">
        <f t="shared" si="31"/>
        <v>-1</v>
      </c>
    </row>
    <row r="50" spans="1:26" s="27" customFormat="1" outlineLevel="1" collapsed="1" x14ac:dyDescent="0.25">
      <c r="A50" s="28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SUM(OSRRefD22_10x_0)</f>
        <v>0</v>
      </c>
      <c r="E50" s="1"/>
      <c r="F50" s="5">
        <f t="shared" ref="F50:F55" si="32">IF(D$12=0,0,D50/D$12)</f>
        <v>0</v>
      </c>
      <c r="G50" s="1"/>
      <c r="H50" s="1">
        <f>SUM(OSRRefH22_10x_0)</f>
        <v>1000</v>
      </c>
      <c r="I50" s="1"/>
      <c r="J50" s="5">
        <f t="shared" ref="J50:J55" si="33">IF(H$12=0,0,H50/H$12)</f>
        <v>0</v>
      </c>
      <c r="K50" s="1"/>
      <c r="L50" s="1">
        <f t="shared" ref="L50:L55" si="34">+D50-H50</f>
        <v>-1000</v>
      </c>
      <c r="M50" s="1"/>
      <c r="N50" s="5">
        <f t="shared" ref="N50:N55" si="35">IF(H50=0,0,L50/H50)</f>
        <v>-1</v>
      </c>
      <c r="O50" s="14"/>
      <c r="P50" s="1">
        <f>SUM(OSRRefP22_10x_0)</f>
        <v>0</v>
      </c>
      <c r="Q50" s="1"/>
      <c r="R50" s="5">
        <f t="shared" ref="R50:R55" si="36">IF(P$12=0,0,P50/P$12)</f>
        <v>0</v>
      </c>
      <c r="S50" s="1"/>
      <c r="T50" s="1">
        <f>SUM(OSRRefT22_10x_0)</f>
        <v>1000</v>
      </c>
      <c r="U50" s="1"/>
      <c r="V50" s="5">
        <f t="shared" ref="V50:V55" si="37">IF(T$12=0,0,T50/T$12)</f>
        <v>0</v>
      </c>
      <c r="W50" s="1"/>
      <c r="X50" s="1">
        <f t="shared" ref="X50:X55" si="38">+P50-T50</f>
        <v>-1000</v>
      </c>
      <c r="Y50" s="1"/>
      <c r="Z50" s="5">
        <f t="shared" ref="Z50:Z55" si="39">IF(T50=0,0,X50/T50)</f>
        <v>-1</v>
      </c>
    </row>
    <row r="51" spans="1:26" s="24" customFormat="1" hidden="1" outlineLevel="2" x14ac:dyDescent="0.25">
      <c r="A51" s="29"/>
      <c r="B51" s="11" t="str">
        <f>CONCATENATE("          ", "6258", " - ", "MEMBERSHIP DUES")</f>
        <v xml:space="preserve">          6258 - MEMBERSHIP DUES</v>
      </c>
      <c r="C51" s="11"/>
      <c r="D51" s="8"/>
      <c r="E51" s="3"/>
      <c r="F51" s="7">
        <f t="shared" si="32"/>
        <v>0</v>
      </c>
      <c r="G51" s="3"/>
      <c r="H51" s="8">
        <v>1000</v>
      </c>
      <c r="I51" s="3"/>
      <c r="J51" s="7">
        <f t="shared" si="33"/>
        <v>0</v>
      </c>
      <c r="K51" s="3"/>
      <c r="L51" s="8">
        <f t="shared" si="34"/>
        <v>-1000</v>
      </c>
      <c r="M51" s="3"/>
      <c r="N51" s="7">
        <f t="shared" si="35"/>
        <v>-1</v>
      </c>
      <c r="O51" s="11"/>
      <c r="P51" s="8"/>
      <c r="Q51" s="3"/>
      <c r="R51" s="7">
        <f t="shared" si="36"/>
        <v>0</v>
      </c>
      <c r="S51" s="3"/>
      <c r="T51" s="8">
        <v>1000</v>
      </c>
      <c r="U51" s="3"/>
      <c r="V51" s="7">
        <f t="shared" si="37"/>
        <v>0</v>
      </c>
      <c r="W51" s="3"/>
      <c r="X51" s="8">
        <f t="shared" si="38"/>
        <v>-1000</v>
      </c>
      <c r="Y51" s="3"/>
      <c r="Z51" s="7">
        <f t="shared" si="39"/>
        <v>-1</v>
      </c>
    </row>
    <row r="52" spans="1:26" s="27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SUM(OSRRefD22_11x_0)</f>
        <v>132.01</v>
      </c>
      <c r="E52" s="1"/>
      <c r="F52" s="5">
        <f t="shared" si="32"/>
        <v>0</v>
      </c>
      <c r="G52" s="1"/>
      <c r="H52" s="1">
        <f>SUM(OSRRefH22_11x_0)</f>
        <v>167.2</v>
      </c>
      <c r="I52" s="1"/>
      <c r="J52" s="5">
        <f t="shared" si="33"/>
        <v>0</v>
      </c>
      <c r="K52" s="1"/>
      <c r="L52" s="1">
        <f t="shared" si="34"/>
        <v>-35.19</v>
      </c>
      <c r="M52" s="1"/>
      <c r="N52" s="5">
        <f t="shared" si="35"/>
        <v>-0.2104665071770335</v>
      </c>
      <c r="O52" s="14"/>
      <c r="P52" s="1">
        <f>SUM(OSRRefP22_11x_0)</f>
        <v>132.01</v>
      </c>
      <c r="Q52" s="1"/>
      <c r="R52" s="5">
        <f t="shared" si="36"/>
        <v>0</v>
      </c>
      <c r="S52" s="1"/>
      <c r="T52" s="1">
        <f>SUM(OSRRefT22_11x_0)</f>
        <v>167.2</v>
      </c>
      <c r="U52" s="1"/>
      <c r="V52" s="5">
        <f t="shared" si="37"/>
        <v>0</v>
      </c>
      <c r="W52" s="1"/>
      <c r="X52" s="1">
        <f t="shared" si="38"/>
        <v>-35.19</v>
      </c>
      <c r="Y52" s="1"/>
      <c r="Z52" s="5">
        <f t="shared" si="39"/>
        <v>-0.2104665071770335</v>
      </c>
    </row>
    <row r="53" spans="1:26" s="24" customFormat="1" hidden="1" outlineLevel="2" x14ac:dyDescent="0.25">
      <c r="A53" s="29"/>
      <c r="B53" s="11" t="str">
        <f>CONCATENATE("          ", "6235", " - ", "COVID-19 EXPENSES")</f>
        <v xml:space="preserve">          6235 - COVID-19 EXPENSES</v>
      </c>
      <c r="C53" s="11"/>
      <c r="D53" s="8">
        <v>106.94</v>
      </c>
      <c r="E53" s="3"/>
      <c r="F53" s="7">
        <f t="shared" si="32"/>
        <v>0</v>
      </c>
      <c r="G53" s="3"/>
      <c r="H53" s="8"/>
      <c r="I53" s="3"/>
      <c r="J53" s="7">
        <f t="shared" si="33"/>
        <v>0</v>
      </c>
      <c r="K53" s="3"/>
      <c r="L53" s="8">
        <f t="shared" si="34"/>
        <v>106.94</v>
      </c>
      <c r="M53" s="3"/>
      <c r="N53" s="7">
        <f t="shared" si="35"/>
        <v>0</v>
      </c>
      <c r="O53" s="11"/>
      <c r="P53" s="8">
        <v>106.94</v>
      </c>
      <c r="Q53" s="3"/>
      <c r="R53" s="7">
        <f t="shared" si="36"/>
        <v>0</v>
      </c>
      <c r="S53" s="3"/>
      <c r="T53" s="8"/>
      <c r="U53" s="3"/>
      <c r="V53" s="7">
        <f t="shared" si="37"/>
        <v>0</v>
      </c>
      <c r="W53" s="3"/>
      <c r="X53" s="8">
        <f t="shared" si="38"/>
        <v>106.94</v>
      </c>
      <c r="Y53" s="3"/>
      <c r="Z53" s="7">
        <f t="shared" si="39"/>
        <v>0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8">
        <v>25.07</v>
      </c>
      <c r="E54" s="3"/>
      <c r="F54" s="7">
        <f t="shared" si="32"/>
        <v>0</v>
      </c>
      <c r="G54" s="3"/>
      <c r="H54" s="8">
        <v>135.34</v>
      </c>
      <c r="I54" s="3"/>
      <c r="J54" s="7">
        <f t="shared" si="33"/>
        <v>0</v>
      </c>
      <c r="K54" s="3"/>
      <c r="L54" s="8">
        <f t="shared" si="34"/>
        <v>-110.27000000000001</v>
      </c>
      <c r="M54" s="3"/>
      <c r="N54" s="7">
        <f t="shared" si="35"/>
        <v>-0.81476281956553875</v>
      </c>
      <c r="O54" s="11"/>
      <c r="P54" s="8">
        <v>25.07</v>
      </c>
      <c r="Q54" s="3"/>
      <c r="R54" s="7">
        <f t="shared" si="36"/>
        <v>0</v>
      </c>
      <c r="S54" s="3"/>
      <c r="T54" s="8">
        <v>135.34</v>
      </c>
      <c r="U54" s="3"/>
      <c r="V54" s="7">
        <f t="shared" si="37"/>
        <v>0</v>
      </c>
      <c r="W54" s="3"/>
      <c r="X54" s="8">
        <f t="shared" si="38"/>
        <v>-110.27000000000001</v>
      </c>
      <c r="Y54" s="3"/>
      <c r="Z54" s="7">
        <f t="shared" si="39"/>
        <v>-0.81476281956553875</v>
      </c>
    </row>
    <row r="55" spans="1:26" s="24" customFormat="1" hidden="1" outlineLevel="2" x14ac:dyDescent="0.25">
      <c r="A55" s="29"/>
      <c r="B55" s="11" t="str">
        <f>CONCATENATE("          ", "6245", " - ", "PRINTING")</f>
        <v xml:space="preserve">          6245 - PRINTING</v>
      </c>
      <c r="C55" s="11"/>
      <c r="D55" s="8"/>
      <c r="E55" s="3"/>
      <c r="F55" s="7">
        <f t="shared" si="32"/>
        <v>0</v>
      </c>
      <c r="G55" s="3"/>
      <c r="H55" s="8">
        <v>31.86</v>
      </c>
      <c r="I55" s="3"/>
      <c r="J55" s="7">
        <f t="shared" si="33"/>
        <v>0</v>
      </c>
      <c r="K55" s="3"/>
      <c r="L55" s="8">
        <f t="shared" si="34"/>
        <v>-31.86</v>
      </c>
      <c r="M55" s="3"/>
      <c r="N55" s="7">
        <f t="shared" si="35"/>
        <v>-1</v>
      </c>
      <c r="O55" s="11"/>
      <c r="P55" s="8"/>
      <c r="Q55" s="3"/>
      <c r="R55" s="7">
        <f t="shared" si="36"/>
        <v>0</v>
      </c>
      <c r="S55" s="3"/>
      <c r="T55" s="8">
        <v>31.86</v>
      </c>
      <c r="U55" s="3"/>
      <c r="V55" s="7">
        <f t="shared" si="37"/>
        <v>0</v>
      </c>
      <c r="W55" s="3"/>
      <c r="X55" s="8">
        <f t="shared" si="38"/>
        <v>-31.86</v>
      </c>
      <c r="Y55" s="3"/>
      <c r="Z55" s="7">
        <f t="shared" si="39"/>
        <v>-1</v>
      </c>
    </row>
    <row r="56" spans="1:26" s="27" customFormat="1" outlineLevel="1" collapsed="1" x14ac:dyDescent="0.25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SUM(OSRRefD22_12x_0)</f>
        <v>303.16000000000003</v>
      </c>
      <c r="E56" s="1"/>
      <c r="F56" s="5">
        <f t="shared" ref="F56:F59" si="40">IF(D$12=0,0,D56/D$12)</f>
        <v>0</v>
      </c>
      <c r="G56" s="1"/>
      <c r="H56" s="1">
        <f>SUM(OSRRefH22_12x_0)</f>
        <v>140.68</v>
      </c>
      <c r="I56" s="1"/>
      <c r="J56" s="5">
        <f t="shared" ref="J56:J59" si="41">IF(H$12=0,0,H56/H$12)</f>
        <v>0</v>
      </c>
      <c r="K56" s="1"/>
      <c r="L56" s="1">
        <f t="shared" ref="L56:L59" si="42">+D56-H56</f>
        <v>162.48000000000002</v>
      </c>
      <c r="M56" s="1"/>
      <c r="N56" s="5">
        <f t="shared" ref="N56:N59" si="43">IF(H56=0,0,L56/H56)</f>
        <v>1.154961615012795</v>
      </c>
      <c r="O56" s="14"/>
      <c r="P56" s="1">
        <f>SUM(OSRRefP22_12x_0)</f>
        <v>303.16000000000003</v>
      </c>
      <c r="Q56" s="1"/>
      <c r="R56" s="5">
        <f t="shared" ref="R56:R59" si="44">IF(P$12=0,0,P56/P$12)</f>
        <v>0</v>
      </c>
      <c r="S56" s="1"/>
      <c r="T56" s="1">
        <f>SUM(OSRRefT22_12x_0)</f>
        <v>140.68</v>
      </c>
      <c r="U56" s="1"/>
      <c r="V56" s="5">
        <f t="shared" ref="V56:V59" si="45">IF(T$12=0,0,T56/T$12)</f>
        <v>0</v>
      </c>
      <c r="W56" s="1"/>
      <c r="X56" s="1">
        <f t="shared" ref="X56:X59" si="46">+P56-T56</f>
        <v>162.48000000000002</v>
      </c>
      <c r="Y56" s="1"/>
      <c r="Z56" s="5">
        <f t="shared" ref="Z56:Z59" si="47">IF(T56=0,0,X56/T56)</f>
        <v>1.154961615012795</v>
      </c>
    </row>
    <row r="57" spans="1:26" s="24" customFormat="1" hidden="1" outlineLevel="2" x14ac:dyDescent="0.25">
      <c r="A57" s="29"/>
      <c r="B57" s="11" t="str">
        <f>CONCATENATE("          ", "6309", " - ", "TELEPHONE")</f>
        <v xml:space="preserve">          6309 - TELEPHONE</v>
      </c>
      <c r="C57" s="11"/>
      <c r="D57" s="8">
        <v>303.16000000000003</v>
      </c>
      <c r="E57" s="3"/>
      <c r="F57" s="7">
        <f t="shared" si="40"/>
        <v>0</v>
      </c>
      <c r="G57" s="3"/>
      <c r="H57" s="8">
        <v>140.68</v>
      </c>
      <c r="I57" s="3"/>
      <c r="J57" s="7">
        <f t="shared" si="41"/>
        <v>0</v>
      </c>
      <c r="K57" s="3"/>
      <c r="L57" s="8">
        <f t="shared" si="42"/>
        <v>162.48000000000002</v>
      </c>
      <c r="M57" s="3"/>
      <c r="N57" s="7">
        <f t="shared" si="43"/>
        <v>1.154961615012795</v>
      </c>
      <c r="O57" s="11"/>
      <c r="P57" s="8">
        <v>303.16000000000003</v>
      </c>
      <c r="Q57" s="3"/>
      <c r="R57" s="7">
        <f t="shared" si="44"/>
        <v>0</v>
      </c>
      <c r="S57" s="3"/>
      <c r="T57" s="8">
        <v>140.68</v>
      </c>
      <c r="U57" s="3"/>
      <c r="V57" s="7">
        <f t="shared" si="45"/>
        <v>0</v>
      </c>
      <c r="W57" s="3"/>
      <c r="X57" s="8">
        <f t="shared" si="46"/>
        <v>162.48000000000002</v>
      </c>
      <c r="Y57" s="3"/>
      <c r="Z57" s="7">
        <f t="shared" si="47"/>
        <v>1.154961615012795</v>
      </c>
    </row>
    <row r="58" spans="1:26" s="27" customFormat="1" outlineLevel="1" collapsed="1" x14ac:dyDescent="0.25">
      <c r="A58" s="28"/>
      <c r="B58" s="14" t="str">
        <f>CONCATENATE("     ","Travel                                            ")</f>
        <v xml:space="preserve">     Travel                                            </v>
      </c>
      <c r="C58" s="14"/>
      <c r="D58" s="1">
        <f>SUM(OSRRefD22_13x_0)</f>
        <v>0</v>
      </c>
      <c r="E58" s="1"/>
      <c r="F58" s="5">
        <f t="shared" si="40"/>
        <v>0</v>
      </c>
      <c r="G58" s="1"/>
      <c r="H58" s="1">
        <f>SUM(OSRRefH22_13x_0)</f>
        <v>320.83999999999997</v>
      </c>
      <c r="I58" s="1"/>
      <c r="J58" s="5">
        <f t="shared" si="41"/>
        <v>0</v>
      </c>
      <c r="K58" s="1"/>
      <c r="L58" s="1">
        <f t="shared" si="42"/>
        <v>-320.83999999999997</v>
      </c>
      <c r="M58" s="1"/>
      <c r="N58" s="5">
        <f t="shared" si="43"/>
        <v>-1</v>
      </c>
      <c r="O58" s="14"/>
      <c r="P58" s="1">
        <f>SUM(OSRRefP22_13x_0)</f>
        <v>0</v>
      </c>
      <c r="Q58" s="1"/>
      <c r="R58" s="5">
        <f t="shared" si="44"/>
        <v>0</v>
      </c>
      <c r="S58" s="1"/>
      <c r="T58" s="1">
        <f>SUM(OSRRefT22_13x_0)</f>
        <v>320.83999999999997</v>
      </c>
      <c r="U58" s="1"/>
      <c r="V58" s="5">
        <f t="shared" si="45"/>
        <v>0</v>
      </c>
      <c r="W58" s="1"/>
      <c r="X58" s="1">
        <f t="shared" si="46"/>
        <v>-320.83999999999997</v>
      </c>
      <c r="Y58" s="1"/>
      <c r="Z58" s="5">
        <f t="shared" si="47"/>
        <v>-1</v>
      </c>
    </row>
    <row r="59" spans="1:26" s="24" customFormat="1" hidden="1" outlineLevel="2" x14ac:dyDescent="0.25">
      <c r="A59" s="29"/>
      <c r="B59" s="11" t="str">
        <f>CONCATENATE("          ", "6292", " - ", "TRAVEL/CONFERENCE")</f>
        <v xml:space="preserve">          6292 - TRAVEL/CONFERENCE</v>
      </c>
      <c r="C59" s="11"/>
      <c r="D59" s="8"/>
      <c r="E59" s="3"/>
      <c r="F59" s="7">
        <f t="shared" si="40"/>
        <v>0</v>
      </c>
      <c r="G59" s="3"/>
      <c r="H59" s="8">
        <v>320.83999999999997</v>
      </c>
      <c r="I59" s="3"/>
      <c r="J59" s="7">
        <f t="shared" si="41"/>
        <v>0</v>
      </c>
      <c r="K59" s="3"/>
      <c r="L59" s="8">
        <f t="shared" si="42"/>
        <v>-320.83999999999997</v>
      </c>
      <c r="M59" s="3"/>
      <c r="N59" s="7">
        <f t="shared" si="43"/>
        <v>-1</v>
      </c>
      <c r="O59" s="11"/>
      <c r="P59" s="8"/>
      <c r="Q59" s="3"/>
      <c r="R59" s="7">
        <f t="shared" si="44"/>
        <v>0</v>
      </c>
      <c r="S59" s="3"/>
      <c r="T59" s="8">
        <v>320.83999999999997</v>
      </c>
      <c r="U59" s="3"/>
      <c r="V59" s="7">
        <f t="shared" si="45"/>
        <v>0</v>
      </c>
      <c r="W59" s="3"/>
      <c r="X59" s="8">
        <f t="shared" si="46"/>
        <v>-320.83999999999997</v>
      </c>
      <c r="Y59" s="3"/>
      <c r="Z59" s="7">
        <f t="shared" si="47"/>
        <v>-1</v>
      </c>
    </row>
    <row r="60" spans="1:26" s="61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25">
      <c r="A63" s="10"/>
      <c r="B63" s="26" t="s">
        <v>3</v>
      </c>
      <c r="C63" s="26"/>
      <c r="D63" s="19">
        <f>+D16-D18+D61</f>
        <v>-35660.750000000007</v>
      </c>
      <c r="E63" s="13"/>
      <c r="F63" s="20">
        <f>IF(D$12=0,0,D63/D$12)</f>
        <v>0</v>
      </c>
      <c r="G63" s="13"/>
      <c r="H63" s="19">
        <f>+H16-H18+H61</f>
        <v>-77391.169999999969</v>
      </c>
      <c r="I63" s="13"/>
      <c r="J63" s="20">
        <f>IF(H$12=0,0,H63/H$12)</f>
        <v>0</v>
      </c>
      <c r="K63" s="16"/>
      <c r="L63" s="19">
        <f>+D63-H63</f>
        <v>41730.419999999962</v>
      </c>
      <c r="M63" s="16"/>
      <c r="N63" s="20">
        <f>IF(H63=0,0,L63/H63)</f>
        <v>-0.539214228186497</v>
      </c>
      <c r="O63" s="25"/>
      <c r="P63" s="19">
        <f>+P16-P18+P61</f>
        <v>-35660.750000000007</v>
      </c>
      <c r="Q63" s="13"/>
      <c r="R63" s="20">
        <f>IF(P$12=0,0,P63/P$12)</f>
        <v>0</v>
      </c>
      <c r="S63" s="13"/>
      <c r="T63" s="19">
        <f>+T16-T18+T61</f>
        <v>-77391.169999999969</v>
      </c>
      <c r="U63" s="13"/>
      <c r="V63" s="20">
        <f>IF(T$12=0,0,T63/T$12)</f>
        <v>0</v>
      </c>
      <c r="W63" s="16"/>
      <c r="X63" s="19">
        <f>+P63-T63</f>
        <v>41730.419999999962</v>
      </c>
      <c r="Y63" s="16"/>
      <c r="Z63" s="20">
        <f>IF(T63=0,0,X63/T63)</f>
        <v>-0.539214228186497</v>
      </c>
    </row>
    <row r="64" spans="1:26" x14ac:dyDescent="0.25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.75" thickBot="1" x14ac:dyDescent="0.3">
      <c r="A67" s="10"/>
      <c r="B67" s="26" t="s">
        <v>4</v>
      </c>
      <c r="C67" s="26"/>
      <c r="D67" s="35">
        <f>+D63-D65</f>
        <v>-35660.750000000007</v>
      </c>
      <c r="E67" s="13"/>
      <c r="F67" s="30">
        <f>IF(D$12=0,0,D67/D$12)</f>
        <v>0</v>
      </c>
      <c r="G67" s="13"/>
      <c r="H67" s="35">
        <f>+H63-H65</f>
        <v>-77391.169999999969</v>
      </c>
      <c r="I67" s="13"/>
      <c r="J67" s="30">
        <f>IF(H$12=0,0,H67/H$12)</f>
        <v>0</v>
      </c>
      <c r="K67" s="16"/>
      <c r="L67" s="35">
        <f>D67-H67</f>
        <v>41730.419999999962</v>
      </c>
      <c r="M67" s="16"/>
      <c r="N67" s="30">
        <f>IF(H67=0,0,L67/H67)</f>
        <v>-0.539214228186497</v>
      </c>
      <c r="O67" s="25"/>
      <c r="P67" s="35">
        <f>+P63-P65</f>
        <v>-35660.750000000007</v>
      </c>
      <c r="Q67" s="13"/>
      <c r="R67" s="30">
        <f>IF(P$12=0,0,P67/P$12)</f>
        <v>0</v>
      </c>
      <c r="S67" s="13"/>
      <c r="T67" s="35">
        <f>+T63-T65</f>
        <v>-77391.169999999969</v>
      </c>
      <c r="U67" s="13"/>
      <c r="V67" s="30">
        <f>IF(T$12=0,0,T67/T$12)</f>
        <v>0</v>
      </c>
      <c r="W67" s="16"/>
      <c r="X67" s="35">
        <f>P67-T67</f>
        <v>41730.419999999962</v>
      </c>
      <c r="Y67" s="16"/>
      <c r="Z67" s="30">
        <f>IF(T67=0,0,X67/T67)</f>
        <v>-0.539214228186497</v>
      </c>
    </row>
    <row r="68" spans="1:26" ht="15.75" thickTop="1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.75" thickBot="1" x14ac:dyDescent="0.3">
      <c r="A70" s="10"/>
      <c r="B70" s="26" t="s">
        <v>5</v>
      </c>
      <c r="C70" s="26"/>
      <c r="D70" s="31">
        <f>SUM(D67:D69)</f>
        <v>-35660.750000000007</v>
      </c>
      <c r="E70" s="13"/>
      <c r="F70" s="32">
        <f>IF(D$12=0,0,D70/D$12)</f>
        <v>0</v>
      </c>
      <c r="G70" s="13"/>
      <c r="H70" s="31">
        <f>SUM(H67:H69)</f>
        <v>-77391.169999999969</v>
      </c>
      <c r="I70" s="13"/>
      <c r="J70" s="32">
        <f>IF(H$12=0,0,H70/H$12)</f>
        <v>0</v>
      </c>
      <c r="K70" s="16"/>
      <c r="L70" s="31">
        <f>+D70-H70</f>
        <v>41730.419999999962</v>
      </c>
      <c r="M70" s="16"/>
      <c r="N70" s="32">
        <f>IF(H70=0,0,L70/H70)</f>
        <v>-0.539214228186497</v>
      </c>
      <c r="O70" s="25"/>
      <c r="P70" s="31">
        <f>SUM(P67:P69)</f>
        <v>-35660.750000000007</v>
      </c>
      <c r="Q70" s="13"/>
      <c r="R70" s="32">
        <f>IF(P$12=0,0,P70/P$12)</f>
        <v>0</v>
      </c>
      <c r="S70" s="13"/>
      <c r="T70" s="31">
        <f>SUM(T67:T69)</f>
        <v>-77391.169999999969</v>
      </c>
      <c r="U70" s="13"/>
      <c r="V70" s="32">
        <f>IF(T$12=0,0,T70/T$12)</f>
        <v>0</v>
      </c>
      <c r="W70" s="16"/>
      <c r="X70" s="31">
        <f>+P70-T70</f>
        <v>41730.419999999962</v>
      </c>
      <c r="Y70" s="16"/>
      <c r="Z70" s="32">
        <f>IF(T70=0,0,X70/T70)</f>
        <v>-0.539214228186497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9">
        <v>44109.413955324075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39398.04</v>
      </c>
      <c r="E18" s="21"/>
      <c r="F18" s="34">
        <f t="shared" ref="F18:F27" si="0">IF(D$12=0,0,D18/D$12)</f>
        <v>0</v>
      </c>
      <c r="G18" s="21"/>
      <c r="H18" s="21">
        <f>SUM(OSRRefH22x_0)</f>
        <v>55287.26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-15889.220000000001</v>
      </c>
      <c r="M18" s="4"/>
      <c r="N18" s="34">
        <f t="shared" ref="N18:N27" si="3">IF(H18=0,0,L18/H18)</f>
        <v>-0.28739387699806429</v>
      </c>
      <c r="O18" s="10"/>
      <c r="P18" s="21">
        <f>SUM(OSRRefP22x_0)</f>
        <v>39398.04</v>
      </c>
      <c r="Q18" s="21"/>
      <c r="R18" s="34">
        <f t="shared" ref="R18:R27" si="4">IF(P$12=0,0,P18/P$12)</f>
        <v>0</v>
      </c>
      <c r="S18" s="21"/>
      <c r="T18" s="21">
        <f>SUM(OSRRefT22x_0)</f>
        <v>55287.26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-15889.220000000001</v>
      </c>
      <c r="Y18" s="4"/>
      <c r="Z18" s="34">
        <f t="shared" ref="Z18:Z27" si="7">IF(T18=0,0,X18/T18)</f>
        <v>-0.28739387699806429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13083.460000000001</v>
      </c>
      <c r="E19" s="1"/>
      <c r="F19" s="5">
        <f t="shared" si="0"/>
        <v>0</v>
      </c>
      <c r="G19" s="1"/>
      <c r="H19" s="1">
        <f>SUM(OSRRefH22_0x_0)</f>
        <v>17830.54</v>
      </c>
      <c r="I19" s="1"/>
      <c r="J19" s="5">
        <f t="shared" si="1"/>
        <v>0</v>
      </c>
      <c r="K19" s="1"/>
      <c r="L19" s="1">
        <f t="shared" si="2"/>
        <v>-4747.08</v>
      </c>
      <c r="M19" s="1"/>
      <c r="N19" s="5">
        <f t="shared" si="3"/>
        <v>-0.26623310342816314</v>
      </c>
      <c r="O19" s="14"/>
      <c r="P19" s="1">
        <f>SUM(OSRRefP22_0x_0)</f>
        <v>13083.460000000001</v>
      </c>
      <c r="Q19" s="1"/>
      <c r="R19" s="5">
        <f t="shared" si="4"/>
        <v>0</v>
      </c>
      <c r="S19" s="1"/>
      <c r="T19" s="1">
        <f>SUM(OSRRefT22_0x_0)</f>
        <v>17830.54</v>
      </c>
      <c r="U19" s="1"/>
      <c r="V19" s="5">
        <f t="shared" si="5"/>
        <v>0</v>
      </c>
      <c r="W19" s="1"/>
      <c r="X19" s="1">
        <f t="shared" si="6"/>
        <v>-4747.08</v>
      </c>
      <c r="Y19" s="1"/>
      <c r="Z19" s="5">
        <f t="shared" si="7"/>
        <v>-0.26623310342816314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1621.35</v>
      </c>
      <c r="E20" s="3"/>
      <c r="F20" s="7">
        <f t="shared" si="0"/>
        <v>0</v>
      </c>
      <c r="G20" s="3"/>
      <c r="H20" s="8">
        <v>2161.67</v>
      </c>
      <c r="I20" s="3"/>
      <c r="J20" s="7">
        <f t="shared" si="1"/>
        <v>0</v>
      </c>
      <c r="K20" s="3"/>
      <c r="L20" s="8">
        <f t="shared" si="2"/>
        <v>-540.32000000000016</v>
      </c>
      <c r="M20" s="3"/>
      <c r="N20" s="7">
        <f t="shared" si="3"/>
        <v>-0.24995489598319826</v>
      </c>
      <c r="O20" s="11"/>
      <c r="P20" s="8">
        <v>1621.35</v>
      </c>
      <c r="Q20" s="3"/>
      <c r="R20" s="7">
        <f t="shared" si="4"/>
        <v>0</v>
      </c>
      <c r="S20" s="3"/>
      <c r="T20" s="8">
        <v>2161.67</v>
      </c>
      <c r="U20" s="3"/>
      <c r="V20" s="7">
        <f t="shared" si="5"/>
        <v>0</v>
      </c>
      <c r="W20" s="3"/>
      <c r="X20" s="8">
        <f t="shared" si="6"/>
        <v>-540.32000000000016</v>
      </c>
      <c r="Y20" s="3"/>
      <c r="Z20" s="7">
        <f t="shared" si="7"/>
        <v>-0.24995489598319826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70.03</v>
      </c>
      <c r="E21" s="3"/>
      <c r="F21" s="7">
        <f t="shared" si="0"/>
        <v>0</v>
      </c>
      <c r="G21" s="3"/>
      <c r="H21" s="8">
        <v>96.59</v>
      </c>
      <c r="I21" s="3"/>
      <c r="J21" s="7">
        <f t="shared" si="1"/>
        <v>0</v>
      </c>
      <c r="K21" s="3"/>
      <c r="L21" s="8">
        <f t="shared" si="2"/>
        <v>-26.560000000000002</v>
      </c>
      <c r="M21" s="3"/>
      <c r="N21" s="7">
        <f t="shared" si="3"/>
        <v>-0.27497670566311216</v>
      </c>
      <c r="O21" s="11"/>
      <c r="P21" s="8">
        <v>70.03</v>
      </c>
      <c r="Q21" s="3"/>
      <c r="R21" s="7">
        <f t="shared" si="4"/>
        <v>0</v>
      </c>
      <c r="S21" s="3"/>
      <c r="T21" s="8">
        <v>96.59</v>
      </c>
      <c r="U21" s="3"/>
      <c r="V21" s="7">
        <f t="shared" si="5"/>
        <v>0</v>
      </c>
      <c r="W21" s="3"/>
      <c r="X21" s="8">
        <f t="shared" si="6"/>
        <v>-26.560000000000002</v>
      </c>
      <c r="Y21" s="3"/>
      <c r="Z21" s="7">
        <f t="shared" si="7"/>
        <v>-0.27497670566311216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5567.04</v>
      </c>
      <c r="E22" s="3"/>
      <c r="F22" s="7">
        <f t="shared" si="0"/>
        <v>0</v>
      </c>
      <c r="G22" s="3"/>
      <c r="H22" s="8">
        <v>5942.02</v>
      </c>
      <c r="I22" s="3"/>
      <c r="J22" s="7">
        <f t="shared" si="1"/>
        <v>0</v>
      </c>
      <c r="K22" s="3"/>
      <c r="L22" s="8">
        <f t="shared" si="2"/>
        <v>-374.98000000000047</v>
      </c>
      <c r="M22" s="3"/>
      <c r="N22" s="7">
        <f t="shared" si="3"/>
        <v>-6.3106485673222315E-2</v>
      </c>
      <c r="O22" s="11"/>
      <c r="P22" s="8">
        <v>5567.04</v>
      </c>
      <c r="Q22" s="3"/>
      <c r="R22" s="7">
        <f t="shared" si="4"/>
        <v>0</v>
      </c>
      <c r="S22" s="3"/>
      <c r="T22" s="8">
        <v>5942.02</v>
      </c>
      <c r="U22" s="3"/>
      <c r="V22" s="7">
        <f t="shared" si="5"/>
        <v>0</v>
      </c>
      <c r="W22" s="3"/>
      <c r="X22" s="8">
        <f t="shared" si="6"/>
        <v>-374.98000000000047</v>
      </c>
      <c r="Y22" s="3"/>
      <c r="Z22" s="7">
        <f t="shared" si="7"/>
        <v>-6.3106485673222315E-2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55.17</v>
      </c>
      <c r="E23" s="3"/>
      <c r="F23" s="7">
        <f t="shared" si="0"/>
        <v>0</v>
      </c>
      <c r="G23" s="3"/>
      <c r="H23" s="8">
        <v>73.86</v>
      </c>
      <c r="I23" s="3"/>
      <c r="J23" s="7">
        <f t="shared" si="1"/>
        <v>0</v>
      </c>
      <c r="K23" s="3"/>
      <c r="L23" s="8">
        <f t="shared" si="2"/>
        <v>-18.689999999999998</v>
      </c>
      <c r="M23" s="3"/>
      <c r="N23" s="7">
        <f t="shared" si="3"/>
        <v>-0.25304630381803411</v>
      </c>
      <c r="O23" s="11"/>
      <c r="P23" s="8">
        <v>55.17</v>
      </c>
      <c r="Q23" s="3"/>
      <c r="R23" s="7">
        <f t="shared" si="4"/>
        <v>0</v>
      </c>
      <c r="S23" s="3"/>
      <c r="T23" s="8">
        <v>73.86</v>
      </c>
      <c r="U23" s="3"/>
      <c r="V23" s="7">
        <f t="shared" si="5"/>
        <v>0</v>
      </c>
      <c r="W23" s="3"/>
      <c r="X23" s="8">
        <f t="shared" si="6"/>
        <v>-18.689999999999998</v>
      </c>
      <c r="Y23" s="3"/>
      <c r="Z23" s="7">
        <f t="shared" si="7"/>
        <v>-0.25304630381803411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2968.15</v>
      </c>
      <c r="E24" s="3"/>
      <c r="F24" s="7">
        <f t="shared" si="0"/>
        <v>0</v>
      </c>
      <c r="G24" s="3"/>
      <c r="H24" s="8">
        <v>2196.79</v>
      </c>
      <c r="I24" s="3"/>
      <c r="J24" s="7">
        <f t="shared" si="1"/>
        <v>0</v>
      </c>
      <c r="K24" s="3"/>
      <c r="L24" s="8">
        <f t="shared" si="2"/>
        <v>771.36000000000013</v>
      </c>
      <c r="M24" s="3"/>
      <c r="N24" s="7">
        <f t="shared" si="3"/>
        <v>0.35113051315783489</v>
      </c>
      <c r="O24" s="11"/>
      <c r="P24" s="8">
        <v>2968.15</v>
      </c>
      <c r="Q24" s="3"/>
      <c r="R24" s="7">
        <f t="shared" si="4"/>
        <v>0</v>
      </c>
      <c r="S24" s="3"/>
      <c r="T24" s="8">
        <v>2196.79</v>
      </c>
      <c r="U24" s="3"/>
      <c r="V24" s="7">
        <f t="shared" si="5"/>
        <v>0</v>
      </c>
      <c r="W24" s="3"/>
      <c r="X24" s="8">
        <f t="shared" si="6"/>
        <v>771.36000000000013</v>
      </c>
      <c r="Y24" s="3"/>
      <c r="Z24" s="7">
        <f t="shared" si="7"/>
        <v>0.35113051315783489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>
        <v>1559.44</v>
      </c>
      <c r="E25" s="3"/>
      <c r="F25" s="7">
        <f t="shared" si="0"/>
        <v>0</v>
      </c>
      <c r="G25" s="3"/>
      <c r="H25" s="8">
        <v>2741.18</v>
      </c>
      <c r="I25" s="3"/>
      <c r="J25" s="7">
        <f t="shared" si="1"/>
        <v>0</v>
      </c>
      <c r="K25" s="3"/>
      <c r="L25" s="8">
        <f t="shared" si="2"/>
        <v>-1181.7399999999998</v>
      </c>
      <c r="M25" s="3"/>
      <c r="N25" s="7">
        <f t="shared" si="3"/>
        <v>-0.43110631188028509</v>
      </c>
      <c r="O25" s="11"/>
      <c r="P25" s="8">
        <v>1559.44</v>
      </c>
      <c r="Q25" s="3"/>
      <c r="R25" s="7">
        <f t="shared" si="4"/>
        <v>0</v>
      </c>
      <c r="S25" s="3"/>
      <c r="T25" s="8">
        <v>2741.18</v>
      </c>
      <c r="U25" s="3"/>
      <c r="V25" s="7">
        <f t="shared" si="5"/>
        <v>0</v>
      </c>
      <c r="W25" s="3"/>
      <c r="X25" s="8">
        <f t="shared" si="6"/>
        <v>-1181.7399999999998</v>
      </c>
      <c r="Y25" s="3"/>
      <c r="Z25" s="7">
        <f t="shared" si="7"/>
        <v>-0.43110631188028509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>
        <v>979.42</v>
      </c>
      <c r="E26" s="3"/>
      <c r="F26" s="7">
        <f t="shared" si="0"/>
        <v>0</v>
      </c>
      <c r="G26" s="3"/>
      <c r="H26" s="8">
        <v>3934.91</v>
      </c>
      <c r="I26" s="3"/>
      <c r="J26" s="7">
        <f t="shared" si="1"/>
        <v>0</v>
      </c>
      <c r="K26" s="3"/>
      <c r="L26" s="8">
        <f t="shared" si="2"/>
        <v>-2955.49</v>
      </c>
      <c r="M26" s="3"/>
      <c r="N26" s="7">
        <f t="shared" si="3"/>
        <v>-0.75109468831561588</v>
      </c>
      <c r="O26" s="11"/>
      <c r="P26" s="8">
        <v>979.42</v>
      </c>
      <c r="Q26" s="3"/>
      <c r="R26" s="7">
        <f t="shared" si="4"/>
        <v>0</v>
      </c>
      <c r="S26" s="3"/>
      <c r="T26" s="8">
        <v>3934.91</v>
      </c>
      <c r="U26" s="3"/>
      <c r="V26" s="7">
        <f t="shared" si="5"/>
        <v>0</v>
      </c>
      <c r="W26" s="3"/>
      <c r="X26" s="8">
        <f t="shared" si="6"/>
        <v>-2955.49</v>
      </c>
      <c r="Y26" s="3"/>
      <c r="Z26" s="7">
        <f t="shared" si="7"/>
        <v>-0.75109468831561588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8">
        <v>262.86</v>
      </c>
      <c r="E27" s="3"/>
      <c r="F27" s="7">
        <f t="shared" si="0"/>
        <v>0</v>
      </c>
      <c r="G27" s="3"/>
      <c r="H27" s="8">
        <v>683.52</v>
      </c>
      <c r="I27" s="3"/>
      <c r="J27" s="7">
        <f t="shared" si="1"/>
        <v>0</v>
      </c>
      <c r="K27" s="3"/>
      <c r="L27" s="8">
        <f t="shared" si="2"/>
        <v>-420.65999999999997</v>
      </c>
      <c r="M27" s="3"/>
      <c r="N27" s="7">
        <f t="shared" si="3"/>
        <v>-0.6154318820224719</v>
      </c>
      <c r="O27" s="11"/>
      <c r="P27" s="8">
        <v>262.86</v>
      </c>
      <c r="Q27" s="3"/>
      <c r="R27" s="7">
        <f t="shared" si="4"/>
        <v>0</v>
      </c>
      <c r="S27" s="3"/>
      <c r="T27" s="8">
        <v>683.52</v>
      </c>
      <c r="U27" s="3"/>
      <c r="V27" s="7">
        <f t="shared" si="5"/>
        <v>0</v>
      </c>
      <c r="W27" s="3"/>
      <c r="X27" s="8">
        <f t="shared" si="6"/>
        <v>-420.65999999999997</v>
      </c>
      <c r="Y27" s="3"/>
      <c r="Z27" s="7">
        <f t="shared" si="7"/>
        <v>-0.6154318820224719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22976.46</v>
      </c>
      <c r="E28" s="1"/>
      <c r="F28" s="5">
        <f t="shared" ref="F28:F32" si="8">IF(D$12=0,0,D28/D$12)</f>
        <v>0</v>
      </c>
      <c r="G28" s="1"/>
      <c r="H28" s="1">
        <f>SUM(OSRRefH22_1x_0)</f>
        <v>33760.5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-10784.04</v>
      </c>
      <c r="M28" s="1"/>
      <c r="N28" s="5">
        <f t="shared" ref="N28:N32" si="11">IF(H28=0,0,L28/H28)</f>
        <v>-0.31942773359399301</v>
      </c>
      <c r="O28" s="14"/>
      <c r="P28" s="1">
        <f>SUM(OSRRefP22_1x_0)</f>
        <v>22976.46</v>
      </c>
      <c r="Q28" s="1"/>
      <c r="R28" s="5">
        <f t="shared" ref="R28:R32" si="12">IF(P$12=0,0,P28/P$12)</f>
        <v>0</v>
      </c>
      <c r="S28" s="1"/>
      <c r="T28" s="1">
        <f>SUM(OSRRefT22_1x_0)</f>
        <v>33760.5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-10784.04</v>
      </c>
      <c r="Y28" s="1"/>
      <c r="Z28" s="5">
        <f t="shared" ref="Z28:Z32" si="15">IF(T28=0,0,X28/T28)</f>
        <v>-0.31942773359399301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8">
        <v>22976.46</v>
      </c>
      <c r="E29" s="3"/>
      <c r="F29" s="7">
        <f t="shared" si="8"/>
        <v>0</v>
      </c>
      <c r="G29" s="3"/>
      <c r="H29" s="8">
        <v>29175.53</v>
      </c>
      <c r="I29" s="3"/>
      <c r="J29" s="7">
        <f t="shared" si="9"/>
        <v>0</v>
      </c>
      <c r="K29" s="3"/>
      <c r="L29" s="8">
        <f t="shared" si="10"/>
        <v>-6199.07</v>
      </c>
      <c r="M29" s="3"/>
      <c r="N29" s="7">
        <f t="shared" si="11"/>
        <v>-0.21247497474767382</v>
      </c>
      <c r="O29" s="11"/>
      <c r="P29" s="8">
        <v>22976.46</v>
      </c>
      <c r="Q29" s="3"/>
      <c r="R29" s="7">
        <f t="shared" si="12"/>
        <v>0</v>
      </c>
      <c r="S29" s="3"/>
      <c r="T29" s="8">
        <v>29175.53</v>
      </c>
      <c r="U29" s="3"/>
      <c r="V29" s="7">
        <f t="shared" si="13"/>
        <v>0</v>
      </c>
      <c r="W29" s="3"/>
      <c r="X29" s="8">
        <f t="shared" si="14"/>
        <v>-6199.07</v>
      </c>
      <c r="Y29" s="3"/>
      <c r="Z29" s="7">
        <f t="shared" si="15"/>
        <v>-0.21247497474767382</v>
      </c>
    </row>
    <row r="30" spans="1:26" s="24" customFormat="1" hidden="1" outlineLevel="2" x14ac:dyDescent="0.25">
      <c r="A30" s="29"/>
      <c r="B30" s="11" t="str">
        <f>CONCATENATE("          ", "6005", " - ", "TEMPORARY WAGES-HOURLY")</f>
        <v xml:space="preserve">          6005 - TEMPORARY WAGES-HOURLY</v>
      </c>
      <c r="C30" s="11"/>
      <c r="D30" s="8"/>
      <c r="E30" s="3"/>
      <c r="F30" s="7">
        <f t="shared" si="8"/>
        <v>0</v>
      </c>
      <c r="G30" s="3"/>
      <c r="H30" s="8">
        <v>1745.35</v>
      </c>
      <c r="I30" s="3"/>
      <c r="J30" s="7">
        <f t="shared" si="9"/>
        <v>0</v>
      </c>
      <c r="K30" s="3"/>
      <c r="L30" s="8">
        <f t="shared" si="10"/>
        <v>-1745.35</v>
      </c>
      <c r="M30" s="3"/>
      <c r="N30" s="7">
        <f t="shared" si="11"/>
        <v>-1</v>
      </c>
      <c r="O30" s="11"/>
      <c r="P30" s="8"/>
      <c r="Q30" s="3"/>
      <c r="R30" s="7">
        <f t="shared" si="12"/>
        <v>0</v>
      </c>
      <c r="S30" s="3"/>
      <c r="T30" s="8">
        <v>1745.35</v>
      </c>
      <c r="U30" s="3"/>
      <c r="V30" s="7">
        <f t="shared" si="13"/>
        <v>0</v>
      </c>
      <c r="W30" s="3"/>
      <c r="X30" s="8">
        <f t="shared" si="14"/>
        <v>-1745.35</v>
      </c>
      <c r="Y30" s="3"/>
      <c r="Z30" s="7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8"/>
      <c r="E31" s="3"/>
      <c r="F31" s="7">
        <f t="shared" si="8"/>
        <v>0</v>
      </c>
      <c r="G31" s="3"/>
      <c r="H31" s="8">
        <v>2689.62</v>
      </c>
      <c r="I31" s="3"/>
      <c r="J31" s="7">
        <f t="shared" si="9"/>
        <v>0</v>
      </c>
      <c r="K31" s="3"/>
      <c r="L31" s="8">
        <f t="shared" si="10"/>
        <v>-2689.62</v>
      </c>
      <c r="M31" s="3"/>
      <c r="N31" s="7">
        <f t="shared" si="11"/>
        <v>-1</v>
      </c>
      <c r="O31" s="11"/>
      <c r="P31" s="8"/>
      <c r="Q31" s="3"/>
      <c r="R31" s="7">
        <f t="shared" si="12"/>
        <v>0</v>
      </c>
      <c r="S31" s="3"/>
      <c r="T31" s="8">
        <v>2689.62</v>
      </c>
      <c r="U31" s="3"/>
      <c r="V31" s="7">
        <f t="shared" si="13"/>
        <v>0</v>
      </c>
      <c r="W31" s="3"/>
      <c r="X31" s="8">
        <f t="shared" si="14"/>
        <v>-2689.62</v>
      </c>
      <c r="Y31" s="3"/>
      <c r="Z31" s="7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"6008", " - ", "STUDENT HOURLY-FICA EXEMPT")</f>
        <v xml:space="preserve">          6008 - STUDENT HOURLY-FICA EXEMPT</v>
      </c>
      <c r="C32" s="11"/>
      <c r="D32" s="8"/>
      <c r="E32" s="3"/>
      <c r="F32" s="7">
        <f t="shared" si="8"/>
        <v>0</v>
      </c>
      <c r="G32" s="3"/>
      <c r="H32" s="8">
        <v>150</v>
      </c>
      <c r="I32" s="3"/>
      <c r="J32" s="7">
        <f t="shared" si="9"/>
        <v>0</v>
      </c>
      <c r="K32" s="3"/>
      <c r="L32" s="8">
        <f t="shared" si="10"/>
        <v>-150</v>
      </c>
      <c r="M32" s="3"/>
      <c r="N32" s="7">
        <f t="shared" si="11"/>
        <v>-1</v>
      </c>
      <c r="O32" s="11"/>
      <c r="P32" s="8"/>
      <c r="Q32" s="3"/>
      <c r="R32" s="7">
        <f t="shared" si="12"/>
        <v>0</v>
      </c>
      <c r="S32" s="3"/>
      <c r="T32" s="8">
        <v>150</v>
      </c>
      <c r="U32" s="3"/>
      <c r="V32" s="7">
        <f t="shared" si="13"/>
        <v>0</v>
      </c>
      <c r="W32" s="3"/>
      <c r="X32" s="8">
        <f t="shared" si="14"/>
        <v>-150</v>
      </c>
      <c r="Y32" s="3"/>
      <c r="Z32" s="7">
        <f t="shared" si="15"/>
        <v>-1</v>
      </c>
    </row>
    <row r="33" spans="1:26" s="27" customFormat="1" outlineLevel="1" collapsed="1" x14ac:dyDescent="0.25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45" si="16">IF(D$12=0,0,D33/D$12)</f>
        <v>0</v>
      </c>
      <c r="G33" s="1"/>
      <c r="H33" s="1">
        <f>SUM(OSRRefH22_2x_0)</f>
        <v>1558.88</v>
      </c>
      <c r="I33" s="1"/>
      <c r="J33" s="5">
        <f t="shared" ref="J33:J45" si="17">IF(H$12=0,0,H33/H$12)</f>
        <v>0</v>
      </c>
      <c r="K33" s="1"/>
      <c r="L33" s="1">
        <f t="shared" ref="L33:L45" si="18">+D33-H33</f>
        <v>0</v>
      </c>
      <c r="M33" s="1"/>
      <c r="N33" s="5">
        <f t="shared" ref="N33:N45" si="19">IF(H33=0,0,L33/H33)</f>
        <v>0</v>
      </c>
      <c r="O33" s="14"/>
      <c r="P33" s="1">
        <f>SUM(OSRRefP22_2x_0)</f>
        <v>1558.88</v>
      </c>
      <c r="Q33" s="1"/>
      <c r="R33" s="5">
        <f t="shared" ref="R33:R45" si="20">IF(P$12=0,0,P33/P$12)</f>
        <v>0</v>
      </c>
      <c r="S33" s="1"/>
      <c r="T33" s="1">
        <f>SUM(OSRRefT22_2x_0)</f>
        <v>1558.88</v>
      </c>
      <c r="U33" s="1"/>
      <c r="V33" s="5">
        <f t="shared" ref="V33:V45" si="21">IF(T$12=0,0,T33/T$12)</f>
        <v>0</v>
      </c>
      <c r="W33" s="1"/>
      <c r="X33" s="1">
        <f t="shared" ref="X33:X45" si="22">+P33-T33</f>
        <v>0</v>
      </c>
      <c r="Y33" s="1"/>
      <c r="Z33" s="5">
        <f t="shared" ref="Z33:Z45" si="23">IF(T33=0,0,X33/T33)</f>
        <v>0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8">
        <v>1558.88</v>
      </c>
      <c r="E34" s="3"/>
      <c r="F34" s="7">
        <f t="shared" si="16"/>
        <v>0</v>
      </c>
      <c r="G34" s="3"/>
      <c r="H34" s="8">
        <v>1558.88</v>
      </c>
      <c r="I34" s="3"/>
      <c r="J34" s="7">
        <f t="shared" si="17"/>
        <v>0</v>
      </c>
      <c r="K34" s="3"/>
      <c r="L34" s="8">
        <f t="shared" si="18"/>
        <v>0</v>
      </c>
      <c r="M34" s="3"/>
      <c r="N34" s="7">
        <f t="shared" si="19"/>
        <v>0</v>
      </c>
      <c r="O34" s="11"/>
      <c r="P34" s="8">
        <v>1558.88</v>
      </c>
      <c r="Q34" s="3"/>
      <c r="R34" s="7">
        <f t="shared" si="20"/>
        <v>0</v>
      </c>
      <c r="S34" s="3"/>
      <c r="T34" s="8">
        <v>1558.88</v>
      </c>
      <c r="U34" s="3"/>
      <c r="V34" s="7">
        <f t="shared" si="21"/>
        <v>0</v>
      </c>
      <c r="W34" s="3"/>
      <c r="X34" s="8">
        <f t="shared" si="22"/>
        <v>0</v>
      </c>
      <c r="Y34" s="3"/>
      <c r="Z34" s="7">
        <f t="shared" si="23"/>
        <v>0</v>
      </c>
    </row>
    <row r="35" spans="1:26" s="27" customFormat="1" outlineLevel="1" collapsed="1" x14ac:dyDescent="0.25">
      <c r="A35" s="28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91.26</v>
      </c>
      <c r="Q35" s="1"/>
      <c r="R35" s="5">
        <f t="shared" si="20"/>
        <v>0</v>
      </c>
      <c r="S35" s="1"/>
      <c r="T35" s="1">
        <f>SUM(OSRRefT22_3x_0)</f>
        <v>91.26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"6351", " - ", "EQUIPMENT RENTAL")</f>
        <v xml:space="preserve">          6351 - EQUIPMENT RENTAL</v>
      </c>
      <c r="C36" s="11"/>
      <c r="D36" s="8">
        <v>91.26</v>
      </c>
      <c r="E36" s="3"/>
      <c r="F36" s="7">
        <f t="shared" si="16"/>
        <v>0</v>
      </c>
      <c r="G36" s="3"/>
      <c r="H36" s="8">
        <v>91.26</v>
      </c>
      <c r="I36" s="3"/>
      <c r="J36" s="7">
        <f t="shared" si="17"/>
        <v>0</v>
      </c>
      <c r="K36" s="3"/>
      <c r="L36" s="8">
        <f t="shared" si="18"/>
        <v>0</v>
      </c>
      <c r="M36" s="3"/>
      <c r="N36" s="7">
        <f t="shared" si="19"/>
        <v>0</v>
      </c>
      <c r="O36" s="11"/>
      <c r="P36" s="8">
        <v>91.26</v>
      </c>
      <c r="Q36" s="3"/>
      <c r="R36" s="7">
        <f t="shared" si="20"/>
        <v>0</v>
      </c>
      <c r="S36" s="3"/>
      <c r="T36" s="8">
        <v>91.26</v>
      </c>
      <c r="U36" s="3"/>
      <c r="V36" s="7">
        <f t="shared" si="21"/>
        <v>0</v>
      </c>
      <c r="W36" s="3"/>
      <c r="X36" s="8">
        <f t="shared" si="22"/>
        <v>0</v>
      </c>
      <c r="Y36" s="3"/>
      <c r="Z36" s="7">
        <f t="shared" si="23"/>
        <v>0</v>
      </c>
    </row>
    <row r="37" spans="1:26" s="27" customFormat="1" outlineLevel="1" collapsed="1" x14ac:dyDescent="0.25">
      <c r="A37" s="28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80.5</v>
      </c>
      <c r="E37" s="1"/>
      <c r="F37" s="5">
        <f t="shared" si="16"/>
        <v>0</v>
      </c>
      <c r="G37" s="1"/>
      <c r="H37" s="1">
        <f>SUM(OSRRefH22_4x_0)</f>
        <v>71</v>
      </c>
      <c r="I37" s="1"/>
      <c r="J37" s="5">
        <f t="shared" si="17"/>
        <v>0</v>
      </c>
      <c r="K37" s="1"/>
      <c r="L37" s="1">
        <f t="shared" si="18"/>
        <v>9.5</v>
      </c>
      <c r="M37" s="1"/>
      <c r="N37" s="5">
        <f t="shared" si="19"/>
        <v>0.13380281690140844</v>
      </c>
      <c r="O37" s="14"/>
      <c r="P37" s="1">
        <f>SUM(OSRRefP22_4x_0)</f>
        <v>80.5</v>
      </c>
      <c r="Q37" s="1"/>
      <c r="R37" s="5">
        <f t="shared" si="20"/>
        <v>0</v>
      </c>
      <c r="S37" s="1"/>
      <c r="T37" s="1">
        <f>SUM(OSRRefT22_4x_0)</f>
        <v>71</v>
      </c>
      <c r="U37" s="1"/>
      <c r="V37" s="5">
        <f t="shared" si="21"/>
        <v>0</v>
      </c>
      <c r="W37" s="1"/>
      <c r="X37" s="1">
        <f t="shared" si="22"/>
        <v>9.5</v>
      </c>
      <c r="Y37" s="1"/>
      <c r="Z37" s="5">
        <f t="shared" si="23"/>
        <v>0.13380281690140844</v>
      </c>
    </row>
    <row r="38" spans="1:26" s="24" customFormat="1" hidden="1" outlineLevel="2" x14ac:dyDescent="0.25">
      <c r="A38" s="29"/>
      <c r="B38" s="11" t="str">
        <f>CONCATENATE("          ", "6307", " - ", "POSTAGE")</f>
        <v xml:space="preserve">          6307 - POSTAGE</v>
      </c>
      <c r="C38" s="11"/>
      <c r="D38" s="8">
        <v>80.5</v>
      </c>
      <c r="E38" s="3"/>
      <c r="F38" s="7">
        <f t="shared" si="16"/>
        <v>0</v>
      </c>
      <c r="G38" s="3"/>
      <c r="H38" s="8">
        <v>71</v>
      </c>
      <c r="I38" s="3"/>
      <c r="J38" s="7">
        <f t="shared" si="17"/>
        <v>0</v>
      </c>
      <c r="K38" s="3"/>
      <c r="L38" s="8">
        <f t="shared" si="18"/>
        <v>9.5</v>
      </c>
      <c r="M38" s="3"/>
      <c r="N38" s="7">
        <f t="shared" si="19"/>
        <v>0.13380281690140844</v>
      </c>
      <c r="O38" s="11"/>
      <c r="P38" s="8">
        <v>80.5</v>
      </c>
      <c r="Q38" s="3"/>
      <c r="R38" s="7">
        <f t="shared" si="20"/>
        <v>0</v>
      </c>
      <c r="S38" s="3"/>
      <c r="T38" s="8">
        <v>71</v>
      </c>
      <c r="U38" s="3"/>
      <c r="V38" s="7">
        <f t="shared" si="21"/>
        <v>0</v>
      </c>
      <c r="W38" s="3"/>
      <c r="X38" s="8">
        <f t="shared" si="22"/>
        <v>9.5</v>
      </c>
      <c r="Y38" s="3"/>
      <c r="Z38" s="7">
        <f t="shared" si="23"/>
        <v>0.13380281690140844</v>
      </c>
    </row>
    <row r="39" spans="1:26" s="27" customFormat="1" outlineLevel="1" collapsed="1" x14ac:dyDescent="0.25">
      <c r="A39" s="28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132.16999999999999</v>
      </c>
      <c r="E39" s="1"/>
      <c r="F39" s="5">
        <f t="shared" si="16"/>
        <v>0</v>
      </c>
      <c r="G39" s="1"/>
      <c r="H39" s="1">
        <f>SUM(OSRRefH22_5x_0)</f>
        <v>132.16999999999999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SUM(OSRRefP22_5x_0)</f>
        <v>132.16999999999999</v>
      </c>
      <c r="Q39" s="1"/>
      <c r="R39" s="5">
        <f t="shared" si="20"/>
        <v>0</v>
      </c>
      <c r="S39" s="1"/>
      <c r="T39" s="1">
        <f>SUM(OSRRefT22_5x_0)</f>
        <v>132.16999999999999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9"/>
      <c r="B40" s="11" t="str">
        <f>CONCATENATE("          ", "6314", " - ", "LIABILITY INSURANCE")</f>
        <v xml:space="preserve">          6314 - LIABILITY INSURANCE</v>
      </c>
      <c r="C40" s="11"/>
      <c r="D40" s="8">
        <v>132.16999999999999</v>
      </c>
      <c r="E40" s="3"/>
      <c r="F40" s="7">
        <f t="shared" si="16"/>
        <v>0</v>
      </c>
      <c r="G40" s="3"/>
      <c r="H40" s="8">
        <v>132.16999999999999</v>
      </c>
      <c r="I40" s="3"/>
      <c r="J40" s="7">
        <f t="shared" si="17"/>
        <v>0</v>
      </c>
      <c r="K40" s="3"/>
      <c r="L40" s="8">
        <f t="shared" si="18"/>
        <v>0</v>
      </c>
      <c r="M40" s="3"/>
      <c r="N40" s="7">
        <f t="shared" si="19"/>
        <v>0</v>
      </c>
      <c r="O40" s="11"/>
      <c r="P40" s="8">
        <v>132.16999999999999</v>
      </c>
      <c r="Q40" s="3"/>
      <c r="R40" s="7">
        <f t="shared" si="20"/>
        <v>0</v>
      </c>
      <c r="S40" s="3"/>
      <c r="T40" s="8">
        <v>132.16999999999999</v>
      </c>
      <c r="U40" s="3"/>
      <c r="V40" s="7">
        <f t="shared" si="21"/>
        <v>0</v>
      </c>
      <c r="W40" s="3"/>
      <c r="X40" s="8">
        <f t="shared" si="22"/>
        <v>0</v>
      </c>
      <c r="Y40" s="3"/>
      <c r="Z40" s="7">
        <f t="shared" si="23"/>
        <v>0</v>
      </c>
    </row>
    <row r="41" spans="1:26" s="27" customFormat="1" outlineLevel="1" collapsed="1" x14ac:dyDescent="0.25">
      <c r="A41" s="28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82.5</v>
      </c>
      <c r="I41" s="1"/>
      <c r="J41" s="5">
        <f t="shared" si="17"/>
        <v>0</v>
      </c>
      <c r="K41" s="1"/>
      <c r="L41" s="1">
        <f t="shared" si="18"/>
        <v>-82.5</v>
      </c>
      <c r="M41" s="1"/>
      <c r="N41" s="5">
        <f t="shared" si="19"/>
        <v>-1</v>
      </c>
      <c r="O41" s="14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82.5</v>
      </c>
      <c r="U41" s="1"/>
      <c r="V41" s="5">
        <f t="shared" si="21"/>
        <v>0</v>
      </c>
      <c r="W41" s="1"/>
      <c r="X41" s="1">
        <f t="shared" si="22"/>
        <v>-82.5</v>
      </c>
      <c r="Y41" s="1"/>
      <c r="Z41" s="5">
        <f t="shared" si="23"/>
        <v>-1</v>
      </c>
    </row>
    <row r="42" spans="1:26" s="24" customFormat="1" hidden="1" outlineLevel="2" x14ac:dyDescent="0.25">
      <c r="A42" s="29"/>
      <c r="B42" s="11" t="str">
        <f>CONCATENATE("          ", "6332", " - ", "CONSULTANT FEES")</f>
        <v xml:space="preserve">          6332 - CONSULTANT FEES</v>
      </c>
      <c r="C42" s="11"/>
      <c r="D42" s="8"/>
      <c r="E42" s="3"/>
      <c r="F42" s="7">
        <f t="shared" si="16"/>
        <v>0</v>
      </c>
      <c r="G42" s="3"/>
      <c r="H42" s="8">
        <v>82.5</v>
      </c>
      <c r="I42" s="3"/>
      <c r="J42" s="7">
        <f t="shared" si="17"/>
        <v>0</v>
      </c>
      <c r="K42" s="3"/>
      <c r="L42" s="8">
        <f t="shared" si="18"/>
        <v>-82.5</v>
      </c>
      <c r="M42" s="3"/>
      <c r="N42" s="7">
        <f t="shared" si="19"/>
        <v>-1</v>
      </c>
      <c r="O42" s="11"/>
      <c r="P42" s="8"/>
      <c r="Q42" s="3"/>
      <c r="R42" s="7">
        <f t="shared" si="20"/>
        <v>0</v>
      </c>
      <c r="S42" s="3"/>
      <c r="T42" s="8">
        <v>82.5</v>
      </c>
      <c r="U42" s="3"/>
      <c r="V42" s="7">
        <f t="shared" si="21"/>
        <v>0</v>
      </c>
      <c r="W42" s="3"/>
      <c r="X42" s="8">
        <f t="shared" si="22"/>
        <v>-82.5</v>
      </c>
      <c r="Y42" s="3"/>
      <c r="Z42" s="7">
        <f t="shared" si="23"/>
        <v>-1</v>
      </c>
    </row>
    <row r="43" spans="1:26" s="27" customFormat="1" outlineLevel="1" collapsed="1" x14ac:dyDescent="0.25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SUM(OSRRefD22_7x_0)</f>
        <v>69.84</v>
      </c>
      <c r="E43" s="1"/>
      <c r="F43" s="5">
        <f t="shared" si="16"/>
        <v>0</v>
      </c>
      <c r="G43" s="1"/>
      <c r="H43" s="1">
        <f>SUM(OSRRefH22_7x_0)</f>
        <v>22</v>
      </c>
      <c r="I43" s="1"/>
      <c r="J43" s="5">
        <f t="shared" si="17"/>
        <v>0</v>
      </c>
      <c r="K43" s="1"/>
      <c r="L43" s="1">
        <f t="shared" si="18"/>
        <v>47.84</v>
      </c>
      <c r="M43" s="1"/>
      <c r="N43" s="5">
        <f t="shared" si="19"/>
        <v>2.1745454545454548</v>
      </c>
      <c r="O43" s="14"/>
      <c r="P43" s="1">
        <f>SUM(OSRRefP22_7x_0)</f>
        <v>69.84</v>
      </c>
      <c r="Q43" s="1"/>
      <c r="R43" s="5">
        <f t="shared" si="20"/>
        <v>0</v>
      </c>
      <c r="S43" s="1"/>
      <c r="T43" s="1">
        <f>SUM(OSRRefT22_7x_0)</f>
        <v>22</v>
      </c>
      <c r="U43" s="1"/>
      <c r="V43" s="5">
        <f t="shared" si="21"/>
        <v>0</v>
      </c>
      <c r="W43" s="1"/>
      <c r="X43" s="1">
        <f t="shared" si="22"/>
        <v>47.84</v>
      </c>
      <c r="Y43" s="1"/>
      <c r="Z43" s="5">
        <f t="shared" si="23"/>
        <v>2.1745454545454548</v>
      </c>
    </row>
    <row r="44" spans="1:26" s="24" customFormat="1" hidden="1" outlineLevel="2" x14ac:dyDescent="0.25">
      <c r="A44" s="29"/>
      <c r="B44" s="11" t="str">
        <f>CONCATENATE("          ", "6371", " - ", "COMPUTER SOFTWARE MAINTENANCE")</f>
        <v xml:space="preserve">          6371 - COMPUTER SOFTWARE MAINTENANCE</v>
      </c>
      <c r="C44" s="11"/>
      <c r="D44" s="8">
        <v>59.95</v>
      </c>
      <c r="E44" s="3"/>
      <c r="F44" s="7">
        <f t="shared" si="16"/>
        <v>0</v>
      </c>
      <c r="G44" s="3"/>
      <c r="H44" s="8"/>
      <c r="I44" s="3"/>
      <c r="J44" s="7">
        <f t="shared" si="17"/>
        <v>0</v>
      </c>
      <c r="K44" s="3"/>
      <c r="L44" s="8">
        <f t="shared" si="18"/>
        <v>59.95</v>
      </c>
      <c r="M44" s="3"/>
      <c r="N44" s="7">
        <f t="shared" si="19"/>
        <v>0</v>
      </c>
      <c r="O44" s="11"/>
      <c r="P44" s="8">
        <v>59.95</v>
      </c>
      <c r="Q44" s="3"/>
      <c r="R44" s="7">
        <f t="shared" si="20"/>
        <v>0</v>
      </c>
      <c r="S44" s="3"/>
      <c r="T44" s="8"/>
      <c r="U44" s="3"/>
      <c r="V44" s="7">
        <f t="shared" si="21"/>
        <v>0</v>
      </c>
      <c r="W44" s="3"/>
      <c r="X44" s="8">
        <f t="shared" si="22"/>
        <v>59.95</v>
      </c>
      <c r="Y44" s="3"/>
      <c r="Z44" s="7">
        <f t="shared" si="23"/>
        <v>0</v>
      </c>
    </row>
    <row r="45" spans="1:26" s="24" customFormat="1" hidden="1" outlineLevel="2" x14ac:dyDescent="0.25">
      <c r="A45" s="29"/>
      <c r="B45" s="11" t="str">
        <f>CONCATENATE("          ", "6373", " - ", "MAINTENANCE CONTRACTS")</f>
        <v xml:space="preserve">          6373 - MAINTENANCE CONTRACTS</v>
      </c>
      <c r="C45" s="11"/>
      <c r="D45" s="8">
        <v>9.89</v>
      </c>
      <c r="E45" s="3"/>
      <c r="F45" s="7">
        <f t="shared" si="16"/>
        <v>0</v>
      </c>
      <c r="G45" s="3"/>
      <c r="H45" s="8">
        <v>22</v>
      </c>
      <c r="I45" s="3"/>
      <c r="J45" s="7">
        <f t="shared" si="17"/>
        <v>0</v>
      </c>
      <c r="K45" s="3"/>
      <c r="L45" s="8">
        <f t="shared" si="18"/>
        <v>-12.11</v>
      </c>
      <c r="M45" s="3"/>
      <c r="N45" s="7">
        <f t="shared" si="19"/>
        <v>-0.55045454545454542</v>
      </c>
      <c r="O45" s="11"/>
      <c r="P45" s="8">
        <v>9.89</v>
      </c>
      <c r="Q45" s="3"/>
      <c r="R45" s="7">
        <f t="shared" si="20"/>
        <v>0</v>
      </c>
      <c r="S45" s="3"/>
      <c r="T45" s="8">
        <v>22</v>
      </c>
      <c r="U45" s="3"/>
      <c r="V45" s="7">
        <f t="shared" si="21"/>
        <v>0</v>
      </c>
      <c r="W45" s="3"/>
      <c r="X45" s="8">
        <f t="shared" si="22"/>
        <v>-12.11</v>
      </c>
      <c r="Y45" s="3"/>
      <c r="Z45" s="7">
        <f t="shared" si="23"/>
        <v>-0.55045454545454542</v>
      </c>
    </row>
    <row r="46" spans="1:26" s="27" customFormat="1" outlineLevel="1" collapsed="1" x14ac:dyDescent="0.25">
      <c r="A46" s="28"/>
      <c r="B46" s="14" t="str">
        <f>CONCATENATE("     ","Services                                          ")</f>
        <v xml:space="preserve">     Services                                          </v>
      </c>
      <c r="C46" s="14"/>
      <c r="D46" s="1">
        <f>SUM(OSRRefD22_8x_0)</f>
        <v>512.48</v>
      </c>
      <c r="E46" s="1"/>
      <c r="F46" s="5">
        <f t="shared" ref="F46:F50" si="24">IF(D$12=0,0,D46/D$12)</f>
        <v>0</v>
      </c>
      <c r="G46" s="1"/>
      <c r="H46" s="1">
        <f>SUM(OSRRefH22_8x_0)</f>
        <v>1013.7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-501.22</v>
      </c>
      <c r="M46" s="1"/>
      <c r="N46" s="5">
        <f t="shared" ref="N46:N50" si="27">IF(H46=0,0,L46/H46)</f>
        <v>-0.49444608858636679</v>
      </c>
      <c r="O46" s="14"/>
      <c r="P46" s="1">
        <f>SUM(OSRRefP22_8x_0)</f>
        <v>512.48</v>
      </c>
      <c r="Q46" s="1"/>
      <c r="R46" s="5">
        <f t="shared" ref="R46:R50" si="28">IF(P$12=0,0,P46/P$12)</f>
        <v>0</v>
      </c>
      <c r="S46" s="1"/>
      <c r="T46" s="1">
        <f>SUM(OSRRefT22_8x_0)</f>
        <v>1013.7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-501.22</v>
      </c>
      <c r="Y46" s="1"/>
      <c r="Z46" s="5">
        <f t="shared" ref="Z46:Z50" si="31">IF(T46=0,0,X46/T46)</f>
        <v>-0.49444608858636679</v>
      </c>
    </row>
    <row r="47" spans="1:26" s="24" customFormat="1" hidden="1" outlineLevel="2" x14ac:dyDescent="0.25">
      <c r="A47" s="29"/>
      <c r="B47" s="11" t="str">
        <f>CONCATENATE("          ", "6281", " - ", "STORAGE FEE")</f>
        <v xml:space="preserve">          6281 - STORAGE FEE</v>
      </c>
      <c r="C47" s="11"/>
      <c r="D47" s="8">
        <v>512.48</v>
      </c>
      <c r="E47" s="3"/>
      <c r="F47" s="7">
        <f t="shared" si="24"/>
        <v>0</v>
      </c>
      <c r="G47" s="3"/>
      <c r="H47" s="8">
        <v>1013.7</v>
      </c>
      <c r="I47" s="3"/>
      <c r="J47" s="7">
        <f t="shared" si="25"/>
        <v>0</v>
      </c>
      <c r="K47" s="3"/>
      <c r="L47" s="8">
        <f t="shared" si="26"/>
        <v>-501.22</v>
      </c>
      <c r="M47" s="3"/>
      <c r="N47" s="7">
        <f t="shared" si="27"/>
        <v>-0.49444608858636679</v>
      </c>
      <c r="O47" s="11"/>
      <c r="P47" s="8">
        <v>512.48</v>
      </c>
      <c r="Q47" s="3"/>
      <c r="R47" s="7">
        <f t="shared" si="28"/>
        <v>0</v>
      </c>
      <c r="S47" s="3"/>
      <c r="T47" s="8">
        <v>1013.7</v>
      </c>
      <c r="U47" s="3"/>
      <c r="V47" s="7">
        <f t="shared" si="29"/>
        <v>0</v>
      </c>
      <c r="W47" s="3"/>
      <c r="X47" s="8">
        <f t="shared" si="30"/>
        <v>-501.22</v>
      </c>
      <c r="Y47" s="3"/>
      <c r="Z47" s="7">
        <f t="shared" si="31"/>
        <v>-0.49444608858636679</v>
      </c>
    </row>
    <row r="48" spans="1:26" s="27" customFormat="1" outlineLevel="1" collapsed="1" x14ac:dyDescent="0.25">
      <c r="A48" s="28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SUM(OSRRefD22_9x_0)</f>
        <v>461.94000000000005</v>
      </c>
      <c r="E48" s="1"/>
      <c r="F48" s="5">
        <f t="shared" si="24"/>
        <v>0</v>
      </c>
      <c r="G48" s="1"/>
      <c r="H48" s="1">
        <f>SUM(OSRRefH22_9x_0)</f>
        <v>358.91</v>
      </c>
      <c r="I48" s="1"/>
      <c r="J48" s="5">
        <f t="shared" si="25"/>
        <v>0</v>
      </c>
      <c r="K48" s="1"/>
      <c r="L48" s="1">
        <f t="shared" si="26"/>
        <v>103.03000000000003</v>
      </c>
      <c r="M48" s="1"/>
      <c r="N48" s="5">
        <f t="shared" si="27"/>
        <v>0.28706360926137475</v>
      </c>
      <c r="O48" s="14"/>
      <c r="P48" s="1">
        <f>SUM(OSRRefP22_9x_0)</f>
        <v>461.94000000000005</v>
      </c>
      <c r="Q48" s="1"/>
      <c r="R48" s="5">
        <f t="shared" si="28"/>
        <v>0</v>
      </c>
      <c r="S48" s="1"/>
      <c r="T48" s="1">
        <f>SUM(OSRRefT22_9x_0)</f>
        <v>358.91</v>
      </c>
      <c r="U48" s="1"/>
      <c r="V48" s="5">
        <f t="shared" si="29"/>
        <v>0</v>
      </c>
      <c r="W48" s="1"/>
      <c r="X48" s="1">
        <f t="shared" si="30"/>
        <v>103.03000000000003</v>
      </c>
      <c r="Y48" s="1"/>
      <c r="Z48" s="5">
        <f t="shared" si="31"/>
        <v>0.28706360926137475</v>
      </c>
    </row>
    <row r="49" spans="1:26" s="24" customFormat="1" hidden="1" outlineLevel="2" x14ac:dyDescent="0.25">
      <c r="A49" s="29"/>
      <c r="B49" s="11" t="str">
        <f>CONCATENATE("          ", "6235", " - ", "COVID-19 EXPENSES")</f>
        <v xml:space="preserve">          6235 - COVID-19 EXPENSES</v>
      </c>
      <c r="C49" s="11"/>
      <c r="D49" s="8">
        <v>426.66</v>
      </c>
      <c r="E49" s="3"/>
      <c r="F49" s="7">
        <f t="shared" si="24"/>
        <v>0</v>
      </c>
      <c r="G49" s="3"/>
      <c r="H49" s="8"/>
      <c r="I49" s="3"/>
      <c r="J49" s="7">
        <f t="shared" si="25"/>
        <v>0</v>
      </c>
      <c r="K49" s="3"/>
      <c r="L49" s="8">
        <f t="shared" si="26"/>
        <v>426.66</v>
      </c>
      <c r="M49" s="3"/>
      <c r="N49" s="7">
        <f t="shared" si="27"/>
        <v>0</v>
      </c>
      <c r="O49" s="11"/>
      <c r="P49" s="8">
        <v>426.66</v>
      </c>
      <c r="Q49" s="3"/>
      <c r="R49" s="7">
        <f t="shared" si="28"/>
        <v>0</v>
      </c>
      <c r="S49" s="3"/>
      <c r="T49" s="8"/>
      <c r="U49" s="3"/>
      <c r="V49" s="7">
        <f t="shared" si="29"/>
        <v>0</v>
      </c>
      <c r="W49" s="3"/>
      <c r="X49" s="8">
        <f t="shared" si="30"/>
        <v>426.66</v>
      </c>
      <c r="Y49" s="3"/>
      <c r="Z49" s="7">
        <f t="shared" si="31"/>
        <v>0</v>
      </c>
    </row>
    <row r="50" spans="1:26" s="24" customFormat="1" hidden="1" outlineLevel="2" x14ac:dyDescent="0.25">
      <c r="A50" s="29"/>
      <c r="B50" s="11" t="str">
        <f>CONCATENATE("          ", "6241", " - ", "OFFICE EXPENSE")</f>
        <v xml:space="preserve">          6241 - OFFICE EXPENSE</v>
      </c>
      <c r="C50" s="11"/>
      <c r="D50" s="8">
        <v>35.28</v>
      </c>
      <c r="E50" s="3"/>
      <c r="F50" s="7">
        <f t="shared" si="24"/>
        <v>0</v>
      </c>
      <c r="G50" s="3"/>
      <c r="H50" s="8">
        <v>358.91</v>
      </c>
      <c r="I50" s="3"/>
      <c r="J50" s="7">
        <f t="shared" si="25"/>
        <v>0</v>
      </c>
      <c r="K50" s="3"/>
      <c r="L50" s="8">
        <f t="shared" si="26"/>
        <v>-323.63</v>
      </c>
      <c r="M50" s="3"/>
      <c r="N50" s="7">
        <f t="shared" si="27"/>
        <v>-0.90170237664038333</v>
      </c>
      <c r="O50" s="11"/>
      <c r="P50" s="8">
        <v>35.28</v>
      </c>
      <c r="Q50" s="3"/>
      <c r="R50" s="7">
        <f t="shared" si="28"/>
        <v>0</v>
      </c>
      <c r="S50" s="3"/>
      <c r="T50" s="8">
        <v>358.91</v>
      </c>
      <c r="U50" s="3"/>
      <c r="V50" s="7">
        <f t="shared" si="29"/>
        <v>0</v>
      </c>
      <c r="W50" s="3"/>
      <c r="X50" s="8">
        <f t="shared" si="30"/>
        <v>-323.63</v>
      </c>
      <c r="Y50" s="3"/>
      <c r="Z50" s="7">
        <f t="shared" si="31"/>
        <v>-0.90170237664038333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SUM(OSRRefD22_10x_0)</f>
        <v>421.3</v>
      </c>
      <c r="E51" s="1"/>
      <c r="F51" s="5">
        <f t="shared" ref="F51:F54" si="32">IF(D$12=0,0,D51/D$12)</f>
        <v>0</v>
      </c>
      <c r="G51" s="1"/>
      <c r="H51" s="1">
        <f>SUM(OSRRefH22_10x_0)</f>
        <v>365.8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55.5</v>
      </c>
      <c r="M51" s="1"/>
      <c r="N51" s="5">
        <f t="shared" ref="N51:N54" si="35">IF(H51=0,0,L51/H51)</f>
        <v>0.15172225259704755</v>
      </c>
      <c r="O51" s="14"/>
      <c r="P51" s="1">
        <f>SUM(OSRRefP22_10x_0)</f>
        <v>421.3</v>
      </c>
      <c r="Q51" s="1"/>
      <c r="R51" s="5">
        <f t="shared" ref="R51:R54" si="36">IF(P$12=0,0,P51/P$12)</f>
        <v>0</v>
      </c>
      <c r="S51" s="1"/>
      <c r="T51" s="1">
        <f>SUM(OSRRefT22_10x_0)</f>
        <v>365.8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55.5</v>
      </c>
      <c r="Y51" s="1"/>
      <c r="Z51" s="5">
        <f t="shared" ref="Z51:Z54" si="39">IF(T51=0,0,X51/T51)</f>
        <v>0.15172225259704755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8">
        <v>421.3</v>
      </c>
      <c r="E52" s="3"/>
      <c r="F52" s="7">
        <f t="shared" si="32"/>
        <v>0</v>
      </c>
      <c r="G52" s="3"/>
      <c r="H52" s="8">
        <v>365.8</v>
      </c>
      <c r="I52" s="3"/>
      <c r="J52" s="7">
        <f t="shared" si="33"/>
        <v>0</v>
      </c>
      <c r="K52" s="3"/>
      <c r="L52" s="8">
        <f t="shared" si="34"/>
        <v>55.5</v>
      </c>
      <c r="M52" s="3"/>
      <c r="N52" s="7">
        <f t="shared" si="35"/>
        <v>0.15172225259704755</v>
      </c>
      <c r="O52" s="11"/>
      <c r="P52" s="8">
        <v>421.3</v>
      </c>
      <c r="Q52" s="3"/>
      <c r="R52" s="7">
        <f t="shared" si="36"/>
        <v>0</v>
      </c>
      <c r="S52" s="3"/>
      <c r="T52" s="8">
        <v>365.8</v>
      </c>
      <c r="U52" s="3"/>
      <c r="V52" s="7">
        <f t="shared" si="37"/>
        <v>0</v>
      </c>
      <c r="W52" s="3"/>
      <c r="X52" s="8">
        <f t="shared" si="38"/>
        <v>55.5</v>
      </c>
      <c r="Y52" s="3"/>
      <c r="Z52" s="7">
        <f t="shared" si="39"/>
        <v>0.15172225259704755</v>
      </c>
    </row>
    <row r="53" spans="1:26" s="27" customFormat="1" outlineLevel="1" collapsed="1" x14ac:dyDescent="0.25">
      <c r="A53" s="28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SUM(OSRRefD22_11x_0)</f>
        <v>9.75</v>
      </c>
      <c r="E53" s="1"/>
      <c r="F53" s="5">
        <f t="shared" si="32"/>
        <v>0</v>
      </c>
      <c r="G53" s="1"/>
      <c r="H53" s="1">
        <f>SUM(OSRRefH22_11x_0)</f>
        <v>0</v>
      </c>
      <c r="I53" s="1"/>
      <c r="J53" s="5">
        <f t="shared" si="33"/>
        <v>0</v>
      </c>
      <c r="K53" s="1"/>
      <c r="L53" s="1">
        <f t="shared" si="34"/>
        <v>9.75</v>
      </c>
      <c r="M53" s="1"/>
      <c r="N53" s="5">
        <f t="shared" si="35"/>
        <v>0</v>
      </c>
      <c r="O53" s="14"/>
      <c r="P53" s="1">
        <f>SUM(OSRRefP22_11x_0)</f>
        <v>9.75</v>
      </c>
      <c r="Q53" s="1"/>
      <c r="R53" s="5">
        <f t="shared" si="36"/>
        <v>0</v>
      </c>
      <c r="S53" s="1"/>
      <c r="T53" s="1">
        <f>SUM(OSRRefT22_11x_0)</f>
        <v>0</v>
      </c>
      <c r="U53" s="1"/>
      <c r="V53" s="5">
        <f t="shared" si="37"/>
        <v>0</v>
      </c>
      <c r="W53" s="1"/>
      <c r="X53" s="1">
        <f t="shared" si="38"/>
        <v>9.75</v>
      </c>
      <c r="Y53" s="1"/>
      <c r="Z53" s="5">
        <f t="shared" si="39"/>
        <v>0</v>
      </c>
    </row>
    <row r="54" spans="1:26" s="24" customFormat="1" hidden="1" outlineLevel="2" x14ac:dyDescent="0.25">
      <c r="A54" s="29"/>
      <c r="B54" s="11" t="str">
        <f>CONCATENATE("          ", "6294", " - ", "TRAVEL OPERATIONAL")</f>
        <v xml:space="preserve">          6294 - TRAVEL OPERATIONAL</v>
      </c>
      <c r="C54" s="11"/>
      <c r="D54" s="8">
        <v>9.75</v>
      </c>
      <c r="E54" s="3"/>
      <c r="F54" s="7">
        <f t="shared" si="32"/>
        <v>0</v>
      </c>
      <c r="G54" s="3"/>
      <c r="H54" s="8"/>
      <c r="I54" s="3"/>
      <c r="J54" s="7">
        <f t="shared" si="33"/>
        <v>0</v>
      </c>
      <c r="K54" s="3"/>
      <c r="L54" s="8">
        <f t="shared" si="34"/>
        <v>9.75</v>
      </c>
      <c r="M54" s="3"/>
      <c r="N54" s="7">
        <f t="shared" si="35"/>
        <v>0</v>
      </c>
      <c r="O54" s="11"/>
      <c r="P54" s="8">
        <v>9.75</v>
      </c>
      <c r="Q54" s="3"/>
      <c r="R54" s="7">
        <f t="shared" si="36"/>
        <v>0</v>
      </c>
      <c r="S54" s="3"/>
      <c r="T54" s="8"/>
      <c r="U54" s="3"/>
      <c r="V54" s="7">
        <f t="shared" si="37"/>
        <v>0</v>
      </c>
      <c r="W54" s="3"/>
      <c r="X54" s="8">
        <f t="shared" si="38"/>
        <v>9.75</v>
      </c>
      <c r="Y54" s="3"/>
      <c r="Z54" s="7">
        <f t="shared" si="39"/>
        <v>0</v>
      </c>
    </row>
    <row r="55" spans="1:26" s="61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x14ac:dyDescent="0.25">
      <c r="A58" s="10"/>
      <c r="B58" s="26" t="s">
        <v>3</v>
      </c>
      <c r="C58" s="26"/>
      <c r="D58" s="19">
        <f>+D16-D18+D56</f>
        <v>-39398.04</v>
      </c>
      <c r="E58" s="13"/>
      <c r="F58" s="20">
        <f>IF(D$12=0,0,D58/D$12)</f>
        <v>0</v>
      </c>
      <c r="G58" s="13"/>
      <c r="H58" s="19">
        <f>+H16-H18+H56</f>
        <v>-55287.26</v>
      </c>
      <c r="I58" s="13"/>
      <c r="J58" s="20">
        <f>IF(H$12=0,0,H58/H$12)</f>
        <v>0</v>
      </c>
      <c r="K58" s="16"/>
      <c r="L58" s="19">
        <f>+D58-H58</f>
        <v>15889.220000000001</v>
      </c>
      <c r="M58" s="16"/>
      <c r="N58" s="20">
        <f>IF(H58=0,0,L58/H58)</f>
        <v>-0.28739387699806429</v>
      </c>
      <c r="O58" s="25"/>
      <c r="P58" s="19">
        <f>+P16-P18+P56</f>
        <v>-39398.04</v>
      </c>
      <c r="Q58" s="13"/>
      <c r="R58" s="20">
        <f>IF(P$12=0,0,P58/P$12)</f>
        <v>0</v>
      </c>
      <c r="S58" s="13"/>
      <c r="T58" s="19">
        <f>+T16-T18+T56</f>
        <v>-55287.26</v>
      </c>
      <c r="U58" s="13"/>
      <c r="V58" s="20">
        <f>IF(T$12=0,0,T58/T$12)</f>
        <v>0</v>
      </c>
      <c r="W58" s="16"/>
      <c r="X58" s="19">
        <f>+P58-T58</f>
        <v>15889.220000000001</v>
      </c>
      <c r="Y58" s="16"/>
      <c r="Z58" s="20">
        <f>IF(T58=0,0,X58/T58)</f>
        <v>-0.28739387699806429</v>
      </c>
    </row>
    <row r="59" spans="1:26" x14ac:dyDescent="0.25">
      <c r="A59" s="9"/>
      <c r="B59" s="10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ht="15.75" thickBot="1" x14ac:dyDescent="0.3">
      <c r="A62" s="10"/>
      <c r="B62" s="26" t="s">
        <v>4</v>
      </c>
      <c r="C62" s="26"/>
      <c r="D62" s="35">
        <f>+D58-D60</f>
        <v>-39398.04</v>
      </c>
      <c r="E62" s="13"/>
      <c r="F62" s="30">
        <f>IF(D$12=0,0,D62/D$12)</f>
        <v>0</v>
      </c>
      <c r="G62" s="13"/>
      <c r="H62" s="35">
        <f>+H58-H60</f>
        <v>-55287.26</v>
      </c>
      <c r="I62" s="13"/>
      <c r="J62" s="30">
        <f>IF(H$12=0,0,H62/H$12)</f>
        <v>0</v>
      </c>
      <c r="K62" s="16"/>
      <c r="L62" s="35">
        <f>D62-H62</f>
        <v>15889.220000000001</v>
      </c>
      <c r="M62" s="16"/>
      <c r="N62" s="30">
        <f>IF(H62=0,0,L62/H62)</f>
        <v>-0.28739387699806429</v>
      </c>
      <c r="O62" s="25"/>
      <c r="P62" s="35">
        <f>+P58-P60</f>
        <v>-39398.04</v>
      </c>
      <c r="Q62" s="13"/>
      <c r="R62" s="30">
        <f>IF(P$12=0,0,P62/P$12)</f>
        <v>0</v>
      </c>
      <c r="S62" s="13"/>
      <c r="T62" s="35">
        <f>+T58-T60</f>
        <v>-55287.26</v>
      </c>
      <c r="U62" s="13"/>
      <c r="V62" s="30">
        <f>IF(T$12=0,0,T62/T$12)</f>
        <v>0</v>
      </c>
      <c r="W62" s="16"/>
      <c r="X62" s="35">
        <f>P62-T62</f>
        <v>15889.220000000001</v>
      </c>
      <c r="Y62" s="16"/>
      <c r="Z62" s="30">
        <f>IF(T62=0,0,X62/T62)</f>
        <v>-0.28739387699806429</v>
      </c>
    </row>
    <row r="63" spans="1:26" ht="15.75" thickTop="1" x14ac:dyDescent="0.25">
      <c r="A63" s="9"/>
      <c r="B63" s="9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x14ac:dyDescent="0.25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ht="15.75" thickBot="1" x14ac:dyDescent="0.3">
      <c r="A65" s="10"/>
      <c r="B65" s="26" t="s">
        <v>5</v>
      </c>
      <c r="C65" s="26"/>
      <c r="D65" s="31">
        <f>SUM(D62:D64)</f>
        <v>-39398.04</v>
      </c>
      <c r="E65" s="13"/>
      <c r="F65" s="32">
        <f>IF(D$12=0,0,D65/D$12)</f>
        <v>0</v>
      </c>
      <c r="G65" s="13"/>
      <c r="H65" s="31">
        <f>SUM(H62:H64)</f>
        <v>-55287.26</v>
      </c>
      <c r="I65" s="13"/>
      <c r="J65" s="32">
        <f>IF(H$12=0,0,H65/H$12)</f>
        <v>0</v>
      </c>
      <c r="K65" s="16"/>
      <c r="L65" s="31">
        <f>+D65-H65</f>
        <v>15889.220000000001</v>
      </c>
      <c r="M65" s="16"/>
      <c r="N65" s="32">
        <f>IF(H65=0,0,L65/H65)</f>
        <v>-0.28739387699806429</v>
      </c>
      <c r="O65" s="25"/>
      <c r="P65" s="31">
        <f>SUM(P62:P64)</f>
        <v>-39398.04</v>
      </c>
      <c r="Q65" s="13"/>
      <c r="R65" s="32">
        <f>IF(P$12=0,0,P65/P$12)</f>
        <v>0</v>
      </c>
      <c r="S65" s="13"/>
      <c r="T65" s="31">
        <f>SUM(T62:T64)</f>
        <v>-55287.26</v>
      </c>
      <c r="U65" s="13"/>
      <c r="V65" s="32">
        <f>IF(T$12=0,0,T65/T$12)</f>
        <v>0</v>
      </c>
      <c r="W65" s="16"/>
      <c r="X65" s="31">
        <f>+P65-T65</f>
        <v>15889.220000000001</v>
      </c>
      <c r="Y65" s="16"/>
      <c r="Z65" s="32">
        <f>IF(T65=0,0,X65/T65)</f>
        <v>-0.28739387699806429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25">
      <c r="A67" s="9"/>
      <c r="B67" s="59">
        <v>44109.41397199074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62" t="s">
        <v>313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6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51043.509999999995</v>
      </c>
      <c r="E18" s="21"/>
      <c r="F18" s="34">
        <f t="shared" ref="F18:F28" si="0">IF(D$12=0,0,D18/D$12)</f>
        <v>0</v>
      </c>
      <c r="G18" s="21"/>
      <c r="H18" s="21">
        <f>SUM(OSRRefH22x_0)</f>
        <v>65612.84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-14569.330000000002</v>
      </c>
      <c r="M18" s="4"/>
      <c r="N18" s="34">
        <f t="shared" ref="N18:N28" si="3">IF(H18=0,0,L18/H18)</f>
        <v>-0.22204998289968858</v>
      </c>
      <c r="O18" s="10"/>
      <c r="P18" s="21">
        <f>SUM(OSRRefP22x_0)</f>
        <v>51043.509999999995</v>
      </c>
      <c r="Q18" s="21"/>
      <c r="R18" s="34">
        <f t="shared" ref="R18:R28" si="4">IF(P$12=0,0,P18/P$12)</f>
        <v>0</v>
      </c>
      <c r="S18" s="21"/>
      <c r="T18" s="21">
        <f>SUM(OSRRefT22x_0)</f>
        <v>65612.84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-14569.330000000002</v>
      </c>
      <c r="Y18" s="4"/>
      <c r="Z18" s="34">
        <f t="shared" ref="Z18:Z28" si="7">IF(T18=0,0,X18/T18)</f>
        <v>-0.22204998289968858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12511.789999999999</v>
      </c>
      <c r="E19" s="1"/>
      <c r="F19" s="5">
        <f t="shared" si="0"/>
        <v>0</v>
      </c>
      <c r="G19" s="1"/>
      <c r="H19" s="1">
        <f>SUM(OSRRefH22_0x_0)</f>
        <v>16041.999999999998</v>
      </c>
      <c r="I19" s="1"/>
      <c r="J19" s="5">
        <f t="shared" si="1"/>
        <v>0</v>
      </c>
      <c r="K19" s="1"/>
      <c r="L19" s="1">
        <f t="shared" si="2"/>
        <v>-3530.2099999999991</v>
      </c>
      <c r="M19" s="1"/>
      <c r="N19" s="5">
        <f t="shared" si="3"/>
        <v>-0.22006046627602541</v>
      </c>
      <c r="O19" s="14"/>
      <c r="P19" s="1">
        <f>SUM(OSRRefP22_0x_0)</f>
        <v>12511.789999999999</v>
      </c>
      <c r="Q19" s="1"/>
      <c r="R19" s="5">
        <f t="shared" si="4"/>
        <v>0</v>
      </c>
      <c r="S19" s="1"/>
      <c r="T19" s="1">
        <f>SUM(OSRRefT22_0x_0)</f>
        <v>16041.999999999998</v>
      </c>
      <c r="U19" s="1"/>
      <c r="V19" s="5">
        <f t="shared" si="5"/>
        <v>0</v>
      </c>
      <c r="W19" s="1"/>
      <c r="X19" s="1">
        <f t="shared" si="6"/>
        <v>-3530.2099999999991</v>
      </c>
      <c r="Y19" s="1"/>
      <c r="Z19" s="5">
        <f t="shared" si="7"/>
        <v>-0.22006046627602541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1951.71</v>
      </c>
      <c r="E20" s="3"/>
      <c r="F20" s="7">
        <f t="shared" si="0"/>
        <v>0</v>
      </c>
      <c r="G20" s="3"/>
      <c r="H20" s="8">
        <v>1763.78</v>
      </c>
      <c r="I20" s="3"/>
      <c r="J20" s="7">
        <f t="shared" si="1"/>
        <v>0</v>
      </c>
      <c r="K20" s="3"/>
      <c r="L20" s="8">
        <f t="shared" si="2"/>
        <v>187.93000000000006</v>
      </c>
      <c r="M20" s="3"/>
      <c r="N20" s="7">
        <f t="shared" si="3"/>
        <v>0.10654956967422245</v>
      </c>
      <c r="O20" s="11"/>
      <c r="P20" s="8">
        <v>1951.71</v>
      </c>
      <c r="Q20" s="3"/>
      <c r="R20" s="7">
        <f t="shared" si="4"/>
        <v>0</v>
      </c>
      <c r="S20" s="3"/>
      <c r="T20" s="8">
        <v>1763.78</v>
      </c>
      <c r="U20" s="3"/>
      <c r="V20" s="7">
        <f t="shared" si="5"/>
        <v>0</v>
      </c>
      <c r="W20" s="3"/>
      <c r="X20" s="8">
        <f t="shared" si="6"/>
        <v>187.93000000000006</v>
      </c>
      <c r="Y20" s="3"/>
      <c r="Z20" s="7">
        <f t="shared" si="7"/>
        <v>0.10654956967422245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83.99</v>
      </c>
      <c r="E21" s="3"/>
      <c r="F21" s="7">
        <f t="shared" si="0"/>
        <v>0</v>
      </c>
      <c r="G21" s="3"/>
      <c r="H21" s="8">
        <v>78.290000000000006</v>
      </c>
      <c r="I21" s="3"/>
      <c r="J21" s="7">
        <f t="shared" si="1"/>
        <v>0</v>
      </c>
      <c r="K21" s="3"/>
      <c r="L21" s="8">
        <f t="shared" si="2"/>
        <v>5.6999999999999886</v>
      </c>
      <c r="M21" s="3"/>
      <c r="N21" s="7">
        <f t="shared" si="3"/>
        <v>7.2806233235406664E-2</v>
      </c>
      <c r="O21" s="11"/>
      <c r="P21" s="8">
        <v>83.99</v>
      </c>
      <c r="Q21" s="3"/>
      <c r="R21" s="7">
        <f t="shared" si="4"/>
        <v>0</v>
      </c>
      <c r="S21" s="3"/>
      <c r="T21" s="8">
        <v>78.290000000000006</v>
      </c>
      <c r="U21" s="3"/>
      <c r="V21" s="7">
        <f t="shared" si="5"/>
        <v>0</v>
      </c>
      <c r="W21" s="3"/>
      <c r="X21" s="8">
        <f t="shared" si="6"/>
        <v>5.6999999999999886</v>
      </c>
      <c r="Y21" s="3"/>
      <c r="Z21" s="7">
        <f t="shared" si="7"/>
        <v>7.2806233235406664E-2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6091.67</v>
      </c>
      <c r="E22" s="3"/>
      <c r="F22" s="7">
        <f t="shared" si="0"/>
        <v>0</v>
      </c>
      <c r="G22" s="3"/>
      <c r="H22" s="8">
        <v>5861.61</v>
      </c>
      <c r="I22" s="3"/>
      <c r="J22" s="7">
        <f t="shared" si="1"/>
        <v>0</v>
      </c>
      <c r="K22" s="3"/>
      <c r="L22" s="8">
        <f t="shared" si="2"/>
        <v>230.0600000000004</v>
      </c>
      <c r="M22" s="3"/>
      <c r="N22" s="7">
        <f t="shared" si="3"/>
        <v>3.9248602346454373E-2</v>
      </c>
      <c r="O22" s="11"/>
      <c r="P22" s="8">
        <v>6091.67</v>
      </c>
      <c r="Q22" s="3"/>
      <c r="R22" s="7">
        <f t="shared" si="4"/>
        <v>0</v>
      </c>
      <c r="S22" s="3"/>
      <c r="T22" s="8">
        <v>5861.61</v>
      </c>
      <c r="U22" s="3"/>
      <c r="V22" s="7">
        <f t="shared" si="5"/>
        <v>0</v>
      </c>
      <c r="W22" s="3"/>
      <c r="X22" s="8">
        <f t="shared" si="6"/>
        <v>230.0600000000004</v>
      </c>
      <c r="Y22" s="3"/>
      <c r="Z22" s="7">
        <f t="shared" si="7"/>
        <v>3.9248602346454373E-2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66.17</v>
      </c>
      <c r="E23" s="3"/>
      <c r="F23" s="7">
        <f t="shared" si="0"/>
        <v>0</v>
      </c>
      <c r="G23" s="3"/>
      <c r="H23" s="8">
        <v>59.87</v>
      </c>
      <c r="I23" s="3"/>
      <c r="J23" s="7">
        <f t="shared" si="1"/>
        <v>0</v>
      </c>
      <c r="K23" s="3"/>
      <c r="L23" s="8">
        <f t="shared" si="2"/>
        <v>6.3000000000000043</v>
      </c>
      <c r="M23" s="3"/>
      <c r="N23" s="7">
        <f t="shared" si="3"/>
        <v>0.10522799398697184</v>
      </c>
      <c r="O23" s="11"/>
      <c r="P23" s="8">
        <v>66.17</v>
      </c>
      <c r="Q23" s="3"/>
      <c r="R23" s="7">
        <f t="shared" si="4"/>
        <v>0</v>
      </c>
      <c r="S23" s="3"/>
      <c r="T23" s="8">
        <v>59.87</v>
      </c>
      <c r="U23" s="3"/>
      <c r="V23" s="7">
        <f t="shared" si="5"/>
        <v>0</v>
      </c>
      <c r="W23" s="3"/>
      <c r="X23" s="8">
        <f t="shared" si="6"/>
        <v>6.3000000000000043</v>
      </c>
      <c r="Y23" s="3"/>
      <c r="Z23" s="7">
        <f t="shared" si="7"/>
        <v>0.10522799398697184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1637.22</v>
      </c>
      <c r="E24" s="3"/>
      <c r="F24" s="7">
        <f t="shared" si="0"/>
        <v>0</v>
      </c>
      <c r="G24" s="3"/>
      <c r="H24" s="8">
        <v>919.4</v>
      </c>
      <c r="I24" s="3"/>
      <c r="J24" s="7">
        <f t="shared" si="1"/>
        <v>0</v>
      </c>
      <c r="K24" s="3"/>
      <c r="L24" s="8">
        <f t="shared" si="2"/>
        <v>717.82</v>
      </c>
      <c r="M24" s="3"/>
      <c r="N24" s="7">
        <f t="shared" si="3"/>
        <v>0.78074831411790302</v>
      </c>
      <c r="O24" s="11"/>
      <c r="P24" s="8">
        <v>1637.22</v>
      </c>
      <c r="Q24" s="3"/>
      <c r="R24" s="7">
        <f t="shared" si="4"/>
        <v>0</v>
      </c>
      <c r="S24" s="3"/>
      <c r="T24" s="8">
        <v>919.4</v>
      </c>
      <c r="U24" s="3"/>
      <c r="V24" s="7">
        <f t="shared" si="5"/>
        <v>0</v>
      </c>
      <c r="W24" s="3"/>
      <c r="X24" s="8">
        <f t="shared" si="6"/>
        <v>717.82</v>
      </c>
      <c r="Y24" s="3"/>
      <c r="Z24" s="7">
        <f t="shared" si="7"/>
        <v>0.78074831411790302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8">
        <v>829.22</v>
      </c>
      <c r="E25" s="3"/>
      <c r="F25" s="7">
        <f t="shared" si="0"/>
        <v>0</v>
      </c>
      <c r="G25" s="3"/>
      <c r="H25" s="8">
        <v>435.72</v>
      </c>
      <c r="I25" s="3"/>
      <c r="J25" s="7">
        <f t="shared" si="1"/>
        <v>0</v>
      </c>
      <c r="K25" s="3"/>
      <c r="L25" s="8">
        <f t="shared" si="2"/>
        <v>393.5</v>
      </c>
      <c r="M25" s="3"/>
      <c r="N25" s="7">
        <f t="shared" si="3"/>
        <v>0.90310291012576882</v>
      </c>
      <c r="O25" s="11"/>
      <c r="P25" s="8">
        <v>829.22</v>
      </c>
      <c r="Q25" s="3"/>
      <c r="R25" s="7">
        <f t="shared" si="4"/>
        <v>0</v>
      </c>
      <c r="S25" s="3"/>
      <c r="T25" s="8">
        <v>435.72</v>
      </c>
      <c r="U25" s="3"/>
      <c r="V25" s="7">
        <f t="shared" si="5"/>
        <v>0</v>
      </c>
      <c r="W25" s="3"/>
      <c r="X25" s="8">
        <f t="shared" si="6"/>
        <v>393.5</v>
      </c>
      <c r="Y25" s="3"/>
      <c r="Z25" s="7">
        <f t="shared" si="7"/>
        <v>0.90310291012576882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>
        <v>935.69</v>
      </c>
      <c r="E26" s="3"/>
      <c r="F26" s="7">
        <f t="shared" si="0"/>
        <v>0</v>
      </c>
      <c r="G26" s="3"/>
      <c r="H26" s="8">
        <v>4461.43</v>
      </c>
      <c r="I26" s="3"/>
      <c r="J26" s="7">
        <f t="shared" si="1"/>
        <v>0</v>
      </c>
      <c r="K26" s="3"/>
      <c r="L26" s="8">
        <f t="shared" si="2"/>
        <v>-3525.7400000000002</v>
      </c>
      <c r="M26" s="3"/>
      <c r="N26" s="7">
        <f t="shared" si="3"/>
        <v>-0.79027128073285924</v>
      </c>
      <c r="O26" s="11"/>
      <c r="P26" s="8">
        <v>935.69</v>
      </c>
      <c r="Q26" s="3"/>
      <c r="R26" s="7">
        <f t="shared" si="4"/>
        <v>0</v>
      </c>
      <c r="S26" s="3"/>
      <c r="T26" s="8">
        <v>4461.43</v>
      </c>
      <c r="U26" s="3"/>
      <c r="V26" s="7">
        <f t="shared" si="5"/>
        <v>0</v>
      </c>
      <c r="W26" s="3"/>
      <c r="X26" s="8">
        <f t="shared" si="6"/>
        <v>-3525.7400000000002</v>
      </c>
      <c r="Y26" s="3"/>
      <c r="Z26" s="7">
        <f t="shared" si="7"/>
        <v>-0.79027128073285924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>
        <v>908.12</v>
      </c>
      <c r="E27" s="3"/>
      <c r="F27" s="7">
        <f t="shared" si="0"/>
        <v>0</v>
      </c>
      <c r="G27" s="3"/>
      <c r="H27" s="8">
        <v>2102.69</v>
      </c>
      <c r="I27" s="3"/>
      <c r="J27" s="7">
        <f t="shared" si="1"/>
        <v>0</v>
      </c>
      <c r="K27" s="3"/>
      <c r="L27" s="8">
        <f t="shared" si="2"/>
        <v>-1194.5700000000002</v>
      </c>
      <c r="M27" s="3"/>
      <c r="N27" s="7">
        <f t="shared" si="3"/>
        <v>-0.56811512871607328</v>
      </c>
      <c r="O27" s="11"/>
      <c r="P27" s="8">
        <v>908.12</v>
      </c>
      <c r="Q27" s="3"/>
      <c r="R27" s="7">
        <f t="shared" si="4"/>
        <v>0</v>
      </c>
      <c r="S27" s="3"/>
      <c r="T27" s="8">
        <v>2102.69</v>
      </c>
      <c r="U27" s="3"/>
      <c r="V27" s="7">
        <f t="shared" si="5"/>
        <v>0</v>
      </c>
      <c r="W27" s="3"/>
      <c r="X27" s="8">
        <f t="shared" si="6"/>
        <v>-1194.5700000000002</v>
      </c>
      <c r="Y27" s="3"/>
      <c r="Z27" s="7">
        <f t="shared" si="7"/>
        <v>-0.56811512871607328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8">
        <v>8</v>
      </c>
      <c r="E28" s="3"/>
      <c r="F28" s="7">
        <f t="shared" si="0"/>
        <v>0</v>
      </c>
      <c r="G28" s="3"/>
      <c r="H28" s="8">
        <v>359.21</v>
      </c>
      <c r="I28" s="3"/>
      <c r="J28" s="7">
        <f t="shared" si="1"/>
        <v>0</v>
      </c>
      <c r="K28" s="3"/>
      <c r="L28" s="8">
        <f t="shared" si="2"/>
        <v>-351.21</v>
      </c>
      <c r="M28" s="3"/>
      <c r="N28" s="7">
        <f t="shared" si="3"/>
        <v>-0.97772890509729682</v>
      </c>
      <c r="O28" s="11"/>
      <c r="P28" s="8">
        <v>8</v>
      </c>
      <c r="Q28" s="3"/>
      <c r="R28" s="7">
        <f t="shared" si="4"/>
        <v>0</v>
      </c>
      <c r="S28" s="3"/>
      <c r="T28" s="8">
        <v>359.21</v>
      </c>
      <c r="U28" s="3"/>
      <c r="V28" s="7">
        <f t="shared" si="5"/>
        <v>0</v>
      </c>
      <c r="W28" s="3"/>
      <c r="X28" s="8">
        <f t="shared" si="6"/>
        <v>-351.21</v>
      </c>
      <c r="Y28" s="3"/>
      <c r="Z28" s="7">
        <f t="shared" si="7"/>
        <v>-0.97772890509729682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31451</v>
      </c>
      <c r="E29" s="1"/>
      <c r="F29" s="5">
        <f t="shared" ref="F29:F33" si="8">IF(D$12=0,0,D29/D$12)</f>
        <v>0</v>
      </c>
      <c r="G29" s="1"/>
      <c r="H29" s="1">
        <f>SUM(OSRRefH22_1x_0)</f>
        <v>28330.95</v>
      </c>
      <c r="I29" s="1"/>
      <c r="J29" s="5">
        <f t="shared" ref="J29:J33" si="9">IF(H$12=0,0,H29/H$12)</f>
        <v>0</v>
      </c>
      <c r="K29" s="1"/>
      <c r="L29" s="1">
        <f t="shared" ref="L29:L33" si="10">+D29-H29</f>
        <v>3120.0499999999993</v>
      </c>
      <c r="M29" s="1"/>
      <c r="N29" s="5">
        <f t="shared" ref="N29:N33" si="11">IF(H29=0,0,L29/H29)</f>
        <v>0.11012867552976512</v>
      </c>
      <c r="O29" s="14"/>
      <c r="P29" s="1">
        <f>SUM(OSRRefP22_1x_0)</f>
        <v>31451</v>
      </c>
      <c r="Q29" s="1"/>
      <c r="R29" s="5">
        <f t="shared" ref="R29:R33" si="12">IF(P$12=0,0,P29/P$12)</f>
        <v>0</v>
      </c>
      <c r="S29" s="1"/>
      <c r="T29" s="1">
        <f>SUM(OSRRefT22_1x_0)</f>
        <v>28330.95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3120.0499999999993</v>
      </c>
      <c r="Y29" s="1"/>
      <c r="Z29" s="5">
        <f t="shared" ref="Z29:Z33" si="15">IF(T29=0,0,X29/T29)</f>
        <v>0.11012867552976512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11873.95</v>
      </c>
      <c r="E30" s="3"/>
      <c r="F30" s="7">
        <f t="shared" si="8"/>
        <v>0</v>
      </c>
      <c r="G30" s="3"/>
      <c r="H30" s="8">
        <v>11244.16</v>
      </c>
      <c r="I30" s="3"/>
      <c r="J30" s="7">
        <f t="shared" si="9"/>
        <v>0</v>
      </c>
      <c r="K30" s="3"/>
      <c r="L30" s="8">
        <f t="shared" si="10"/>
        <v>629.79000000000087</v>
      </c>
      <c r="M30" s="3"/>
      <c r="N30" s="7">
        <f t="shared" si="11"/>
        <v>5.6010408958961887E-2</v>
      </c>
      <c r="O30" s="11"/>
      <c r="P30" s="8">
        <v>11873.95</v>
      </c>
      <c r="Q30" s="3"/>
      <c r="R30" s="7">
        <f t="shared" si="12"/>
        <v>0</v>
      </c>
      <c r="S30" s="3"/>
      <c r="T30" s="8">
        <v>11244.16</v>
      </c>
      <c r="U30" s="3"/>
      <c r="V30" s="7">
        <f t="shared" si="13"/>
        <v>0</v>
      </c>
      <c r="W30" s="3"/>
      <c r="X30" s="8">
        <f t="shared" si="14"/>
        <v>629.79000000000087</v>
      </c>
      <c r="Y30" s="3"/>
      <c r="Z30" s="7">
        <f t="shared" si="15"/>
        <v>5.6010408958961887E-2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8">
        <v>9753.7099999999991</v>
      </c>
      <c r="E31" s="3"/>
      <c r="F31" s="7">
        <f t="shared" si="8"/>
        <v>0</v>
      </c>
      <c r="G31" s="3"/>
      <c r="H31" s="8">
        <v>8636.86</v>
      </c>
      <c r="I31" s="3"/>
      <c r="J31" s="7">
        <f t="shared" si="9"/>
        <v>0</v>
      </c>
      <c r="K31" s="3"/>
      <c r="L31" s="8">
        <f t="shared" si="10"/>
        <v>1116.8499999999985</v>
      </c>
      <c r="M31" s="3"/>
      <c r="N31" s="7">
        <f t="shared" si="11"/>
        <v>0.12931204164476423</v>
      </c>
      <c r="O31" s="11"/>
      <c r="P31" s="8">
        <v>9753.7099999999991</v>
      </c>
      <c r="Q31" s="3"/>
      <c r="R31" s="7">
        <f t="shared" si="12"/>
        <v>0</v>
      </c>
      <c r="S31" s="3"/>
      <c r="T31" s="8">
        <v>8636.86</v>
      </c>
      <c r="U31" s="3"/>
      <c r="V31" s="7">
        <f t="shared" si="13"/>
        <v>0</v>
      </c>
      <c r="W31" s="3"/>
      <c r="X31" s="8">
        <f t="shared" si="14"/>
        <v>1116.8499999999985</v>
      </c>
      <c r="Y31" s="3"/>
      <c r="Z31" s="7">
        <f t="shared" si="15"/>
        <v>0.12931204164476423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8">
        <v>5883.34</v>
      </c>
      <c r="E32" s="3"/>
      <c r="F32" s="7">
        <f t="shared" si="8"/>
        <v>0</v>
      </c>
      <c r="G32" s="3"/>
      <c r="H32" s="8">
        <v>5163.93</v>
      </c>
      <c r="I32" s="3"/>
      <c r="J32" s="7">
        <f t="shared" si="9"/>
        <v>0</v>
      </c>
      <c r="K32" s="3"/>
      <c r="L32" s="8">
        <f t="shared" si="10"/>
        <v>719.40999999999985</v>
      </c>
      <c r="M32" s="3"/>
      <c r="N32" s="7">
        <f t="shared" si="11"/>
        <v>0.13931443687269188</v>
      </c>
      <c r="O32" s="11"/>
      <c r="P32" s="8">
        <v>5883.34</v>
      </c>
      <c r="Q32" s="3"/>
      <c r="R32" s="7">
        <f t="shared" si="12"/>
        <v>0</v>
      </c>
      <c r="S32" s="3"/>
      <c r="T32" s="8">
        <v>5163.93</v>
      </c>
      <c r="U32" s="3"/>
      <c r="V32" s="7">
        <f t="shared" si="13"/>
        <v>0</v>
      </c>
      <c r="W32" s="3"/>
      <c r="X32" s="8">
        <f t="shared" si="14"/>
        <v>719.40999999999985</v>
      </c>
      <c r="Y32" s="3"/>
      <c r="Z32" s="7">
        <f t="shared" si="15"/>
        <v>0.13931443687269188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8">
        <v>3940</v>
      </c>
      <c r="E33" s="3"/>
      <c r="F33" s="7">
        <f t="shared" si="8"/>
        <v>0</v>
      </c>
      <c r="G33" s="3"/>
      <c r="H33" s="8">
        <v>3286</v>
      </c>
      <c r="I33" s="3"/>
      <c r="J33" s="7">
        <f t="shared" si="9"/>
        <v>0</v>
      </c>
      <c r="K33" s="3"/>
      <c r="L33" s="8">
        <f t="shared" si="10"/>
        <v>654</v>
      </c>
      <c r="M33" s="3"/>
      <c r="N33" s="7">
        <f t="shared" si="11"/>
        <v>0.19902617163724892</v>
      </c>
      <c r="O33" s="11"/>
      <c r="P33" s="8">
        <v>3940</v>
      </c>
      <c r="Q33" s="3"/>
      <c r="R33" s="7">
        <f t="shared" si="12"/>
        <v>0</v>
      </c>
      <c r="S33" s="3"/>
      <c r="T33" s="8">
        <v>3286</v>
      </c>
      <c r="U33" s="3"/>
      <c r="V33" s="7">
        <f t="shared" si="13"/>
        <v>0</v>
      </c>
      <c r="W33" s="3"/>
      <c r="X33" s="8">
        <f t="shared" si="14"/>
        <v>654</v>
      </c>
      <c r="Y33" s="3"/>
      <c r="Z33" s="7">
        <f t="shared" si="15"/>
        <v>0.19902617163724892</v>
      </c>
    </row>
    <row r="34" spans="1:26" s="27" customFormat="1" outlineLevel="1" collapsed="1" x14ac:dyDescent="0.25">
      <c r="A34" s="28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50" si="16">IF(D$12=0,0,D34/D$12)</f>
        <v>0</v>
      </c>
      <c r="G34" s="1"/>
      <c r="H34" s="1">
        <f>SUM(OSRRefH22_2x_0)</f>
        <v>588.74</v>
      </c>
      <c r="I34" s="1"/>
      <c r="J34" s="5">
        <f t="shared" ref="J34:J50" si="17">IF(H$12=0,0,H34/H$12)</f>
        <v>0</v>
      </c>
      <c r="K34" s="1"/>
      <c r="L34" s="1">
        <f t="shared" ref="L34:L50" si="18">+D34-H34</f>
        <v>-588.74</v>
      </c>
      <c r="M34" s="1"/>
      <c r="N34" s="5">
        <f t="shared" ref="N34:N50" si="19">IF(H34=0,0,L34/H34)</f>
        <v>-1</v>
      </c>
      <c r="O34" s="14"/>
      <c r="P34" s="1">
        <f>SUM(OSRRefP22_2x_0)</f>
        <v>0</v>
      </c>
      <c r="Q34" s="1"/>
      <c r="R34" s="5">
        <f t="shared" ref="R34:R50" si="20">IF(P$12=0,0,P34/P$12)</f>
        <v>0</v>
      </c>
      <c r="S34" s="1"/>
      <c r="T34" s="1">
        <f>SUM(OSRRefT22_2x_0)</f>
        <v>588.74</v>
      </c>
      <c r="U34" s="1"/>
      <c r="V34" s="5">
        <f t="shared" ref="V34:V50" si="21">IF(T$12=0,0,T34/T$12)</f>
        <v>0</v>
      </c>
      <c r="W34" s="1"/>
      <c r="X34" s="1">
        <f t="shared" ref="X34:X50" si="22">+P34-T34</f>
        <v>-588.74</v>
      </c>
      <c r="Y34" s="1"/>
      <c r="Z34" s="5">
        <f t="shared" ref="Z34:Z50" si="23">IF(T34=0,0,X34/T34)</f>
        <v>-1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8"/>
      <c r="E35" s="3"/>
      <c r="F35" s="7">
        <f t="shared" si="16"/>
        <v>0</v>
      </c>
      <c r="G35" s="3"/>
      <c r="H35" s="8">
        <v>588.74</v>
      </c>
      <c r="I35" s="3"/>
      <c r="J35" s="7">
        <f t="shared" si="17"/>
        <v>0</v>
      </c>
      <c r="K35" s="3"/>
      <c r="L35" s="8">
        <f t="shared" si="18"/>
        <v>-588.74</v>
      </c>
      <c r="M35" s="3"/>
      <c r="N35" s="7">
        <f t="shared" si="19"/>
        <v>-1</v>
      </c>
      <c r="O35" s="11"/>
      <c r="P35" s="8"/>
      <c r="Q35" s="3"/>
      <c r="R35" s="7">
        <f t="shared" si="20"/>
        <v>0</v>
      </c>
      <c r="S35" s="3"/>
      <c r="T35" s="8">
        <v>588.74</v>
      </c>
      <c r="U35" s="3"/>
      <c r="V35" s="7">
        <f t="shared" si="21"/>
        <v>0</v>
      </c>
      <c r="W35" s="3"/>
      <c r="X35" s="8">
        <f t="shared" si="22"/>
        <v>-588.74</v>
      </c>
      <c r="Y35" s="3"/>
      <c r="Z35" s="7">
        <f t="shared" si="23"/>
        <v>-1</v>
      </c>
    </row>
    <row r="36" spans="1:26" s="27" customFormat="1" outlineLevel="1" collapsed="1" x14ac:dyDescent="0.25">
      <c r="A36" s="28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0</v>
      </c>
      <c r="E36" s="1"/>
      <c r="F36" s="5">
        <f t="shared" si="16"/>
        <v>0</v>
      </c>
      <c r="G36" s="1"/>
      <c r="H36" s="1">
        <f>SUM(OSRRefH22_3x_0)</f>
        <v>224.18</v>
      </c>
      <c r="I36" s="1"/>
      <c r="J36" s="5">
        <f t="shared" si="17"/>
        <v>0</v>
      </c>
      <c r="K36" s="1"/>
      <c r="L36" s="1">
        <f t="shared" si="18"/>
        <v>-224.18</v>
      </c>
      <c r="M36" s="1"/>
      <c r="N36" s="5">
        <f t="shared" si="19"/>
        <v>-1</v>
      </c>
      <c r="O36" s="14"/>
      <c r="P36" s="1">
        <f>SUM(OSRRefP22_3x_0)</f>
        <v>0</v>
      </c>
      <c r="Q36" s="1"/>
      <c r="R36" s="5">
        <f t="shared" si="20"/>
        <v>0</v>
      </c>
      <c r="S36" s="1"/>
      <c r="T36" s="1">
        <f>SUM(OSRRefT22_3x_0)</f>
        <v>224.18</v>
      </c>
      <c r="U36" s="1"/>
      <c r="V36" s="5">
        <f t="shared" si="21"/>
        <v>0</v>
      </c>
      <c r="W36" s="1"/>
      <c r="X36" s="1">
        <f t="shared" si="22"/>
        <v>-224.18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8"/>
      <c r="E37" s="3"/>
      <c r="F37" s="7">
        <f t="shared" si="16"/>
        <v>0</v>
      </c>
      <c r="G37" s="3"/>
      <c r="H37" s="8">
        <v>224.18</v>
      </c>
      <c r="I37" s="3"/>
      <c r="J37" s="7">
        <f t="shared" si="17"/>
        <v>0</v>
      </c>
      <c r="K37" s="3"/>
      <c r="L37" s="8">
        <f t="shared" si="18"/>
        <v>-224.18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224.18</v>
      </c>
      <c r="U37" s="3"/>
      <c r="V37" s="7">
        <f t="shared" si="21"/>
        <v>0</v>
      </c>
      <c r="W37" s="3"/>
      <c r="X37" s="8">
        <f t="shared" si="22"/>
        <v>-224.18</v>
      </c>
      <c r="Y37" s="3"/>
      <c r="Z37" s="7">
        <f t="shared" si="23"/>
        <v>-1</v>
      </c>
    </row>
    <row r="38" spans="1:26" s="27" customFormat="1" outlineLevel="1" collapsed="1" x14ac:dyDescent="0.25">
      <c r="A38" s="28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5147.58</v>
      </c>
      <c r="I38" s="1"/>
      <c r="J38" s="5">
        <f t="shared" si="17"/>
        <v>0</v>
      </c>
      <c r="K38" s="1"/>
      <c r="L38" s="1">
        <f t="shared" si="18"/>
        <v>-5147.58</v>
      </c>
      <c r="M38" s="1"/>
      <c r="N38" s="5">
        <f t="shared" si="19"/>
        <v>-1</v>
      </c>
      <c r="O38" s="14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5147.58</v>
      </c>
      <c r="U38" s="1"/>
      <c r="V38" s="5">
        <f t="shared" si="21"/>
        <v>0</v>
      </c>
      <c r="W38" s="1"/>
      <c r="X38" s="1">
        <f t="shared" si="22"/>
        <v>-5147.58</v>
      </c>
      <c r="Y38" s="1"/>
      <c r="Z38" s="5">
        <f t="shared" si="23"/>
        <v>-1</v>
      </c>
    </row>
    <row r="39" spans="1:26" s="24" customFormat="1" hidden="1" outlineLevel="2" x14ac:dyDescent="0.25">
      <c r="A39" s="29"/>
      <c r="B39" s="11" t="str">
        <f>CONCATENATE("          ", "6277", " - ", "EMPLOYEE APPRECIATION")</f>
        <v xml:space="preserve">          6277 - EMPLOYEE APPRECIATION</v>
      </c>
      <c r="C39" s="11"/>
      <c r="D39" s="8"/>
      <c r="E39" s="3"/>
      <c r="F39" s="7">
        <f t="shared" si="16"/>
        <v>0</v>
      </c>
      <c r="G39" s="3"/>
      <c r="H39" s="8">
        <v>5147.58</v>
      </c>
      <c r="I39" s="3"/>
      <c r="J39" s="7">
        <f t="shared" si="17"/>
        <v>0</v>
      </c>
      <c r="K39" s="3"/>
      <c r="L39" s="8">
        <f t="shared" si="18"/>
        <v>-5147.58</v>
      </c>
      <c r="M39" s="3"/>
      <c r="N39" s="7">
        <f t="shared" si="19"/>
        <v>-1</v>
      </c>
      <c r="O39" s="11"/>
      <c r="P39" s="8"/>
      <c r="Q39" s="3"/>
      <c r="R39" s="7">
        <f t="shared" si="20"/>
        <v>0</v>
      </c>
      <c r="S39" s="3"/>
      <c r="T39" s="8">
        <v>5147.58</v>
      </c>
      <c r="U39" s="3"/>
      <c r="V39" s="7">
        <f t="shared" si="21"/>
        <v>0</v>
      </c>
      <c r="W39" s="3"/>
      <c r="X39" s="8">
        <f t="shared" si="22"/>
        <v>-5147.58</v>
      </c>
      <c r="Y39" s="3"/>
      <c r="Z39" s="7">
        <f t="shared" si="23"/>
        <v>-1</v>
      </c>
    </row>
    <row r="40" spans="1:26" s="27" customFormat="1" outlineLevel="1" collapsed="1" x14ac:dyDescent="0.25">
      <c r="A40" s="28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0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-91.26</v>
      </c>
      <c r="M40" s="1"/>
      <c r="N40" s="5">
        <f t="shared" si="19"/>
        <v>-1</v>
      </c>
      <c r="O40" s="14"/>
      <c r="P40" s="1">
        <f>SUM(OSRRefP22_5x_0)</f>
        <v>0</v>
      </c>
      <c r="Q40" s="1"/>
      <c r="R40" s="5">
        <f t="shared" si="20"/>
        <v>0</v>
      </c>
      <c r="S40" s="1"/>
      <c r="T40" s="1">
        <f>SUM(OSRRefT22_5x_0)</f>
        <v>91.26</v>
      </c>
      <c r="U40" s="1"/>
      <c r="V40" s="5">
        <f t="shared" si="21"/>
        <v>0</v>
      </c>
      <c r="W40" s="1"/>
      <c r="X40" s="1">
        <f t="shared" si="22"/>
        <v>-91.26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"6351", " - ", "EQUIPMENT RENTAL")</f>
        <v xml:space="preserve">          6351 - EQUIPMENT RENTAL</v>
      </c>
      <c r="C41" s="11"/>
      <c r="D41" s="8"/>
      <c r="E41" s="3"/>
      <c r="F41" s="7">
        <f t="shared" si="16"/>
        <v>0</v>
      </c>
      <c r="G41" s="3"/>
      <c r="H41" s="8">
        <v>91.26</v>
      </c>
      <c r="I41" s="3"/>
      <c r="J41" s="7">
        <f t="shared" si="17"/>
        <v>0</v>
      </c>
      <c r="K41" s="3"/>
      <c r="L41" s="8">
        <f t="shared" si="18"/>
        <v>-91.26</v>
      </c>
      <c r="M41" s="3"/>
      <c r="N41" s="7">
        <f t="shared" si="19"/>
        <v>-1</v>
      </c>
      <c r="O41" s="11"/>
      <c r="P41" s="8"/>
      <c r="Q41" s="3"/>
      <c r="R41" s="7">
        <f t="shared" si="20"/>
        <v>0</v>
      </c>
      <c r="S41" s="3"/>
      <c r="T41" s="8">
        <v>91.26</v>
      </c>
      <c r="U41" s="3"/>
      <c r="V41" s="7">
        <f t="shared" si="21"/>
        <v>0</v>
      </c>
      <c r="W41" s="3"/>
      <c r="X41" s="8">
        <f t="shared" si="22"/>
        <v>-91.26</v>
      </c>
      <c r="Y41" s="3"/>
      <c r="Z41" s="7">
        <f t="shared" si="23"/>
        <v>-1</v>
      </c>
    </row>
    <row r="42" spans="1:26" s="27" customFormat="1" outlineLevel="1" collapsed="1" x14ac:dyDescent="0.25">
      <c r="A42" s="28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SUM(OSRRefD22_6x_0)</f>
        <v>3.5</v>
      </c>
      <c r="E42" s="1"/>
      <c r="F42" s="5">
        <f t="shared" si="16"/>
        <v>0</v>
      </c>
      <c r="G42" s="1"/>
      <c r="H42" s="1">
        <f>SUM(OSRRefH22_6x_0)</f>
        <v>37.65</v>
      </c>
      <c r="I42" s="1"/>
      <c r="J42" s="5">
        <f t="shared" si="17"/>
        <v>0</v>
      </c>
      <c r="K42" s="1"/>
      <c r="L42" s="1">
        <f t="shared" si="18"/>
        <v>-34.15</v>
      </c>
      <c r="M42" s="1"/>
      <c r="N42" s="5">
        <f t="shared" si="19"/>
        <v>-0.90703851261620183</v>
      </c>
      <c r="O42" s="14"/>
      <c r="P42" s="1">
        <f>SUM(OSRRefP22_6x_0)</f>
        <v>3.5</v>
      </c>
      <c r="Q42" s="1"/>
      <c r="R42" s="5">
        <f t="shared" si="20"/>
        <v>0</v>
      </c>
      <c r="S42" s="1"/>
      <c r="T42" s="1">
        <f>SUM(OSRRefT22_6x_0)</f>
        <v>37.65</v>
      </c>
      <c r="U42" s="1"/>
      <c r="V42" s="5">
        <f t="shared" si="21"/>
        <v>0</v>
      </c>
      <c r="W42" s="1"/>
      <c r="X42" s="1">
        <f t="shared" si="22"/>
        <v>-34.15</v>
      </c>
      <c r="Y42" s="1"/>
      <c r="Z42" s="5">
        <f t="shared" si="23"/>
        <v>-0.90703851261620183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8">
        <v>3.5</v>
      </c>
      <c r="E43" s="3"/>
      <c r="F43" s="7">
        <f t="shared" si="16"/>
        <v>0</v>
      </c>
      <c r="G43" s="3"/>
      <c r="H43" s="8">
        <v>37.65</v>
      </c>
      <c r="I43" s="3"/>
      <c r="J43" s="7">
        <f t="shared" si="17"/>
        <v>0</v>
      </c>
      <c r="K43" s="3"/>
      <c r="L43" s="8">
        <f t="shared" si="18"/>
        <v>-34.15</v>
      </c>
      <c r="M43" s="3"/>
      <c r="N43" s="7">
        <f t="shared" si="19"/>
        <v>-0.90703851261620183</v>
      </c>
      <c r="O43" s="11"/>
      <c r="P43" s="8">
        <v>3.5</v>
      </c>
      <c r="Q43" s="3"/>
      <c r="R43" s="7">
        <f t="shared" si="20"/>
        <v>0</v>
      </c>
      <c r="S43" s="3"/>
      <c r="T43" s="8">
        <v>37.65</v>
      </c>
      <c r="U43" s="3"/>
      <c r="V43" s="7">
        <f t="shared" si="21"/>
        <v>0</v>
      </c>
      <c r="W43" s="3"/>
      <c r="X43" s="8">
        <f t="shared" si="22"/>
        <v>-34.15</v>
      </c>
      <c r="Y43" s="3"/>
      <c r="Z43" s="7">
        <f t="shared" si="23"/>
        <v>-0.90703851261620183</v>
      </c>
    </row>
    <row r="44" spans="1:26" s="27" customFormat="1" outlineLevel="1" collapsed="1" x14ac:dyDescent="0.25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SUM(OSRRefD22_7x_0)</f>
        <v>65.47</v>
      </c>
      <c r="E44" s="1"/>
      <c r="F44" s="5">
        <f t="shared" si="16"/>
        <v>0</v>
      </c>
      <c r="G44" s="1"/>
      <c r="H44" s="1">
        <f>SUM(OSRRefH22_7x_0)</f>
        <v>65.47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SUM(OSRRefP22_7x_0)</f>
        <v>65.47</v>
      </c>
      <c r="Q44" s="1"/>
      <c r="R44" s="5">
        <f t="shared" si="20"/>
        <v>0</v>
      </c>
      <c r="S44" s="1"/>
      <c r="T44" s="1">
        <f>SUM(OSRRefT22_7x_0)</f>
        <v>65.47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8">
        <v>65.47</v>
      </c>
      <c r="E45" s="3"/>
      <c r="F45" s="7">
        <f t="shared" si="16"/>
        <v>0</v>
      </c>
      <c r="G45" s="3"/>
      <c r="H45" s="8">
        <v>65.47</v>
      </c>
      <c r="I45" s="3"/>
      <c r="J45" s="7">
        <f t="shared" si="17"/>
        <v>0</v>
      </c>
      <c r="K45" s="3"/>
      <c r="L45" s="8">
        <f t="shared" si="18"/>
        <v>0</v>
      </c>
      <c r="M45" s="3"/>
      <c r="N45" s="7">
        <f t="shared" si="19"/>
        <v>0</v>
      </c>
      <c r="O45" s="11"/>
      <c r="P45" s="8">
        <v>65.47</v>
      </c>
      <c r="Q45" s="3"/>
      <c r="R45" s="7">
        <f t="shared" si="20"/>
        <v>0</v>
      </c>
      <c r="S45" s="3"/>
      <c r="T45" s="8">
        <v>65.47</v>
      </c>
      <c r="U45" s="3"/>
      <c r="V45" s="7">
        <f t="shared" si="21"/>
        <v>0</v>
      </c>
      <c r="W45" s="3"/>
      <c r="X45" s="8">
        <f t="shared" si="22"/>
        <v>0</v>
      </c>
      <c r="Y45" s="3"/>
      <c r="Z45" s="7">
        <f t="shared" si="23"/>
        <v>0</v>
      </c>
    </row>
    <row r="46" spans="1:26" s="27" customFormat="1" outlineLevel="1" collapsed="1" x14ac:dyDescent="0.25">
      <c r="A46" s="28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SUM(OSRRefD22_8x_0)</f>
        <v>1655</v>
      </c>
      <c r="E46" s="1"/>
      <c r="F46" s="5">
        <f t="shared" si="16"/>
        <v>0</v>
      </c>
      <c r="G46" s="1"/>
      <c r="H46" s="1">
        <f>SUM(OSRRefH22_8x_0)</f>
        <v>653.74</v>
      </c>
      <c r="I46" s="1"/>
      <c r="J46" s="5">
        <f t="shared" si="17"/>
        <v>0</v>
      </c>
      <c r="K46" s="1"/>
      <c r="L46" s="1">
        <f t="shared" si="18"/>
        <v>1001.26</v>
      </c>
      <c r="M46" s="1"/>
      <c r="N46" s="5">
        <f t="shared" si="19"/>
        <v>1.5315874812616637</v>
      </c>
      <c r="O46" s="14"/>
      <c r="P46" s="1">
        <f>SUM(OSRRefP22_8x_0)</f>
        <v>1655</v>
      </c>
      <c r="Q46" s="1"/>
      <c r="R46" s="5">
        <f t="shared" si="20"/>
        <v>0</v>
      </c>
      <c r="S46" s="1"/>
      <c r="T46" s="1">
        <f>SUM(OSRRefT22_8x_0)</f>
        <v>653.74</v>
      </c>
      <c r="U46" s="1"/>
      <c r="V46" s="5">
        <f t="shared" si="21"/>
        <v>0</v>
      </c>
      <c r="W46" s="1"/>
      <c r="X46" s="1">
        <f t="shared" si="22"/>
        <v>1001.26</v>
      </c>
      <c r="Y46" s="1"/>
      <c r="Z46" s="5">
        <f t="shared" si="23"/>
        <v>1.5315874812616637</v>
      </c>
    </row>
    <row r="47" spans="1:26" s="24" customFormat="1" hidden="1" outlineLevel="2" x14ac:dyDescent="0.25">
      <c r="A47" s="29"/>
      <c r="B47" s="11" t="str">
        <f>CONCATENATE("          ", "6336", " - ", "PROFESSIONAL SERVICES")</f>
        <v xml:space="preserve">          6336 - PROFESSIONAL SERVICES</v>
      </c>
      <c r="C47" s="11"/>
      <c r="D47" s="8">
        <v>1655</v>
      </c>
      <c r="E47" s="3"/>
      <c r="F47" s="7">
        <f t="shared" si="16"/>
        <v>0</v>
      </c>
      <c r="G47" s="3"/>
      <c r="H47" s="8">
        <v>653.74</v>
      </c>
      <c r="I47" s="3"/>
      <c r="J47" s="7">
        <f t="shared" si="17"/>
        <v>0</v>
      </c>
      <c r="K47" s="3"/>
      <c r="L47" s="8">
        <f t="shared" si="18"/>
        <v>1001.26</v>
      </c>
      <c r="M47" s="3"/>
      <c r="N47" s="7">
        <f t="shared" si="19"/>
        <v>1.5315874812616637</v>
      </c>
      <c r="O47" s="11"/>
      <c r="P47" s="8">
        <v>1655</v>
      </c>
      <c r="Q47" s="3"/>
      <c r="R47" s="7">
        <f t="shared" si="20"/>
        <v>0</v>
      </c>
      <c r="S47" s="3"/>
      <c r="T47" s="8">
        <v>653.74</v>
      </c>
      <c r="U47" s="3"/>
      <c r="V47" s="7">
        <f t="shared" si="21"/>
        <v>0</v>
      </c>
      <c r="W47" s="3"/>
      <c r="X47" s="8">
        <f t="shared" si="22"/>
        <v>1001.26</v>
      </c>
      <c r="Y47" s="3"/>
      <c r="Z47" s="7">
        <f t="shared" si="23"/>
        <v>1.5315874812616637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SUM(OSRRefD22_9x_0)</f>
        <v>4472.25</v>
      </c>
      <c r="E48" s="1"/>
      <c r="F48" s="5">
        <f t="shared" si="16"/>
        <v>0</v>
      </c>
      <c r="G48" s="1"/>
      <c r="H48" s="1">
        <f>SUM(OSRRefH22_9x_0)</f>
        <v>10694.3</v>
      </c>
      <c r="I48" s="1"/>
      <c r="J48" s="5">
        <f t="shared" si="17"/>
        <v>0</v>
      </c>
      <c r="K48" s="1"/>
      <c r="L48" s="1">
        <f t="shared" si="18"/>
        <v>-6222.0499999999993</v>
      </c>
      <c r="M48" s="1"/>
      <c r="N48" s="5">
        <f t="shared" si="19"/>
        <v>-0.58180993613420229</v>
      </c>
      <c r="O48" s="14"/>
      <c r="P48" s="1">
        <f>SUM(OSRRefP22_9x_0)</f>
        <v>4472.25</v>
      </c>
      <c r="Q48" s="1"/>
      <c r="R48" s="5">
        <f t="shared" si="20"/>
        <v>0</v>
      </c>
      <c r="S48" s="1"/>
      <c r="T48" s="1">
        <f>SUM(OSRRefT22_9x_0)</f>
        <v>10694.3</v>
      </c>
      <c r="U48" s="1"/>
      <c r="V48" s="5">
        <f t="shared" si="21"/>
        <v>0</v>
      </c>
      <c r="W48" s="1"/>
      <c r="X48" s="1">
        <f t="shared" si="22"/>
        <v>-6222.0499999999993</v>
      </c>
      <c r="Y48" s="1"/>
      <c r="Z48" s="5">
        <f t="shared" si="23"/>
        <v>-0.58180993613420229</v>
      </c>
    </row>
    <row r="49" spans="1:26" s="24" customFormat="1" hidden="1" outlineLevel="2" x14ac:dyDescent="0.25">
      <c r="A49" s="29"/>
      <c r="B49" s="11" t="str">
        <f>CONCATENATE("          ", "6371", " - ", "COMPUTER SOFTWARE MAINTENANCE")</f>
        <v xml:space="preserve">          6371 - COMPUTER SOFTWARE MAINTENANCE</v>
      </c>
      <c r="C49" s="11"/>
      <c r="D49" s="8">
        <v>4472.25</v>
      </c>
      <c r="E49" s="3"/>
      <c r="F49" s="7">
        <f t="shared" si="16"/>
        <v>0</v>
      </c>
      <c r="G49" s="3"/>
      <c r="H49" s="8">
        <v>10664.96</v>
      </c>
      <c r="I49" s="3"/>
      <c r="J49" s="7">
        <f t="shared" si="17"/>
        <v>0</v>
      </c>
      <c r="K49" s="3"/>
      <c r="L49" s="8">
        <f t="shared" si="18"/>
        <v>-6192.7099999999991</v>
      </c>
      <c r="M49" s="3"/>
      <c r="N49" s="7">
        <f t="shared" si="19"/>
        <v>-0.58065946801488233</v>
      </c>
      <c r="O49" s="11"/>
      <c r="P49" s="8">
        <v>4472.25</v>
      </c>
      <c r="Q49" s="3"/>
      <c r="R49" s="7">
        <f t="shared" si="20"/>
        <v>0</v>
      </c>
      <c r="S49" s="3"/>
      <c r="T49" s="8">
        <v>10664.96</v>
      </c>
      <c r="U49" s="3"/>
      <c r="V49" s="7">
        <f t="shared" si="21"/>
        <v>0</v>
      </c>
      <c r="W49" s="3"/>
      <c r="X49" s="8">
        <f t="shared" si="22"/>
        <v>-6192.7099999999991</v>
      </c>
      <c r="Y49" s="3"/>
      <c r="Z49" s="7">
        <f t="shared" si="23"/>
        <v>-0.58065946801488233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8"/>
      <c r="E50" s="3"/>
      <c r="F50" s="7">
        <f t="shared" si="16"/>
        <v>0</v>
      </c>
      <c r="G50" s="3"/>
      <c r="H50" s="8">
        <v>29.34</v>
      </c>
      <c r="I50" s="3"/>
      <c r="J50" s="7">
        <f t="shared" si="17"/>
        <v>0</v>
      </c>
      <c r="K50" s="3"/>
      <c r="L50" s="8">
        <f t="shared" si="18"/>
        <v>-29.34</v>
      </c>
      <c r="M50" s="3"/>
      <c r="N50" s="7">
        <f t="shared" si="19"/>
        <v>-1</v>
      </c>
      <c r="O50" s="11"/>
      <c r="P50" s="8"/>
      <c r="Q50" s="3"/>
      <c r="R50" s="7">
        <f t="shared" si="20"/>
        <v>0</v>
      </c>
      <c r="S50" s="3"/>
      <c r="T50" s="8">
        <v>29.34</v>
      </c>
      <c r="U50" s="3"/>
      <c r="V50" s="7">
        <f t="shared" si="21"/>
        <v>0</v>
      </c>
      <c r="W50" s="3"/>
      <c r="X50" s="8">
        <f t="shared" si="22"/>
        <v>-29.34</v>
      </c>
      <c r="Y50" s="3"/>
      <c r="Z50" s="7">
        <f t="shared" si="23"/>
        <v>-1</v>
      </c>
    </row>
    <row r="51" spans="1:26" s="27" customFormat="1" outlineLevel="1" collapsed="1" x14ac:dyDescent="0.25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SUM(OSRRefD22_10x_0)</f>
        <v>560.29999999999995</v>
      </c>
      <c r="E51" s="1"/>
      <c r="F51" s="5">
        <f t="shared" ref="F51:F55" si="24">IF(D$12=0,0,D51/D$12)</f>
        <v>0</v>
      </c>
      <c r="G51" s="1"/>
      <c r="H51" s="1">
        <f>SUM(OSRRefH22_10x_0)</f>
        <v>2451.34</v>
      </c>
      <c r="I51" s="1"/>
      <c r="J51" s="5">
        <f t="shared" ref="J51:J55" si="25">IF(H$12=0,0,H51/H$12)</f>
        <v>0</v>
      </c>
      <c r="K51" s="1"/>
      <c r="L51" s="1">
        <f t="shared" ref="L51:L55" si="26">+D51-H51</f>
        <v>-1891.0400000000002</v>
      </c>
      <c r="M51" s="1"/>
      <c r="N51" s="5">
        <f t="shared" ref="N51:N55" si="27">IF(H51=0,0,L51/H51)</f>
        <v>-0.77143113562378129</v>
      </c>
      <c r="O51" s="14"/>
      <c r="P51" s="1">
        <f>SUM(OSRRefP22_10x_0)</f>
        <v>560.29999999999995</v>
      </c>
      <c r="Q51" s="1"/>
      <c r="R51" s="5">
        <f t="shared" ref="R51:R55" si="28">IF(P$12=0,0,P51/P$12)</f>
        <v>0</v>
      </c>
      <c r="S51" s="1"/>
      <c r="T51" s="1">
        <f>SUM(OSRRefT22_10x_0)</f>
        <v>2451.34</v>
      </c>
      <c r="U51" s="1"/>
      <c r="V51" s="5">
        <f t="shared" ref="V51:V55" si="29">IF(T$12=0,0,T51/T$12)</f>
        <v>0</v>
      </c>
      <c r="W51" s="1"/>
      <c r="X51" s="1">
        <f t="shared" ref="X51:X55" si="30">+P51-T51</f>
        <v>-1891.0400000000002</v>
      </c>
      <c r="Y51" s="1"/>
      <c r="Z51" s="5">
        <f t="shared" ref="Z51:Z55" si="31">IF(T51=0,0,X51/T51)</f>
        <v>-0.77143113562378129</v>
      </c>
    </row>
    <row r="52" spans="1:26" s="24" customFormat="1" hidden="1" outlineLevel="2" x14ac:dyDescent="0.25">
      <c r="A52" s="29"/>
      <c r="B52" s="11" t="str">
        <f>CONCATENATE("          ", "6235", " - ", "COVID-19 EXPENSES")</f>
        <v xml:space="preserve">          6235 - COVID-19 EXPENSES</v>
      </c>
      <c r="C52" s="11"/>
      <c r="D52" s="8">
        <v>210.58</v>
      </c>
      <c r="E52" s="3"/>
      <c r="F52" s="7">
        <f t="shared" si="24"/>
        <v>0</v>
      </c>
      <c r="G52" s="3"/>
      <c r="H52" s="8"/>
      <c r="I52" s="3"/>
      <c r="J52" s="7">
        <f t="shared" si="25"/>
        <v>0</v>
      </c>
      <c r="K52" s="3"/>
      <c r="L52" s="8">
        <f t="shared" si="26"/>
        <v>210.58</v>
      </c>
      <c r="M52" s="3"/>
      <c r="N52" s="7">
        <f t="shared" si="27"/>
        <v>0</v>
      </c>
      <c r="O52" s="11"/>
      <c r="P52" s="8">
        <v>210.58</v>
      </c>
      <c r="Q52" s="3"/>
      <c r="R52" s="7">
        <f t="shared" si="28"/>
        <v>0</v>
      </c>
      <c r="S52" s="3"/>
      <c r="T52" s="8"/>
      <c r="U52" s="3"/>
      <c r="V52" s="7">
        <f t="shared" si="29"/>
        <v>0</v>
      </c>
      <c r="W52" s="3"/>
      <c r="X52" s="8">
        <f t="shared" si="30"/>
        <v>210.58</v>
      </c>
      <c r="Y52" s="3"/>
      <c r="Z52" s="7">
        <f t="shared" si="31"/>
        <v>0</v>
      </c>
    </row>
    <row r="53" spans="1:26" s="24" customFormat="1" hidden="1" outlineLevel="2" x14ac:dyDescent="0.25">
      <c r="A53" s="29"/>
      <c r="B53" s="11" t="str">
        <f>CONCATENATE("          ", "6241", " - ", "OFFICE EXPENSE")</f>
        <v xml:space="preserve">          6241 - OFFICE EXPENSE</v>
      </c>
      <c r="C53" s="11"/>
      <c r="D53" s="8">
        <v>248.05</v>
      </c>
      <c r="E53" s="3"/>
      <c r="F53" s="7">
        <f t="shared" si="24"/>
        <v>0</v>
      </c>
      <c r="G53" s="3"/>
      <c r="H53" s="8">
        <v>1746.59</v>
      </c>
      <c r="I53" s="3"/>
      <c r="J53" s="7">
        <f t="shared" si="25"/>
        <v>0</v>
      </c>
      <c r="K53" s="3"/>
      <c r="L53" s="8">
        <f t="shared" si="26"/>
        <v>-1498.54</v>
      </c>
      <c r="M53" s="3"/>
      <c r="N53" s="7">
        <f t="shared" si="27"/>
        <v>-0.85798040753697202</v>
      </c>
      <c r="O53" s="11"/>
      <c r="P53" s="8">
        <v>248.05</v>
      </c>
      <c r="Q53" s="3"/>
      <c r="R53" s="7">
        <f t="shared" si="28"/>
        <v>0</v>
      </c>
      <c r="S53" s="3"/>
      <c r="T53" s="8">
        <v>1746.59</v>
      </c>
      <c r="U53" s="3"/>
      <c r="V53" s="7">
        <f t="shared" si="29"/>
        <v>0</v>
      </c>
      <c r="W53" s="3"/>
      <c r="X53" s="8">
        <f t="shared" si="30"/>
        <v>-1498.54</v>
      </c>
      <c r="Y53" s="3"/>
      <c r="Z53" s="7">
        <f t="shared" si="31"/>
        <v>-0.85798040753697202</v>
      </c>
    </row>
    <row r="54" spans="1:26" s="24" customFormat="1" hidden="1" outlineLevel="2" x14ac:dyDescent="0.25">
      <c r="A54" s="29"/>
      <c r="B54" s="11" t="str">
        <f>CONCATENATE("          ", "6244", " - ", "SAFETY SUPPLY EXPENSE")</f>
        <v xml:space="preserve">          6244 - SAFETY SUPPLY EXPENSE</v>
      </c>
      <c r="C54" s="11"/>
      <c r="D54" s="8">
        <v>101.67</v>
      </c>
      <c r="E54" s="3"/>
      <c r="F54" s="7">
        <f t="shared" si="24"/>
        <v>0</v>
      </c>
      <c r="G54" s="3"/>
      <c r="H54" s="8">
        <v>127.92</v>
      </c>
      <c r="I54" s="3"/>
      <c r="J54" s="7">
        <f t="shared" si="25"/>
        <v>0</v>
      </c>
      <c r="K54" s="3"/>
      <c r="L54" s="8">
        <f t="shared" si="26"/>
        <v>-26.25</v>
      </c>
      <c r="M54" s="3"/>
      <c r="N54" s="7">
        <f t="shared" si="27"/>
        <v>-0.20520637898686678</v>
      </c>
      <c r="O54" s="11"/>
      <c r="P54" s="8">
        <v>101.67</v>
      </c>
      <c r="Q54" s="3"/>
      <c r="R54" s="7">
        <f t="shared" si="28"/>
        <v>0</v>
      </c>
      <c r="S54" s="3"/>
      <c r="T54" s="8">
        <v>127.92</v>
      </c>
      <c r="U54" s="3"/>
      <c r="V54" s="7">
        <f t="shared" si="29"/>
        <v>0</v>
      </c>
      <c r="W54" s="3"/>
      <c r="X54" s="8">
        <f t="shared" si="30"/>
        <v>-26.25</v>
      </c>
      <c r="Y54" s="3"/>
      <c r="Z54" s="7">
        <f t="shared" si="31"/>
        <v>-0.20520637898686678</v>
      </c>
    </row>
    <row r="55" spans="1:26" s="24" customFormat="1" hidden="1" outlineLevel="2" x14ac:dyDescent="0.25">
      <c r="A55" s="29"/>
      <c r="B55" s="11" t="str">
        <f>CONCATENATE("          ", "6245", " - ", "PRINTING")</f>
        <v xml:space="preserve">          6245 - PRINTING</v>
      </c>
      <c r="C55" s="11"/>
      <c r="D55" s="8"/>
      <c r="E55" s="3"/>
      <c r="F55" s="7">
        <f t="shared" si="24"/>
        <v>0</v>
      </c>
      <c r="G55" s="3"/>
      <c r="H55" s="8">
        <v>576.83000000000004</v>
      </c>
      <c r="I55" s="3"/>
      <c r="J55" s="7">
        <f t="shared" si="25"/>
        <v>0</v>
      </c>
      <c r="K55" s="3"/>
      <c r="L55" s="8">
        <f t="shared" si="26"/>
        <v>-576.83000000000004</v>
      </c>
      <c r="M55" s="3"/>
      <c r="N55" s="7">
        <f t="shared" si="27"/>
        <v>-1</v>
      </c>
      <c r="O55" s="11"/>
      <c r="P55" s="8"/>
      <c r="Q55" s="3"/>
      <c r="R55" s="7">
        <f t="shared" si="28"/>
        <v>0</v>
      </c>
      <c r="S55" s="3"/>
      <c r="T55" s="8">
        <v>576.83000000000004</v>
      </c>
      <c r="U55" s="3"/>
      <c r="V55" s="7">
        <f t="shared" si="29"/>
        <v>0</v>
      </c>
      <c r="W55" s="3"/>
      <c r="X55" s="8">
        <f t="shared" si="30"/>
        <v>-576.83000000000004</v>
      </c>
      <c r="Y55" s="3"/>
      <c r="Z55" s="7">
        <f t="shared" si="31"/>
        <v>-1</v>
      </c>
    </row>
    <row r="56" spans="1:26" s="27" customFormat="1" outlineLevel="1" collapsed="1" x14ac:dyDescent="0.25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SUM(OSRRefD22_11x_0)</f>
        <v>324.2</v>
      </c>
      <c r="E56" s="1"/>
      <c r="F56" s="5">
        <f t="shared" ref="F56:F61" si="32">IF(D$12=0,0,D56/D$12)</f>
        <v>0</v>
      </c>
      <c r="G56" s="1"/>
      <c r="H56" s="1">
        <f>SUM(OSRRefH22_11x_0)</f>
        <v>339.85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-15.650000000000034</v>
      </c>
      <c r="M56" s="1"/>
      <c r="N56" s="5">
        <f t="shared" ref="N56:N61" si="35">IF(H56=0,0,L56/H56)</f>
        <v>-4.604972782109764E-2</v>
      </c>
      <c r="O56" s="14"/>
      <c r="P56" s="1">
        <f>SUM(OSRRefP22_11x_0)</f>
        <v>324.2</v>
      </c>
      <c r="Q56" s="1"/>
      <c r="R56" s="5">
        <f t="shared" ref="R56:R61" si="36">IF(P$12=0,0,P56/P$12)</f>
        <v>0</v>
      </c>
      <c r="S56" s="1"/>
      <c r="T56" s="1">
        <f>SUM(OSRRefT22_11x_0)</f>
        <v>339.85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-15.650000000000034</v>
      </c>
      <c r="Y56" s="1"/>
      <c r="Z56" s="5">
        <f t="shared" ref="Z56:Z61" si="39">IF(T56=0,0,X56/T56)</f>
        <v>-4.604972782109764E-2</v>
      </c>
    </row>
    <row r="57" spans="1:26" s="24" customFormat="1" hidden="1" outlineLevel="2" x14ac:dyDescent="0.25">
      <c r="A57" s="29"/>
      <c r="B57" s="11" t="str">
        <f>CONCATENATE("          ", "6309", " - ", "TELEPHONE")</f>
        <v xml:space="preserve">          6309 - TELEPHONE</v>
      </c>
      <c r="C57" s="11"/>
      <c r="D57" s="8">
        <v>324.2</v>
      </c>
      <c r="E57" s="3"/>
      <c r="F57" s="7">
        <f t="shared" si="32"/>
        <v>0</v>
      </c>
      <c r="G57" s="3"/>
      <c r="H57" s="8">
        <v>339.85</v>
      </c>
      <c r="I57" s="3"/>
      <c r="J57" s="7">
        <f t="shared" si="33"/>
        <v>0</v>
      </c>
      <c r="K57" s="3"/>
      <c r="L57" s="8">
        <f t="shared" si="34"/>
        <v>-15.650000000000034</v>
      </c>
      <c r="M57" s="3"/>
      <c r="N57" s="7">
        <f t="shared" si="35"/>
        <v>-4.604972782109764E-2</v>
      </c>
      <c r="O57" s="11"/>
      <c r="P57" s="8">
        <v>324.2</v>
      </c>
      <c r="Q57" s="3"/>
      <c r="R57" s="7">
        <f t="shared" si="36"/>
        <v>0</v>
      </c>
      <c r="S57" s="3"/>
      <c r="T57" s="8">
        <v>339.85</v>
      </c>
      <c r="U57" s="3"/>
      <c r="V57" s="7">
        <f t="shared" si="37"/>
        <v>0</v>
      </c>
      <c r="W57" s="3"/>
      <c r="X57" s="8">
        <f t="shared" si="38"/>
        <v>-15.650000000000034</v>
      </c>
      <c r="Y57" s="3"/>
      <c r="Z57" s="7">
        <f t="shared" si="39"/>
        <v>-4.604972782109764E-2</v>
      </c>
    </row>
    <row r="58" spans="1:26" s="27" customFormat="1" outlineLevel="1" collapsed="1" x14ac:dyDescent="0.25">
      <c r="A58" s="28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SUM(OSRRefD22_12x_0)</f>
        <v>0</v>
      </c>
      <c r="E58" s="1"/>
      <c r="F58" s="5">
        <f t="shared" si="32"/>
        <v>0</v>
      </c>
      <c r="G58" s="1"/>
      <c r="H58" s="1">
        <f>SUM(OSRRefH22_12x_0)</f>
        <v>697.62</v>
      </c>
      <c r="I58" s="1"/>
      <c r="J58" s="5">
        <f t="shared" si="33"/>
        <v>0</v>
      </c>
      <c r="K58" s="1"/>
      <c r="L58" s="1">
        <f t="shared" si="34"/>
        <v>-697.62</v>
      </c>
      <c r="M58" s="1"/>
      <c r="N58" s="5">
        <f t="shared" si="35"/>
        <v>-1</v>
      </c>
      <c r="O58" s="14"/>
      <c r="P58" s="1">
        <f>SUM(OSRRefP22_12x_0)</f>
        <v>0</v>
      </c>
      <c r="Q58" s="1"/>
      <c r="R58" s="5">
        <f t="shared" si="36"/>
        <v>0</v>
      </c>
      <c r="S58" s="1"/>
      <c r="T58" s="1">
        <f>SUM(OSRRefT22_12x_0)</f>
        <v>697.62</v>
      </c>
      <c r="U58" s="1"/>
      <c r="V58" s="5">
        <f t="shared" si="37"/>
        <v>0</v>
      </c>
      <c r="W58" s="1"/>
      <c r="X58" s="1">
        <f t="shared" si="38"/>
        <v>-697.62</v>
      </c>
      <c r="Y58" s="1"/>
      <c r="Z58" s="5">
        <f t="shared" si="39"/>
        <v>-1</v>
      </c>
    </row>
    <row r="59" spans="1:26" s="24" customFormat="1" hidden="1" outlineLevel="2" x14ac:dyDescent="0.25">
      <c r="A59" s="29"/>
      <c r="B59" s="11" t="str">
        <f>CONCATENATE("          ", "6376", " - ", "TRAINING")</f>
        <v xml:space="preserve">          6376 - TRAINING</v>
      </c>
      <c r="C59" s="11"/>
      <c r="D59" s="8"/>
      <c r="E59" s="3"/>
      <c r="F59" s="7">
        <f t="shared" si="32"/>
        <v>0</v>
      </c>
      <c r="G59" s="3"/>
      <c r="H59" s="8">
        <v>697.62</v>
      </c>
      <c r="I59" s="3"/>
      <c r="J59" s="7">
        <f t="shared" si="33"/>
        <v>0</v>
      </c>
      <c r="K59" s="3"/>
      <c r="L59" s="8">
        <f t="shared" si="34"/>
        <v>-697.62</v>
      </c>
      <c r="M59" s="3"/>
      <c r="N59" s="7">
        <f t="shared" si="35"/>
        <v>-1</v>
      </c>
      <c r="O59" s="11"/>
      <c r="P59" s="8"/>
      <c r="Q59" s="3"/>
      <c r="R59" s="7">
        <f t="shared" si="36"/>
        <v>0</v>
      </c>
      <c r="S59" s="3"/>
      <c r="T59" s="8">
        <v>697.62</v>
      </c>
      <c r="U59" s="3"/>
      <c r="V59" s="7">
        <f t="shared" si="37"/>
        <v>0</v>
      </c>
      <c r="W59" s="3"/>
      <c r="X59" s="8">
        <f t="shared" si="38"/>
        <v>-697.62</v>
      </c>
      <c r="Y59" s="3"/>
      <c r="Z59" s="7">
        <f t="shared" si="39"/>
        <v>-1</v>
      </c>
    </row>
    <row r="60" spans="1:26" s="27" customFormat="1" outlineLevel="1" collapsed="1" x14ac:dyDescent="0.25">
      <c r="A60" s="28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SUM(OSRRefD22_13x_0)</f>
        <v>0</v>
      </c>
      <c r="E60" s="1"/>
      <c r="F60" s="5">
        <f t="shared" si="32"/>
        <v>0</v>
      </c>
      <c r="G60" s="1"/>
      <c r="H60" s="1">
        <f>SUM(OSRRefH22_13x_0)</f>
        <v>248.16</v>
      </c>
      <c r="I60" s="1"/>
      <c r="J60" s="5">
        <f t="shared" si="33"/>
        <v>0</v>
      </c>
      <c r="K60" s="1"/>
      <c r="L60" s="1">
        <f t="shared" si="34"/>
        <v>-248.16</v>
      </c>
      <c r="M60" s="1"/>
      <c r="N60" s="5">
        <f t="shared" si="35"/>
        <v>-1</v>
      </c>
      <c r="O60" s="14"/>
      <c r="P60" s="1">
        <f>SUM(OSRRefP22_13x_0)</f>
        <v>0</v>
      </c>
      <c r="Q60" s="1"/>
      <c r="R60" s="5">
        <f t="shared" si="36"/>
        <v>0</v>
      </c>
      <c r="S60" s="1"/>
      <c r="T60" s="1">
        <f>SUM(OSRRefT22_13x_0)</f>
        <v>248.16</v>
      </c>
      <c r="U60" s="1"/>
      <c r="V60" s="5">
        <f t="shared" si="37"/>
        <v>0</v>
      </c>
      <c r="W60" s="1"/>
      <c r="X60" s="1">
        <f t="shared" si="38"/>
        <v>-248.16</v>
      </c>
      <c r="Y60" s="1"/>
      <c r="Z60" s="5">
        <f t="shared" si="39"/>
        <v>-1</v>
      </c>
    </row>
    <row r="61" spans="1:26" s="24" customFormat="1" hidden="1" outlineLevel="2" x14ac:dyDescent="0.25">
      <c r="A61" s="29"/>
      <c r="B61" s="11" t="str">
        <f>CONCATENATE("          ", "6292", " - ", "TRAVEL/CONFERENCE")</f>
        <v xml:space="preserve">          6292 - TRAVEL/CONFERENCE</v>
      </c>
      <c r="C61" s="11"/>
      <c r="D61" s="8"/>
      <c r="E61" s="3"/>
      <c r="F61" s="7">
        <f t="shared" si="32"/>
        <v>0</v>
      </c>
      <c r="G61" s="3"/>
      <c r="H61" s="8">
        <v>248.16</v>
      </c>
      <c r="I61" s="3"/>
      <c r="J61" s="7">
        <f t="shared" si="33"/>
        <v>0</v>
      </c>
      <c r="K61" s="3"/>
      <c r="L61" s="8">
        <f t="shared" si="34"/>
        <v>-248.16</v>
      </c>
      <c r="M61" s="3"/>
      <c r="N61" s="7">
        <f t="shared" si="35"/>
        <v>-1</v>
      </c>
      <c r="O61" s="11"/>
      <c r="P61" s="8"/>
      <c r="Q61" s="3"/>
      <c r="R61" s="7">
        <f t="shared" si="36"/>
        <v>0</v>
      </c>
      <c r="S61" s="3"/>
      <c r="T61" s="8">
        <v>248.16</v>
      </c>
      <c r="U61" s="3"/>
      <c r="V61" s="7">
        <f t="shared" si="37"/>
        <v>0</v>
      </c>
      <c r="W61" s="3"/>
      <c r="X61" s="8">
        <f t="shared" si="38"/>
        <v>-248.16</v>
      </c>
      <c r="Y61" s="3"/>
      <c r="Z61" s="7">
        <f t="shared" si="39"/>
        <v>-1</v>
      </c>
    </row>
    <row r="62" spans="1:26" s="61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5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10"/>
      <c r="B65" s="26" t="s">
        <v>3</v>
      </c>
      <c r="C65" s="26"/>
      <c r="D65" s="19">
        <f>+D16-D18+D63</f>
        <v>-51043.509999999995</v>
      </c>
      <c r="E65" s="13"/>
      <c r="F65" s="20">
        <f>IF(D$12=0,0,D65/D$12)</f>
        <v>0</v>
      </c>
      <c r="G65" s="13"/>
      <c r="H65" s="19">
        <f>+H16-H18+H63</f>
        <v>-65612.84</v>
      </c>
      <c r="I65" s="13"/>
      <c r="J65" s="20">
        <f>IF(H$12=0,0,H65/H$12)</f>
        <v>0</v>
      </c>
      <c r="K65" s="16"/>
      <c r="L65" s="19">
        <f>+D65-H65</f>
        <v>14569.330000000002</v>
      </c>
      <c r="M65" s="16"/>
      <c r="N65" s="20">
        <f>IF(H65=0,0,L65/H65)</f>
        <v>-0.22204998289968858</v>
      </c>
      <c r="O65" s="25"/>
      <c r="P65" s="19">
        <f>+P16-P18+P63</f>
        <v>-51043.509999999995</v>
      </c>
      <c r="Q65" s="13"/>
      <c r="R65" s="20">
        <f>IF(P$12=0,0,P65/P$12)</f>
        <v>0</v>
      </c>
      <c r="S65" s="13"/>
      <c r="T65" s="19">
        <f>+T16-T18+T63</f>
        <v>-65612.84</v>
      </c>
      <c r="U65" s="13"/>
      <c r="V65" s="20">
        <f>IF(T$12=0,0,T65/T$12)</f>
        <v>0</v>
      </c>
      <c r="W65" s="16"/>
      <c r="X65" s="19">
        <f>+P65-T65</f>
        <v>14569.330000000002</v>
      </c>
      <c r="Y65" s="16"/>
      <c r="Z65" s="20">
        <f>IF(T65=0,0,X65/T65)</f>
        <v>-0.22204998289968858</v>
      </c>
    </row>
    <row r="66" spans="1:26" x14ac:dyDescent="0.25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.75" thickBot="1" x14ac:dyDescent="0.3">
      <c r="A69" s="10"/>
      <c r="B69" s="26" t="s">
        <v>4</v>
      </c>
      <c r="C69" s="26"/>
      <c r="D69" s="35">
        <f>+D65-D67</f>
        <v>-51043.509999999995</v>
      </c>
      <c r="E69" s="13"/>
      <c r="F69" s="30">
        <f>IF(D$12=0,0,D69/D$12)</f>
        <v>0</v>
      </c>
      <c r="G69" s="13"/>
      <c r="H69" s="35">
        <f>+H65-H67</f>
        <v>-65612.84</v>
      </c>
      <c r="I69" s="13"/>
      <c r="J69" s="30">
        <f>IF(H$12=0,0,H69/H$12)</f>
        <v>0</v>
      </c>
      <c r="K69" s="16"/>
      <c r="L69" s="35">
        <f>D69-H69</f>
        <v>14569.330000000002</v>
      </c>
      <c r="M69" s="16"/>
      <c r="N69" s="30">
        <f>IF(H69=0,0,L69/H69)</f>
        <v>-0.22204998289968858</v>
      </c>
      <c r="O69" s="25"/>
      <c r="P69" s="35">
        <f>+P65-P67</f>
        <v>-51043.509999999995</v>
      </c>
      <c r="Q69" s="13"/>
      <c r="R69" s="30">
        <f>IF(P$12=0,0,P69/P$12)</f>
        <v>0</v>
      </c>
      <c r="S69" s="13"/>
      <c r="T69" s="35">
        <f>+T65-T67</f>
        <v>-65612.84</v>
      </c>
      <c r="U69" s="13"/>
      <c r="V69" s="30">
        <f>IF(T$12=0,0,T69/T$12)</f>
        <v>0</v>
      </c>
      <c r="W69" s="16"/>
      <c r="X69" s="35">
        <f>P69-T69</f>
        <v>14569.330000000002</v>
      </c>
      <c r="Y69" s="16"/>
      <c r="Z69" s="30">
        <f>IF(T69=0,0,X69/T69)</f>
        <v>-0.22204998289968858</v>
      </c>
    </row>
    <row r="70" spans="1:26" ht="15.75" thickTop="1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25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.75" thickBot="1" x14ac:dyDescent="0.3">
      <c r="A72" s="10"/>
      <c r="B72" s="26" t="s">
        <v>5</v>
      </c>
      <c r="C72" s="26"/>
      <c r="D72" s="31">
        <f>SUM(D69:D71)</f>
        <v>-51043.509999999995</v>
      </c>
      <c r="E72" s="13"/>
      <c r="F72" s="32">
        <f>IF(D$12=0,0,D72/D$12)</f>
        <v>0</v>
      </c>
      <c r="G72" s="13"/>
      <c r="H72" s="31">
        <f>SUM(H69:H71)</f>
        <v>-65612.84</v>
      </c>
      <c r="I72" s="13"/>
      <c r="J72" s="32">
        <f>IF(H$12=0,0,H72/H$12)</f>
        <v>0</v>
      </c>
      <c r="K72" s="16"/>
      <c r="L72" s="31">
        <f>+D72-H72</f>
        <v>14569.330000000002</v>
      </c>
      <c r="M72" s="16"/>
      <c r="N72" s="32">
        <f>IF(H72=0,0,L72/H72)</f>
        <v>-0.22204998289968858</v>
      </c>
      <c r="O72" s="25"/>
      <c r="P72" s="31">
        <f>SUM(P69:P71)</f>
        <v>-51043.509999999995</v>
      </c>
      <c r="Q72" s="13"/>
      <c r="R72" s="32">
        <f>IF(P$12=0,0,P72/P$12)</f>
        <v>0</v>
      </c>
      <c r="S72" s="13"/>
      <c r="T72" s="31">
        <f>SUM(T69:T71)</f>
        <v>-65612.84</v>
      </c>
      <c r="U72" s="13"/>
      <c r="V72" s="32">
        <f>IF(T$12=0,0,T72/T$12)</f>
        <v>0</v>
      </c>
      <c r="W72" s="16"/>
      <c r="X72" s="31">
        <f>+P72-T72</f>
        <v>14569.330000000002</v>
      </c>
      <c r="Y72" s="16"/>
      <c r="Z72" s="32">
        <f>IF(T72=0,0,X72/T72)</f>
        <v>-0.22204998289968858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9">
        <v>44109.413991782407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6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56908.759999999995</v>
      </c>
      <c r="E18" s="21"/>
      <c r="F18" s="34">
        <f t="shared" ref="F18:F28" si="0">IF(D$12=0,0,D18/D$12)</f>
        <v>0</v>
      </c>
      <c r="G18" s="21"/>
      <c r="H18" s="21">
        <f>SUM(OSRRefH22x_0)</f>
        <v>67675.849999999991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-10767.089999999997</v>
      </c>
      <c r="M18" s="4"/>
      <c r="N18" s="34">
        <f t="shared" ref="N18:N28" si="3">IF(H18=0,0,L18/H18)</f>
        <v>-0.15909796478359708</v>
      </c>
      <c r="O18" s="10"/>
      <c r="P18" s="21">
        <f>SUM(OSRRefP22x_0)</f>
        <v>56908.759999999995</v>
      </c>
      <c r="Q18" s="21"/>
      <c r="R18" s="34">
        <f t="shared" ref="R18:R28" si="4">IF(P$12=0,0,P18/P$12)</f>
        <v>0</v>
      </c>
      <c r="S18" s="21"/>
      <c r="T18" s="21">
        <f>SUM(OSRRefT22x_0)</f>
        <v>67675.849999999991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-10767.089999999997</v>
      </c>
      <c r="Y18" s="4"/>
      <c r="Z18" s="34">
        <f t="shared" ref="Z18:Z28" si="7">IF(T18=0,0,X18/T18)</f>
        <v>-0.15909796478359708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13050.55</v>
      </c>
      <c r="E19" s="1"/>
      <c r="F19" s="5">
        <f t="shared" si="0"/>
        <v>0</v>
      </c>
      <c r="G19" s="1"/>
      <c r="H19" s="1">
        <f>SUM(OSRRefH22_0x_0)</f>
        <v>12650.86</v>
      </c>
      <c r="I19" s="1"/>
      <c r="J19" s="5">
        <f t="shared" si="1"/>
        <v>0</v>
      </c>
      <c r="K19" s="1"/>
      <c r="L19" s="1">
        <f t="shared" si="2"/>
        <v>399.68999999999869</v>
      </c>
      <c r="M19" s="1"/>
      <c r="N19" s="5">
        <f t="shared" si="3"/>
        <v>3.1593899545169155E-2</v>
      </c>
      <c r="O19" s="14"/>
      <c r="P19" s="1">
        <f>SUM(OSRRefP22_0x_0)</f>
        <v>13050.55</v>
      </c>
      <c r="Q19" s="1"/>
      <c r="R19" s="5">
        <f t="shared" si="4"/>
        <v>0</v>
      </c>
      <c r="S19" s="1"/>
      <c r="T19" s="1">
        <f>SUM(OSRRefT22_0x_0)</f>
        <v>12650.86</v>
      </c>
      <c r="U19" s="1"/>
      <c r="V19" s="5">
        <f t="shared" si="5"/>
        <v>0</v>
      </c>
      <c r="W19" s="1"/>
      <c r="X19" s="1">
        <f t="shared" si="6"/>
        <v>399.68999999999869</v>
      </c>
      <c r="Y19" s="1"/>
      <c r="Z19" s="5">
        <f t="shared" si="7"/>
        <v>3.1593899545169155E-2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1654.1</v>
      </c>
      <c r="E20" s="3"/>
      <c r="F20" s="7">
        <f t="shared" si="0"/>
        <v>0</v>
      </c>
      <c r="G20" s="3"/>
      <c r="H20" s="8">
        <v>1739.07</v>
      </c>
      <c r="I20" s="3"/>
      <c r="J20" s="7">
        <f t="shared" si="1"/>
        <v>0</v>
      </c>
      <c r="K20" s="3"/>
      <c r="L20" s="8">
        <f t="shared" si="2"/>
        <v>-84.970000000000027</v>
      </c>
      <c r="M20" s="3"/>
      <c r="N20" s="7">
        <f t="shared" si="3"/>
        <v>-4.8859447865813352E-2</v>
      </c>
      <c r="O20" s="11"/>
      <c r="P20" s="8">
        <v>1654.1</v>
      </c>
      <c r="Q20" s="3"/>
      <c r="R20" s="7">
        <f t="shared" si="4"/>
        <v>0</v>
      </c>
      <c r="S20" s="3"/>
      <c r="T20" s="8">
        <v>1739.07</v>
      </c>
      <c r="U20" s="3"/>
      <c r="V20" s="7">
        <f t="shared" si="5"/>
        <v>0</v>
      </c>
      <c r="W20" s="3"/>
      <c r="X20" s="8">
        <f t="shared" si="6"/>
        <v>-84.970000000000027</v>
      </c>
      <c r="Y20" s="3"/>
      <c r="Z20" s="7">
        <f t="shared" si="7"/>
        <v>-4.8859447865813352E-2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71.349999999999994</v>
      </c>
      <c r="E21" s="3"/>
      <c r="F21" s="7">
        <f t="shared" si="0"/>
        <v>0</v>
      </c>
      <c r="G21" s="3"/>
      <c r="H21" s="8">
        <v>83</v>
      </c>
      <c r="I21" s="3"/>
      <c r="J21" s="7">
        <f t="shared" si="1"/>
        <v>0</v>
      </c>
      <c r="K21" s="3"/>
      <c r="L21" s="8">
        <f t="shared" si="2"/>
        <v>-11.650000000000006</v>
      </c>
      <c r="M21" s="3"/>
      <c r="N21" s="7">
        <f t="shared" si="3"/>
        <v>-0.14036144578313259</v>
      </c>
      <c r="O21" s="11"/>
      <c r="P21" s="8">
        <v>71.349999999999994</v>
      </c>
      <c r="Q21" s="3"/>
      <c r="R21" s="7">
        <f t="shared" si="4"/>
        <v>0</v>
      </c>
      <c r="S21" s="3"/>
      <c r="T21" s="8">
        <v>83</v>
      </c>
      <c r="U21" s="3"/>
      <c r="V21" s="7">
        <f t="shared" si="5"/>
        <v>0</v>
      </c>
      <c r="W21" s="3"/>
      <c r="X21" s="8">
        <f t="shared" si="6"/>
        <v>-11.650000000000006</v>
      </c>
      <c r="Y21" s="3"/>
      <c r="Z21" s="7">
        <f t="shared" si="7"/>
        <v>-0.14036144578313259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5567.87</v>
      </c>
      <c r="E22" s="3"/>
      <c r="F22" s="7">
        <f t="shared" si="0"/>
        <v>0</v>
      </c>
      <c r="G22" s="3"/>
      <c r="H22" s="8">
        <v>4633.38</v>
      </c>
      <c r="I22" s="3"/>
      <c r="J22" s="7">
        <f t="shared" si="1"/>
        <v>0</v>
      </c>
      <c r="K22" s="3"/>
      <c r="L22" s="8">
        <f t="shared" si="2"/>
        <v>934.48999999999978</v>
      </c>
      <c r="M22" s="3"/>
      <c r="N22" s="7">
        <f t="shared" si="3"/>
        <v>0.20168645783423758</v>
      </c>
      <c r="O22" s="11"/>
      <c r="P22" s="8">
        <v>5567.87</v>
      </c>
      <c r="Q22" s="3"/>
      <c r="R22" s="7">
        <f t="shared" si="4"/>
        <v>0</v>
      </c>
      <c r="S22" s="3"/>
      <c r="T22" s="8">
        <v>4633.38</v>
      </c>
      <c r="U22" s="3"/>
      <c r="V22" s="7">
        <f t="shared" si="5"/>
        <v>0</v>
      </c>
      <c r="W22" s="3"/>
      <c r="X22" s="8">
        <f t="shared" si="6"/>
        <v>934.48999999999978</v>
      </c>
      <c r="Y22" s="3"/>
      <c r="Z22" s="7">
        <f t="shared" si="7"/>
        <v>0.20168645783423758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56.22</v>
      </c>
      <c r="E23" s="3"/>
      <c r="F23" s="7">
        <f t="shared" si="0"/>
        <v>0</v>
      </c>
      <c r="G23" s="3"/>
      <c r="H23" s="8">
        <v>63.47</v>
      </c>
      <c r="I23" s="3"/>
      <c r="J23" s="7">
        <f t="shared" si="1"/>
        <v>0</v>
      </c>
      <c r="K23" s="3"/>
      <c r="L23" s="8">
        <f t="shared" si="2"/>
        <v>-7.25</v>
      </c>
      <c r="M23" s="3"/>
      <c r="N23" s="7">
        <f t="shared" si="3"/>
        <v>-0.1142271939498976</v>
      </c>
      <c r="O23" s="11"/>
      <c r="P23" s="8">
        <v>56.22</v>
      </c>
      <c r="Q23" s="3"/>
      <c r="R23" s="7">
        <f t="shared" si="4"/>
        <v>0</v>
      </c>
      <c r="S23" s="3"/>
      <c r="T23" s="8">
        <v>63.47</v>
      </c>
      <c r="U23" s="3"/>
      <c r="V23" s="7">
        <f t="shared" si="5"/>
        <v>0</v>
      </c>
      <c r="W23" s="3"/>
      <c r="X23" s="8">
        <f t="shared" si="6"/>
        <v>-7.25</v>
      </c>
      <c r="Y23" s="3"/>
      <c r="Z23" s="7">
        <f t="shared" si="7"/>
        <v>-0.1142271939498976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2791.81</v>
      </c>
      <c r="E24" s="3"/>
      <c r="F24" s="7">
        <f t="shared" si="0"/>
        <v>0</v>
      </c>
      <c r="G24" s="3"/>
      <c r="H24" s="8">
        <v>1339.05</v>
      </c>
      <c r="I24" s="3"/>
      <c r="J24" s="7">
        <f t="shared" si="1"/>
        <v>0</v>
      </c>
      <c r="K24" s="3"/>
      <c r="L24" s="8">
        <f t="shared" si="2"/>
        <v>1452.76</v>
      </c>
      <c r="M24" s="3"/>
      <c r="N24" s="7">
        <f t="shared" si="3"/>
        <v>1.0849184123072328</v>
      </c>
      <c r="O24" s="11"/>
      <c r="P24" s="8">
        <v>2791.81</v>
      </c>
      <c r="Q24" s="3"/>
      <c r="R24" s="7">
        <f t="shared" si="4"/>
        <v>0</v>
      </c>
      <c r="S24" s="3"/>
      <c r="T24" s="8">
        <v>1339.05</v>
      </c>
      <c r="U24" s="3"/>
      <c r="V24" s="7">
        <f t="shared" si="5"/>
        <v>0</v>
      </c>
      <c r="W24" s="3"/>
      <c r="X24" s="8">
        <f t="shared" si="6"/>
        <v>1452.76</v>
      </c>
      <c r="Y24" s="3"/>
      <c r="Z24" s="7">
        <f t="shared" si="7"/>
        <v>1.0849184123072328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8">
        <v>251.52</v>
      </c>
      <c r="E25" s="3"/>
      <c r="F25" s="7">
        <f t="shared" si="0"/>
        <v>0</v>
      </c>
      <c r="G25" s="3"/>
      <c r="H25" s="8">
        <v>196.6</v>
      </c>
      <c r="I25" s="3"/>
      <c r="J25" s="7">
        <f t="shared" si="1"/>
        <v>0</v>
      </c>
      <c r="K25" s="3"/>
      <c r="L25" s="8">
        <f t="shared" si="2"/>
        <v>54.920000000000016</v>
      </c>
      <c r="M25" s="3"/>
      <c r="N25" s="7">
        <f t="shared" si="3"/>
        <v>0.27934893184130222</v>
      </c>
      <c r="O25" s="11"/>
      <c r="P25" s="8">
        <v>251.52</v>
      </c>
      <c r="Q25" s="3"/>
      <c r="R25" s="7">
        <f t="shared" si="4"/>
        <v>0</v>
      </c>
      <c r="S25" s="3"/>
      <c r="T25" s="8">
        <v>196.6</v>
      </c>
      <c r="U25" s="3"/>
      <c r="V25" s="7">
        <f t="shared" si="5"/>
        <v>0</v>
      </c>
      <c r="W25" s="3"/>
      <c r="X25" s="8">
        <f t="shared" si="6"/>
        <v>54.920000000000016</v>
      </c>
      <c r="Y25" s="3"/>
      <c r="Z25" s="7">
        <f t="shared" si="7"/>
        <v>0.27934893184130222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>
        <v>1474.64</v>
      </c>
      <c r="E26" s="3"/>
      <c r="F26" s="7">
        <f t="shared" si="0"/>
        <v>0</v>
      </c>
      <c r="G26" s="3"/>
      <c r="H26" s="8">
        <v>2423.39</v>
      </c>
      <c r="I26" s="3"/>
      <c r="J26" s="7">
        <f t="shared" si="1"/>
        <v>0</v>
      </c>
      <c r="K26" s="3"/>
      <c r="L26" s="8">
        <f t="shared" si="2"/>
        <v>-948.74999999999977</v>
      </c>
      <c r="M26" s="3"/>
      <c r="N26" s="7">
        <f t="shared" si="3"/>
        <v>-0.3914970351449828</v>
      </c>
      <c r="O26" s="11"/>
      <c r="P26" s="8">
        <v>1474.64</v>
      </c>
      <c r="Q26" s="3"/>
      <c r="R26" s="7">
        <f t="shared" si="4"/>
        <v>0</v>
      </c>
      <c r="S26" s="3"/>
      <c r="T26" s="8">
        <v>2423.39</v>
      </c>
      <c r="U26" s="3"/>
      <c r="V26" s="7">
        <f t="shared" si="5"/>
        <v>0</v>
      </c>
      <c r="W26" s="3"/>
      <c r="X26" s="8">
        <f t="shared" si="6"/>
        <v>-948.74999999999977</v>
      </c>
      <c r="Y26" s="3"/>
      <c r="Z26" s="7">
        <f t="shared" si="7"/>
        <v>-0.3914970351449828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>
        <v>999.04</v>
      </c>
      <c r="E27" s="3"/>
      <c r="F27" s="7">
        <f t="shared" si="0"/>
        <v>0</v>
      </c>
      <c r="G27" s="3"/>
      <c r="H27" s="8">
        <v>1627.31</v>
      </c>
      <c r="I27" s="3"/>
      <c r="J27" s="7">
        <f t="shared" si="1"/>
        <v>0</v>
      </c>
      <c r="K27" s="3"/>
      <c r="L27" s="8">
        <f t="shared" si="2"/>
        <v>-628.27</v>
      </c>
      <c r="M27" s="3"/>
      <c r="N27" s="7">
        <f t="shared" si="3"/>
        <v>-0.38607886634998861</v>
      </c>
      <c r="O27" s="11"/>
      <c r="P27" s="8">
        <v>999.04</v>
      </c>
      <c r="Q27" s="3"/>
      <c r="R27" s="7">
        <f t="shared" si="4"/>
        <v>0</v>
      </c>
      <c r="S27" s="3"/>
      <c r="T27" s="8">
        <v>1627.31</v>
      </c>
      <c r="U27" s="3"/>
      <c r="V27" s="7">
        <f t="shared" si="5"/>
        <v>0</v>
      </c>
      <c r="W27" s="3"/>
      <c r="X27" s="8">
        <f t="shared" si="6"/>
        <v>-628.27</v>
      </c>
      <c r="Y27" s="3"/>
      <c r="Z27" s="7">
        <f t="shared" si="7"/>
        <v>-0.38607886634998861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8">
        <v>184</v>
      </c>
      <c r="E28" s="3"/>
      <c r="F28" s="7">
        <f t="shared" si="0"/>
        <v>0</v>
      </c>
      <c r="G28" s="3"/>
      <c r="H28" s="8">
        <v>545.59</v>
      </c>
      <c r="I28" s="3"/>
      <c r="J28" s="7">
        <f t="shared" si="1"/>
        <v>0</v>
      </c>
      <c r="K28" s="3"/>
      <c r="L28" s="8">
        <f t="shared" si="2"/>
        <v>-361.59000000000003</v>
      </c>
      <c r="M28" s="3"/>
      <c r="N28" s="7">
        <f t="shared" si="3"/>
        <v>-0.66275041697978332</v>
      </c>
      <c r="O28" s="11"/>
      <c r="P28" s="8">
        <v>184</v>
      </c>
      <c r="Q28" s="3"/>
      <c r="R28" s="7">
        <f t="shared" si="4"/>
        <v>0</v>
      </c>
      <c r="S28" s="3"/>
      <c r="T28" s="8">
        <v>545.59</v>
      </c>
      <c r="U28" s="3"/>
      <c r="V28" s="7">
        <f t="shared" si="5"/>
        <v>0</v>
      </c>
      <c r="W28" s="3"/>
      <c r="X28" s="8">
        <f t="shared" si="6"/>
        <v>-361.59000000000003</v>
      </c>
      <c r="Y28" s="3"/>
      <c r="Z28" s="7">
        <f t="shared" si="7"/>
        <v>-0.66275041697978332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25546.420000000002</v>
      </c>
      <c r="E29" s="1"/>
      <c r="F29" s="5">
        <f t="shared" ref="F29:F34" si="8">IF(D$12=0,0,D29/D$12)</f>
        <v>0</v>
      </c>
      <c r="G29" s="1"/>
      <c r="H29" s="1">
        <f>SUM(OSRRefH22_1x_0)</f>
        <v>28444.059999999998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-2897.6399999999958</v>
      </c>
      <c r="M29" s="1"/>
      <c r="N29" s="5">
        <f t="shared" ref="N29:N34" si="11">IF(H29=0,0,L29/H29)</f>
        <v>-0.10187153310743952</v>
      </c>
      <c r="O29" s="14"/>
      <c r="P29" s="1">
        <f>SUM(OSRRefP22_1x_0)</f>
        <v>25546.420000000002</v>
      </c>
      <c r="Q29" s="1"/>
      <c r="R29" s="5">
        <f t="shared" ref="R29:R34" si="12">IF(P$12=0,0,P29/P$12)</f>
        <v>0</v>
      </c>
      <c r="S29" s="1"/>
      <c r="T29" s="1">
        <f>SUM(OSRRefT22_1x_0)</f>
        <v>28444.059999999998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-2897.6399999999958</v>
      </c>
      <c r="Y29" s="1"/>
      <c r="Z29" s="5">
        <f t="shared" ref="Z29:Z34" si="15">IF(T29=0,0,X29/T29)</f>
        <v>-0.10187153310743952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8">
        <v>21357.08</v>
      </c>
      <c r="E30" s="3"/>
      <c r="F30" s="7">
        <f t="shared" si="8"/>
        <v>0</v>
      </c>
      <c r="G30" s="3"/>
      <c r="H30" s="8">
        <v>13877.4</v>
      </c>
      <c r="I30" s="3"/>
      <c r="J30" s="7">
        <f t="shared" si="9"/>
        <v>0</v>
      </c>
      <c r="K30" s="3"/>
      <c r="L30" s="8">
        <f t="shared" si="10"/>
        <v>7479.6800000000021</v>
      </c>
      <c r="M30" s="3"/>
      <c r="N30" s="7">
        <f t="shared" si="11"/>
        <v>0.53898280657760111</v>
      </c>
      <c r="O30" s="11"/>
      <c r="P30" s="8">
        <v>21357.08</v>
      </c>
      <c r="Q30" s="3"/>
      <c r="R30" s="7">
        <f t="shared" si="12"/>
        <v>0</v>
      </c>
      <c r="S30" s="3"/>
      <c r="T30" s="8">
        <v>13877.4</v>
      </c>
      <c r="U30" s="3"/>
      <c r="V30" s="7">
        <f t="shared" si="13"/>
        <v>0</v>
      </c>
      <c r="W30" s="3"/>
      <c r="X30" s="8">
        <f t="shared" si="14"/>
        <v>7479.6800000000021</v>
      </c>
      <c r="Y30" s="3"/>
      <c r="Z30" s="7">
        <f t="shared" si="15"/>
        <v>0.53898280657760111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8">
        <v>3350.34</v>
      </c>
      <c r="E31" s="3"/>
      <c r="F31" s="7">
        <f t="shared" si="8"/>
        <v>0</v>
      </c>
      <c r="G31" s="3"/>
      <c r="H31" s="8">
        <v>6273.41</v>
      </c>
      <c r="I31" s="3"/>
      <c r="J31" s="7">
        <f t="shared" si="9"/>
        <v>0</v>
      </c>
      <c r="K31" s="3"/>
      <c r="L31" s="8">
        <f t="shared" si="10"/>
        <v>-2923.0699999999997</v>
      </c>
      <c r="M31" s="3"/>
      <c r="N31" s="7">
        <f t="shared" si="11"/>
        <v>-0.46594595283904605</v>
      </c>
      <c r="O31" s="11"/>
      <c r="P31" s="8">
        <v>3350.34</v>
      </c>
      <c r="Q31" s="3"/>
      <c r="R31" s="7">
        <f t="shared" si="12"/>
        <v>0</v>
      </c>
      <c r="S31" s="3"/>
      <c r="T31" s="8">
        <v>6273.41</v>
      </c>
      <c r="U31" s="3"/>
      <c r="V31" s="7">
        <f t="shared" si="13"/>
        <v>0</v>
      </c>
      <c r="W31" s="3"/>
      <c r="X31" s="8">
        <f t="shared" si="14"/>
        <v>-2923.0699999999997</v>
      </c>
      <c r="Y31" s="3"/>
      <c r="Z31" s="7">
        <f t="shared" si="15"/>
        <v>-0.46594595283904605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8"/>
      <c r="E32" s="3"/>
      <c r="F32" s="7">
        <f t="shared" si="8"/>
        <v>0</v>
      </c>
      <c r="G32" s="3"/>
      <c r="H32" s="8">
        <v>1446.75</v>
      </c>
      <c r="I32" s="3"/>
      <c r="J32" s="7">
        <f t="shared" si="9"/>
        <v>0</v>
      </c>
      <c r="K32" s="3"/>
      <c r="L32" s="8">
        <f t="shared" si="10"/>
        <v>-1446.75</v>
      </c>
      <c r="M32" s="3"/>
      <c r="N32" s="7">
        <f t="shared" si="11"/>
        <v>-1</v>
      </c>
      <c r="O32" s="11"/>
      <c r="P32" s="8"/>
      <c r="Q32" s="3"/>
      <c r="R32" s="7">
        <f t="shared" si="12"/>
        <v>0</v>
      </c>
      <c r="S32" s="3"/>
      <c r="T32" s="8">
        <v>1446.75</v>
      </c>
      <c r="U32" s="3"/>
      <c r="V32" s="7">
        <f t="shared" si="13"/>
        <v>0</v>
      </c>
      <c r="W32" s="3"/>
      <c r="X32" s="8">
        <f t="shared" si="14"/>
        <v>-1446.75</v>
      </c>
      <c r="Y32" s="3"/>
      <c r="Z32" s="7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8">
        <v>839</v>
      </c>
      <c r="E33" s="3"/>
      <c r="F33" s="7">
        <f t="shared" si="8"/>
        <v>0</v>
      </c>
      <c r="G33" s="3"/>
      <c r="H33" s="8">
        <v>5054</v>
      </c>
      <c r="I33" s="3"/>
      <c r="J33" s="7">
        <f t="shared" si="9"/>
        <v>0</v>
      </c>
      <c r="K33" s="3"/>
      <c r="L33" s="8">
        <f t="shared" si="10"/>
        <v>-4215</v>
      </c>
      <c r="M33" s="3"/>
      <c r="N33" s="7">
        <f t="shared" si="11"/>
        <v>-0.83399287692916502</v>
      </c>
      <c r="O33" s="11"/>
      <c r="P33" s="8">
        <v>839</v>
      </c>
      <c r="Q33" s="3"/>
      <c r="R33" s="7">
        <f t="shared" si="12"/>
        <v>0</v>
      </c>
      <c r="S33" s="3"/>
      <c r="T33" s="8">
        <v>5054</v>
      </c>
      <c r="U33" s="3"/>
      <c r="V33" s="7">
        <f t="shared" si="13"/>
        <v>0</v>
      </c>
      <c r="W33" s="3"/>
      <c r="X33" s="8">
        <f t="shared" si="14"/>
        <v>-4215</v>
      </c>
      <c r="Y33" s="3"/>
      <c r="Z33" s="7">
        <f t="shared" si="15"/>
        <v>-0.83399287692916502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8"/>
      <c r="E34" s="3"/>
      <c r="F34" s="7">
        <f t="shared" si="8"/>
        <v>0</v>
      </c>
      <c r="G34" s="3"/>
      <c r="H34" s="8">
        <v>1792.5</v>
      </c>
      <c r="I34" s="3"/>
      <c r="J34" s="7">
        <f t="shared" si="9"/>
        <v>0</v>
      </c>
      <c r="K34" s="3"/>
      <c r="L34" s="8">
        <f t="shared" si="10"/>
        <v>-1792.5</v>
      </c>
      <c r="M34" s="3"/>
      <c r="N34" s="7">
        <f t="shared" si="11"/>
        <v>-1</v>
      </c>
      <c r="O34" s="11"/>
      <c r="P34" s="8"/>
      <c r="Q34" s="3"/>
      <c r="R34" s="7">
        <f t="shared" si="12"/>
        <v>0</v>
      </c>
      <c r="S34" s="3"/>
      <c r="T34" s="8">
        <v>1792.5</v>
      </c>
      <c r="U34" s="3"/>
      <c r="V34" s="7">
        <f t="shared" si="13"/>
        <v>0</v>
      </c>
      <c r="W34" s="3"/>
      <c r="X34" s="8">
        <f t="shared" si="14"/>
        <v>-1792.5</v>
      </c>
      <c r="Y34" s="3"/>
      <c r="Z34" s="7">
        <f t="shared" si="15"/>
        <v>-1</v>
      </c>
    </row>
    <row r="35" spans="1:26" s="27" customFormat="1" outlineLevel="1" collapsed="1" x14ac:dyDescent="0.25">
      <c r="A35" s="28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SUM(OSRRefD22_2x_0)</f>
        <v>5462.14</v>
      </c>
      <c r="E35" s="1"/>
      <c r="F35" s="5">
        <f t="shared" ref="F35:F42" si="16">IF(D$12=0,0,D35/D$12)</f>
        <v>0</v>
      </c>
      <c r="G35" s="1"/>
      <c r="H35" s="1">
        <f>SUM(OSRRefH22_2x_0)</f>
        <v>6175.97</v>
      </c>
      <c r="I35" s="1"/>
      <c r="J35" s="5">
        <f t="shared" ref="J35:J42" si="17">IF(H$12=0,0,H35/H$12)</f>
        <v>0</v>
      </c>
      <c r="K35" s="1"/>
      <c r="L35" s="1">
        <f t="shared" ref="L35:L42" si="18">+D35-H35</f>
        <v>-713.82999999999993</v>
      </c>
      <c r="M35" s="1"/>
      <c r="N35" s="5">
        <f t="shared" ref="N35:N42" si="19">IF(H35=0,0,L35/H35)</f>
        <v>-0.11558184382372322</v>
      </c>
      <c r="O35" s="14"/>
      <c r="P35" s="1">
        <f>SUM(OSRRefP22_2x_0)</f>
        <v>5462.14</v>
      </c>
      <c r="Q35" s="1"/>
      <c r="R35" s="5">
        <f t="shared" ref="R35:R42" si="20">IF(P$12=0,0,P35/P$12)</f>
        <v>0</v>
      </c>
      <c r="S35" s="1"/>
      <c r="T35" s="1">
        <f>SUM(OSRRefT22_2x_0)</f>
        <v>6175.97</v>
      </c>
      <c r="U35" s="1"/>
      <c r="V35" s="5">
        <f t="shared" ref="V35:V42" si="21">IF(T$12=0,0,T35/T$12)</f>
        <v>0</v>
      </c>
      <c r="W35" s="1"/>
      <c r="X35" s="1">
        <f t="shared" ref="X35:X42" si="22">+P35-T35</f>
        <v>-713.82999999999993</v>
      </c>
      <c r="Y35" s="1"/>
      <c r="Z35" s="5">
        <f t="shared" ref="Z35:Z42" si="23">IF(T35=0,0,X35/T35)</f>
        <v>-0.11558184382372322</v>
      </c>
    </row>
    <row r="36" spans="1:26" s="24" customFormat="1" hidden="1" outlineLevel="2" x14ac:dyDescent="0.25">
      <c r="A36" s="29"/>
      <c r="B36" s="11" t="str">
        <f>CONCATENATE("          ", "6322", " - ", "EQUIPMENT DEPRECIATION EXPENSE")</f>
        <v xml:space="preserve">          6322 - EQUIPMENT DEPRECIATION EXPENSE</v>
      </c>
      <c r="C36" s="11"/>
      <c r="D36" s="8">
        <v>5462.14</v>
      </c>
      <c r="E36" s="3"/>
      <c r="F36" s="7">
        <f t="shared" si="16"/>
        <v>0</v>
      </c>
      <c r="G36" s="3"/>
      <c r="H36" s="8">
        <v>6175.97</v>
      </c>
      <c r="I36" s="3"/>
      <c r="J36" s="7">
        <f t="shared" si="17"/>
        <v>0</v>
      </c>
      <c r="K36" s="3"/>
      <c r="L36" s="8">
        <f t="shared" si="18"/>
        <v>-713.82999999999993</v>
      </c>
      <c r="M36" s="3"/>
      <c r="N36" s="7">
        <f t="shared" si="19"/>
        <v>-0.11558184382372322</v>
      </c>
      <c r="O36" s="11"/>
      <c r="P36" s="8">
        <v>5462.14</v>
      </c>
      <c r="Q36" s="3"/>
      <c r="R36" s="7">
        <f t="shared" si="20"/>
        <v>0</v>
      </c>
      <c r="S36" s="3"/>
      <c r="T36" s="8">
        <v>6175.97</v>
      </c>
      <c r="U36" s="3"/>
      <c r="V36" s="7">
        <f t="shared" si="21"/>
        <v>0</v>
      </c>
      <c r="W36" s="3"/>
      <c r="X36" s="8">
        <f t="shared" si="22"/>
        <v>-713.82999999999993</v>
      </c>
      <c r="Y36" s="3"/>
      <c r="Z36" s="7">
        <f t="shared" si="23"/>
        <v>-0.11558184382372322</v>
      </c>
    </row>
    <row r="37" spans="1:26" s="27" customFormat="1" outlineLevel="1" collapsed="1" x14ac:dyDescent="0.25">
      <c r="A37" s="28"/>
      <c r="B37" s="14" t="str">
        <f>CONCATENATE("     ","Insurance                                         ")</f>
        <v xml:space="preserve">     Insurance                                         </v>
      </c>
      <c r="C37" s="14"/>
      <c r="D37" s="1">
        <f>SUM(OSRRefD22_3x_0)</f>
        <v>56.34</v>
      </c>
      <c r="E37" s="1"/>
      <c r="F37" s="5">
        <f t="shared" si="16"/>
        <v>0</v>
      </c>
      <c r="G37" s="1"/>
      <c r="H37" s="1">
        <f>SUM(OSRRefH22_3x_0)</f>
        <v>56.34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SUM(OSRRefP22_3x_0)</f>
        <v>56.34</v>
      </c>
      <c r="Q37" s="1"/>
      <c r="R37" s="5">
        <f t="shared" si="20"/>
        <v>0</v>
      </c>
      <c r="S37" s="1"/>
      <c r="T37" s="1">
        <f>SUM(OSRRefT22_3x_0)</f>
        <v>56.34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9"/>
      <c r="B38" s="11" t="str">
        <f>CONCATENATE("          ", "6314", " - ", "LIABILITY INSURANCE")</f>
        <v xml:space="preserve">          6314 - LIABILITY INSURANCE</v>
      </c>
      <c r="C38" s="11"/>
      <c r="D38" s="8">
        <v>56.34</v>
      </c>
      <c r="E38" s="3"/>
      <c r="F38" s="7">
        <f t="shared" si="16"/>
        <v>0</v>
      </c>
      <c r="G38" s="3"/>
      <c r="H38" s="8">
        <v>56.34</v>
      </c>
      <c r="I38" s="3"/>
      <c r="J38" s="7">
        <f t="shared" si="17"/>
        <v>0</v>
      </c>
      <c r="K38" s="3"/>
      <c r="L38" s="8">
        <f t="shared" si="18"/>
        <v>0</v>
      </c>
      <c r="M38" s="3"/>
      <c r="N38" s="7">
        <f t="shared" si="19"/>
        <v>0</v>
      </c>
      <c r="O38" s="11"/>
      <c r="P38" s="8">
        <v>56.34</v>
      </c>
      <c r="Q38" s="3"/>
      <c r="R38" s="7">
        <f t="shared" si="20"/>
        <v>0</v>
      </c>
      <c r="S38" s="3"/>
      <c r="T38" s="8">
        <v>56.34</v>
      </c>
      <c r="U38" s="3"/>
      <c r="V38" s="7">
        <f t="shared" si="21"/>
        <v>0</v>
      </c>
      <c r="W38" s="3"/>
      <c r="X38" s="8">
        <f t="shared" si="22"/>
        <v>0</v>
      </c>
      <c r="Y38" s="3"/>
      <c r="Z38" s="7">
        <f t="shared" si="23"/>
        <v>0</v>
      </c>
    </row>
    <row r="39" spans="1:26" s="27" customFormat="1" outlineLevel="1" collapsed="1" x14ac:dyDescent="0.25">
      <c r="A39" s="28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11992</v>
      </c>
      <c r="E39" s="1"/>
      <c r="F39" s="5">
        <f t="shared" si="16"/>
        <v>0</v>
      </c>
      <c r="G39" s="1"/>
      <c r="H39" s="1">
        <f>SUM(OSRRefH22_4x_0)</f>
        <v>9638.7800000000007</v>
      </c>
      <c r="I39" s="1"/>
      <c r="J39" s="5">
        <f t="shared" si="17"/>
        <v>0</v>
      </c>
      <c r="K39" s="1"/>
      <c r="L39" s="1">
        <f t="shared" si="18"/>
        <v>2353.2199999999993</v>
      </c>
      <c r="M39" s="1"/>
      <c r="N39" s="5">
        <f t="shared" si="19"/>
        <v>0.2441408560004481</v>
      </c>
      <c r="O39" s="14"/>
      <c r="P39" s="1">
        <f>SUM(OSRRefP22_4x_0)</f>
        <v>11992</v>
      </c>
      <c r="Q39" s="1"/>
      <c r="R39" s="5">
        <f t="shared" si="20"/>
        <v>0</v>
      </c>
      <c r="S39" s="1"/>
      <c r="T39" s="1">
        <f>SUM(OSRRefT22_4x_0)</f>
        <v>9638.7800000000007</v>
      </c>
      <c r="U39" s="1"/>
      <c r="V39" s="5">
        <f t="shared" si="21"/>
        <v>0</v>
      </c>
      <c r="W39" s="1"/>
      <c r="X39" s="1">
        <f t="shared" si="22"/>
        <v>2353.2199999999993</v>
      </c>
      <c r="Y39" s="1"/>
      <c r="Z39" s="5">
        <f t="shared" si="23"/>
        <v>0.2441408560004481</v>
      </c>
    </row>
    <row r="40" spans="1:26" s="24" customFormat="1" hidden="1" outlineLevel="2" x14ac:dyDescent="0.25">
      <c r="A40" s="29"/>
      <c r="B40" s="11" t="str">
        <f>CONCATENATE("          ", "6371", " - ", "COMPUTER SOFTWARE MAINTENANCE")</f>
        <v xml:space="preserve">          6371 - COMPUTER SOFTWARE MAINTENANCE</v>
      </c>
      <c r="C40" s="11"/>
      <c r="D40" s="8"/>
      <c r="E40" s="3"/>
      <c r="F40" s="7">
        <f t="shared" si="16"/>
        <v>0</v>
      </c>
      <c r="G40" s="3"/>
      <c r="H40" s="8">
        <v>90.95</v>
      </c>
      <c r="I40" s="3"/>
      <c r="J40" s="7">
        <f t="shared" si="17"/>
        <v>0</v>
      </c>
      <c r="K40" s="3"/>
      <c r="L40" s="8">
        <f t="shared" si="18"/>
        <v>-90.95</v>
      </c>
      <c r="M40" s="3"/>
      <c r="N40" s="7">
        <f t="shared" si="19"/>
        <v>-1</v>
      </c>
      <c r="O40" s="11"/>
      <c r="P40" s="8"/>
      <c r="Q40" s="3"/>
      <c r="R40" s="7">
        <f t="shared" si="20"/>
        <v>0</v>
      </c>
      <c r="S40" s="3"/>
      <c r="T40" s="8">
        <v>90.95</v>
      </c>
      <c r="U40" s="3"/>
      <c r="V40" s="7">
        <f t="shared" si="21"/>
        <v>0</v>
      </c>
      <c r="W40" s="3"/>
      <c r="X40" s="8">
        <f t="shared" si="22"/>
        <v>-90.95</v>
      </c>
      <c r="Y40" s="3"/>
      <c r="Z40" s="7">
        <f t="shared" si="23"/>
        <v>-1</v>
      </c>
    </row>
    <row r="41" spans="1:26" s="24" customFormat="1" hidden="1" outlineLevel="2" x14ac:dyDescent="0.25">
      <c r="A41" s="29"/>
      <c r="B41" s="11" t="str">
        <f>CONCATENATE("          ", "6373", " - ", "MAINTENANCE CONTRACTS")</f>
        <v xml:space="preserve">          6373 - MAINTENANCE CONTRACTS</v>
      </c>
      <c r="C41" s="11"/>
      <c r="D41" s="8">
        <v>11992</v>
      </c>
      <c r="E41" s="3"/>
      <c r="F41" s="7">
        <f t="shared" si="16"/>
        <v>0</v>
      </c>
      <c r="G41" s="3"/>
      <c r="H41" s="8">
        <v>9516.15</v>
      </c>
      <c r="I41" s="3"/>
      <c r="J41" s="7">
        <f t="shared" si="17"/>
        <v>0</v>
      </c>
      <c r="K41" s="3"/>
      <c r="L41" s="8">
        <f t="shared" si="18"/>
        <v>2475.8500000000004</v>
      </c>
      <c r="M41" s="3"/>
      <c r="N41" s="7">
        <f t="shared" si="19"/>
        <v>0.26017349453297822</v>
      </c>
      <c r="O41" s="11"/>
      <c r="P41" s="8">
        <v>11992</v>
      </c>
      <c r="Q41" s="3"/>
      <c r="R41" s="7">
        <f t="shared" si="20"/>
        <v>0</v>
      </c>
      <c r="S41" s="3"/>
      <c r="T41" s="8">
        <v>9516.15</v>
      </c>
      <c r="U41" s="3"/>
      <c r="V41" s="7">
        <f t="shared" si="21"/>
        <v>0</v>
      </c>
      <c r="W41" s="3"/>
      <c r="X41" s="8">
        <f t="shared" si="22"/>
        <v>2475.8500000000004</v>
      </c>
      <c r="Y41" s="3"/>
      <c r="Z41" s="7">
        <f t="shared" si="23"/>
        <v>0.26017349453297822</v>
      </c>
    </row>
    <row r="42" spans="1:26" s="24" customFormat="1" hidden="1" outlineLevel="2" x14ac:dyDescent="0.25">
      <c r="A42" s="29"/>
      <c r="B42" s="11" t="str">
        <f>CONCATENATE("          ", "6375", " - ", "OUTSIDE REPAIRS &amp; MAINTENANCE")</f>
        <v xml:space="preserve">          6375 - OUTSIDE REPAIRS &amp; MAINTENANCE</v>
      </c>
      <c r="C42" s="11"/>
      <c r="D42" s="8"/>
      <c r="E42" s="3"/>
      <c r="F42" s="7">
        <f t="shared" si="16"/>
        <v>0</v>
      </c>
      <c r="G42" s="3"/>
      <c r="H42" s="8">
        <v>31.68</v>
      </c>
      <c r="I42" s="3"/>
      <c r="J42" s="7">
        <f t="shared" si="17"/>
        <v>0</v>
      </c>
      <c r="K42" s="3"/>
      <c r="L42" s="8">
        <f t="shared" si="18"/>
        <v>-31.68</v>
      </c>
      <c r="M42" s="3"/>
      <c r="N42" s="7">
        <f t="shared" si="19"/>
        <v>-1</v>
      </c>
      <c r="O42" s="11"/>
      <c r="P42" s="8"/>
      <c r="Q42" s="3"/>
      <c r="R42" s="7">
        <f t="shared" si="20"/>
        <v>0</v>
      </c>
      <c r="S42" s="3"/>
      <c r="T42" s="8">
        <v>31.68</v>
      </c>
      <c r="U42" s="3"/>
      <c r="V42" s="7">
        <f t="shared" si="21"/>
        <v>0</v>
      </c>
      <c r="W42" s="3"/>
      <c r="X42" s="8">
        <f t="shared" si="22"/>
        <v>-31.68</v>
      </c>
      <c r="Y42" s="3"/>
      <c r="Z42" s="7">
        <f t="shared" si="23"/>
        <v>-1</v>
      </c>
    </row>
    <row r="43" spans="1:26" s="27" customFormat="1" outlineLevel="1" collapsed="1" x14ac:dyDescent="0.25">
      <c r="A43" s="28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SUM(OSRRefD22_5x_0)</f>
        <v>-55.46</v>
      </c>
      <c r="E43" s="1"/>
      <c r="F43" s="5">
        <f t="shared" ref="F43:F47" si="24">IF(D$12=0,0,D43/D$12)</f>
        <v>0</v>
      </c>
      <c r="G43" s="1"/>
      <c r="H43" s="1">
        <f>SUM(OSRRefH22_5x_0)</f>
        <v>6611.6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-6667.06</v>
      </c>
      <c r="M43" s="1"/>
      <c r="N43" s="5">
        <f t="shared" ref="N43:N47" si="27">IF(H43=0,0,L43/H43)</f>
        <v>-1.0083882872527075</v>
      </c>
      <c r="O43" s="14"/>
      <c r="P43" s="1">
        <f>SUM(OSRRefP22_5x_0)</f>
        <v>-55.46</v>
      </c>
      <c r="Q43" s="1"/>
      <c r="R43" s="5">
        <f t="shared" ref="R43:R47" si="28">IF(P$12=0,0,P43/P$12)</f>
        <v>0</v>
      </c>
      <c r="S43" s="1"/>
      <c r="T43" s="1">
        <f>SUM(OSRRefT22_5x_0)</f>
        <v>6611.6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-6667.06</v>
      </c>
      <c r="Y43" s="1"/>
      <c r="Z43" s="5">
        <f t="shared" ref="Z43:Z47" si="31">IF(T43=0,0,X43/T43)</f>
        <v>-1.0083882872527075</v>
      </c>
    </row>
    <row r="44" spans="1:26" s="24" customFormat="1" hidden="1" outlineLevel="2" x14ac:dyDescent="0.25">
      <c r="A44" s="29"/>
      <c r="B44" s="11" t="str">
        <f>CONCATENATE("          ", "6241", " - ", "OFFICE EXPENSE")</f>
        <v xml:space="preserve">          6241 - OFFICE EXPENSE</v>
      </c>
      <c r="C44" s="11"/>
      <c r="D44" s="8">
        <v>-55.46</v>
      </c>
      <c r="E44" s="3"/>
      <c r="F44" s="7">
        <f t="shared" si="24"/>
        <v>0</v>
      </c>
      <c r="G44" s="3"/>
      <c r="H44" s="8">
        <v>6611.6</v>
      </c>
      <c r="I44" s="3"/>
      <c r="J44" s="7">
        <f t="shared" si="25"/>
        <v>0</v>
      </c>
      <c r="K44" s="3"/>
      <c r="L44" s="8">
        <f t="shared" si="26"/>
        <v>-6667.06</v>
      </c>
      <c r="M44" s="3"/>
      <c r="N44" s="7">
        <f t="shared" si="27"/>
        <v>-1.0083882872527075</v>
      </c>
      <c r="O44" s="11"/>
      <c r="P44" s="8">
        <v>-55.46</v>
      </c>
      <c r="Q44" s="3"/>
      <c r="R44" s="7">
        <f t="shared" si="28"/>
        <v>0</v>
      </c>
      <c r="S44" s="3"/>
      <c r="T44" s="8">
        <v>6611.6</v>
      </c>
      <c r="U44" s="3"/>
      <c r="V44" s="7">
        <f t="shared" si="29"/>
        <v>0</v>
      </c>
      <c r="W44" s="3"/>
      <c r="X44" s="8">
        <f t="shared" si="30"/>
        <v>-6667.06</v>
      </c>
      <c r="Y44" s="3"/>
      <c r="Z44" s="7">
        <f t="shared" si="31"/>
        <v>-1.0083882872527075</v>
      </c>
    </row>
    <row r="45" spans="1:26" s="27" customFormat="1" outlineLevel="1" collapsed="1" x14ac:dyDescent="0.25">
      <c r="A45" s="28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SUM(OSRRefD22_6x_0)</f>
        <v>856.77</v>
      </c>
      <c r="E45" s="1"/>
      <c r="F45" s="5">
        <f t="shared" si="24"/>
        <v>0</v>
      </c>
      <c r="G45" s="1"/>
      <c r="H45" s="1">
        <f>SUM(OSRRefH22_6x_0)</f>
        <v>4049.2400000000002</v>
      </c>
      <c r="I45" s="1"/>
      <c r="J45" s="5">
        <f t="shared" si="25"/>
        <v>0</v>
      </c>
      <c r="K45" s="1"/>
      <c r="L45" s="1">
        <f t="shared" si="26"/>
        <v>-3192.4700000000003</v>
      </c>
      <c r="M45" s="1"/>
      <c r="N45" s="5">
        <f t="shared" si="27"/>
        <v>-0.78841214647686975</v>
      </c>
      <c r="O45" s="14"/>
      <c r="P45" s="1">
        <f>SUM(OSRRefP22_6x_0)</f>
        <v>856.77</v>
      </c>
      <c r="Q45" s="1"/>
      <c r="R45" s="5">
        <f t="shared" si="28"/>
        <v>0</v>
      </c>
      <c r="S45" s="1"/>
      <c r="T45" s="1">
        <f>SUM(OSRRefT22_6x_0)</f>
        <v>4049.2400000000002</v>
      </c>
      <c r="U45" s="1"/>
      <c r="V45" s="5">
        <f t="shared" si="29"/>
        <v>0</v>
      </c>
      <c r="W45" s="1"/>
      <c r="X45" s="1">
        <f t="shared" si="30"/>
        <v>-3192.4700000000003</v>
      </c>
      <c r="Y45" s="1"/>
      <c r="Z45" s="5">
        <f t="shared" si="31"/>
        <v>-0.78841214647686975</v>
      </c>
    </row>
    <row r="46" spans="1:26" s="24" customFormat="1" hidden="1" outlineLevel="2" x14ac:dyDescent="0.25">
      <c r="A46" s="29"/>
      <c r="B46" s="11" t="str">
        <f>CONCATENATE("          ", "6303", " - ", "DATA PHONE LINES")</f>
        <v xml:space="preserve">          6303 - DATA PHONE LINES</v>
      </c>
      <c r="C46" s="11"/>
      <c r="D46" s="8">
        <v>78.989999999999995</v>
      </c>
      <c r="E46" s="3"/>
      <c r="F46" s="7">
        <f t="shared" si="24"/>
        <v>0</v>
      </c>
      <c r="G46" s="3"/>
      <c r="H46" s="8">
        <v>195.53</v>
      </c>
      <c r="I46" s="3"/>
      <c r="J46" s="7">
        <f t="shared" si="25"/>
        <v>0</v>
      </c>
      <c r="K46" s="3"/>
      <c r="L46" s="8">
        <f t="shared" si="26"/>
        <v>-116.54</v>
      </c>
      <c r="M46" s="3"/>
      <c r="N46" s="7">
        <f t="shared" si="27"/>
        <v>-0.59602107093540635</v>
      </c>
      <c r="O46" s="11"/>
      <c r="P46" s="8">
        <v>78.989999999999995</v>
      </c>
      <c r="Q46" s="3"/>
      <c r="R46" s="7">
        <f t="shared" si="28"/>
        <v>0</v>
      </c>
      <c r="S46" s="3"/>
      <c r="T46" s="8">
        <v>195.53</v>
      </c>
      <c r="U46" s="3"/>
      <c r="V46" s="7">
        <f t="shared" si="29"/>
        <v>0</v>
      </c>
      <c r="W46" s="3"/>
      <c r="X46" s="8">
        <f t="shared" si="30"/>
        <v>-116.54</v>
      </c>
      <c r="Y46" s="3"/>
      <c r="Z46" s="7">
        <f t="shared" si="31"/>
        <v>-0.59602107093540635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8">
        <v>777.78</v>
      </c>
      <c r="E47" s="3"/>
      <c r="F47" s="7">
        <f t="shared" si="24"/>
        <v>0</v>
      </c>
      <c r="G47" s="3"/>
      <c r="H47" s="8">
        <v>3853.71</v>
      </c>
      <c r="I47" s="3"/>
      <c r="J47" s="7">
        <f t="shared" si="25"/>
        <v>0</v>
      </c>
      <c r="K47" s="3"/>
      <c r="L47" s="8">
        <f t="shared" si="26"/>
        <v>-3075.9300000000003</v>
      </c>
      <c r="M47" s="3"/>
      <c r="N47" s="7">
        <f t="shared" si="27"/>
        <v>-0.79817370793339415</v>
      </c>
      <c r="O47" s="11"/>
      <c r="P47" s="8">
        <v>777.78</v>
      </c>
      <c r="Q47" s="3"/>
      <c r="R47" s="7">
        <f t="shared" si="28"/>
        <v>0</v>
      </c>
      <c r="S47" s="3"/>
      <c r="T47" s="8">
        <v>3853.71</v>
      </c>
      <c r="U47" s="3"/>
      <c r="V47" s="7">
        <f t="shared" si="29"/>
        <v>0</v>
      </c>
      <c r="W47" s="3"/>
      <c r="X47" s="8">
        <f t="shared" si="30"/>
        <v>-3075.9300000000003</v>
      </c>
      <c r="Y47" s="3"/>
      <c r="Z47" s="7">
        <f t="shared" si="31"/>
        <v>-0.79817370793339415</v>
      </c>
    </row>
    <row r="48" spans="1:26" s="27" customFormat="1" outlineLevel="1" collapsed="1" x14ac:dyDescent="0.25">
      <c r="A48" s="28"/>
      <c r="B48" s="14" t="str">
        <f>CONCATENATE("     ","Training                                          ")</f>
        <v xml:space="preserve">     Training                                          </v>
      </c>
      <c r="C48" s="14"/>
      <c r="D48" s="1">
        <f>SUM(OSRRefD22_7x_0)</f>
        <v>0</v>
      </c>
      <c r="E48" s="1"/>
      <c r="F48" s="5">
        <f t="shared" ref="F48:F49" si="32">IF(D$12=0,0,D48/D$12)</f>
        <v>0</v>
      </c>
      <c r="G48" s="1"/>
      <c r="H48" s="1">
        <f>SUM(OSRRefH22_7x_0)</f>
        <v>49</v>
      </c>
      <c r="I48" s="1"/>
      <c r="J48" s="5">
        <f t="shared" ref="J48:J49" si="33">IF(H$12=0,0,H48/H$12)</f>
        <v>0</v>
      </c>
      <c r="K48" s="1"/>
      <c r="L48" s="1">
        <f t="shared" ref="L48:L49" si="34">+D48-H48</f>
        <v>-49</v>
      </c>
      <c r="M48" s="1"/>
      <c r="N48" s="5">
        <f t="shared" ref="N48:N49" si="35">IF(H48=0,0,L48/H48)</f>
        <v>-1</v>
      </c>
      <c r="O48" s="14"/>
      <c r="P48" s="1">
        <f>SUM(OSRRefP22_7x_0)</f>
        <v>0</v>
      </c>
      <c r="Q48" s="1"/>
      <c r="R48" s="5">
        <f t="shared" ref="R48:R49" si="36">IF(P$12=0,0,P48/P$12)</f>
        <v>0</v>
      </c>
      <c r="S48" s="1"/>
      <c r="T48" s="1">
        <f>SUM(OSRRefT22_7x_0)</f>
        <v>49</v>
      </c>
      <c r="U48" s="1"/>
      <c r="V48" s="5">
        <f t="shared" ref="V48:V49" si="37">IF(T$12=0,0,T48/T$12)</f>
        <v>0</v>
      </c>
      <c r="W48" s="1"/>
      <c r="X48" s="1">
        <f t="shared" ref="X48:X49" si="38">+P48-T48</f>
        <v>-49</v>
      </c>
      <c r="Y48" s="1"/>
      <c r="Z48" s="5">
        <f t="shared" ref="Z48:Z49" si="39">IF(T48=0,0,X48/T48)</f>
        <v>-1</v>
      </c>
    </row>
    <row r="49" spans="1:26" s="24" customFormat="1" hidden="1" outlineLevel="2" x14ac:dyDescent="0.25">
      <c r="A49" s="29"/>
      <c r="B49" s="11" t="str">
        <f>CONCATENATE("          ", "6376", " - ", "TRAINING")</f>
        <v xml:space="preserve">          6376 - TRAINING</v>
      </c>
      <c r="C49" s="11"/>
      <c r="D49" s="8"/>
      <c r="E49" s="3"/>
      <c r="F49" s="7">
        <f t="shared" si="32"/>
        <v>0</v>
      </c>
      <c r="G49" s="3"/>
      <c r="H49" s="8">
        <v>49</v>
      </c>
      <c r="I49" s="3"/>
      <c r="J49" s="7">
        <f t="shared" si="33"/>
        <v>0</v>
      </c>
      <c r="K49" s="3"/>
      <c r="L49" s="8">
        <f t="shared" si="34"/>
        <v>-49</v>
      </c>
      <c r="M49" s="3"/>
      <c r="N49" s="7">
        <f t="shared" si="35"/>
        <v>-1</v>
      </c>
      <c r="O49" s="11"/>
      <c r="P49" s="8"/>
      <c r="Q49" s="3"/>
      <c r="R49" s="7">
        <f t="shared" si="36"/>
        <v>0</v>
      </c>
      <c r="S49" s="3"/>
      <c r="T49" s="8">
        <v>49</v>
      </c>
      <c r="U49" s="3"/>
      <c r="V49" s="7">
        <f t="shared" si="37"/>
        <v>0</v>
      </c>
      <c r="W49" s="3"/>
      <c r="X49" s="8">
        <f t="shared" si="38"/>
        <v>-49</v>
      </c>
      <c r="Y49" s="3"/>
      <c r="Z49" s="7">
        <f t="shared" si="39"/>
        <v>-1</v>
      </c>
    </row>
    <row r="50" spans="1:26" s="61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10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25">
      <c r="A53" s="10"/>
      <c r="B53" s="26" t="s">
        <v>3</v>
      </c>
      <c r="C53" s="26"/>
      <c r="D53" s="19">
        <f>+D16-D18+D51</f>
        <v>-56908.759999999995</v>
      </c>
      <c r="E53" s="13"/>
      <c r="F53" s="20">
        <f>IF(D$12=0,0,D53/D$12)</f>
        <v>0</v>
      </c>
      <c r="G53" s="13"/>
      <c r="H53" s="19">
        <f>+H16-H18+H51</f>
        <v>-67675.849999999991</v>
      </c>
      <c r="I53" s="13"/>
      <c r="J53" s="20">
        <f>IF(H$12=0,0,H53/H$12)</f>
        <v>0</v>
      </c>
      <c r="K53" s="16"/>
      <c r="L53" s="19">
        <f>+D53-H53</f>
        <v>10767.089999999997</v>
      </c>
      <c r="M53" s="16"/>
      <c r="N53" s="20">
        <f>IF(H53=0,0,L53/H53)</f>
        <v>-0.15909796478359708</v>
      </c>
      <c r="O53" s="25"/>
      <c r="P53" s="19">
        <f>+P16-P18+P51</f>
        <v>-56908.759999999995</v>
      </c>
      <c r="Q53" s="13"/>
      <c r="R53" s="20">
        <f>IF(P$12=0,0,P53/P$12)</f>
        <v>0</v>
      </c>
      <c r="S53" s="13"/>
      <c r="T53" s="19">
        <f>+T16-T18+T51</f>
        <v>-67675.849999999991</v>
      </c>
      <c r="U53" s="13"/>
      <c r="V53" s="20">
        <f>IF(T$12=0,0,T53/T$12)</f>
        <v>0</v>
      </c>
      <c r="W53" s="16"/>
      <c r="X53" s="19">
        <f>+P53-T53</f>
        <v>10767.089999999997</v>
      </c>
      <c r="Y53" s="16"/>
      <c r="Z53" s="20">
        <f>IF(T53=0,0,X53/T53)</f>
        <v>-0.15909796478359708</v>
      </c>
    </row>
    <row r="54" spans="1:26" x14ac:dyDescent="0.25">
      <c r="A54" s="9"/>
      <c r="B54" s="10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x14ac:dyDescent="0.25">
      <c r="A55" s="51"/>
      <c r="B55" s="10" t="s">
        <v>13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.75" thickBot="1" x14ac:dyDescent="0.3">
      <c r="A57" s="10"/>
      <c r="B57" s="26" t="s">
        <v>4</v>
      </c>
      <c r="C57" s="26"/>
      <c r="D57" s="35">
        <f>+D53-D55</f>
        <v>-56908.759999999995</v>
      </c>
      <c r="E57" s="13"/>
      <c r="F57" s="30">
        <f>IF(D$12=0,0,D57/D$12)</f>
        <v>0</v>
      </c>
      <c r="G57" s="13"/>
      <c r="H57" s="35">
        <f>+H53-H55</f>
        <v>-67675.849999999991</v>
      </c>
      <c r="I57" s="13"/>
      <c r="J57" s="30">
        <f>IF(H$12=0,0,H57/H$12)</f>
        <v>0</v>
      </c>
      <c r="K57" s="16"/>
      <c r="L57" s="35">
        <f>D57-H57</f>
        <v>10767.089999999997</v>
      </c>
      <c r="M57" s="16"/>
      <c r="N57" s="30">
        <f>IF(H57=0,0,L57/H57)</f>
        <v>-0.15909796478359708</v>
      </c>
      <c r="O57" s="25"/>
      <c r="P57" s="35">
        <f>+P53-P55</f>
        <v>-56908.759999999995</v>
      </c>
      <c r="Q57" s="13"/>
      <c r="R57" s="30">
        <f>IF(P$12=0,0,P57/P$12)</f>
        <v>0</v>
      </c>
      <c r="S57" s="13"/>
      <c r="T57" s="35">
        <f>+T53-T55</f>
        <v>-67675.849999999991</v>
      </c>
      <c r="U57" s="13"/>
      <c r="V57" s="30">
        <f>IF(T$12=0,0,T57/T$12)</f>
        <v>0</v>
      </c>
      <c r="W57" s="16"/>
      <c r="X57" s="35">
        <f>P57-T57</f>
        <v>10767.089999999997</v>
      </c>
      <c r="Y57" s="16"/>
      <c r="Z57" s="30">
        <f>IF(T57=0,0,X57/T57)</f>
        <v>-0.15909796478359708</v>
      </c>
    </row>
    <row r="58" spans="1:26" ht="15.75" thickTop="1" x14ac:dyDescent="0.25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x14ac:dyDescent="0.25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ht="15.75" thickBot="1" x14ac:dyDescent="0.3">
      <c r="A60" s="10"/>
      <c r="B60" s="26" t="s">
        <v>5</v>
      </c>
      <c r="C60" s="26"/>
      <c r="D60" s="31">
        <f>SUM(D57:D59)</f>
        <v>-56908.759999999995</v>
      </c>
      <c r="E60" s="13"/>
      <c r="F60" s="32">
        <f>IF(D$12=0,0,D60/D$12)</f>
        <v>0</v>
      </c>
      <c r="G60" s="13"/>
      <c r="H60" s="31">
        <f>SUM(H57:H59)</f>
        <v>-67675.849999999991</v>
      </c>
      <c r="I60" s="13"/>
      <c r="J60" s="32">
        <f>IF(H$12=0,0,H60/H$12)</f>
        <v>0</v>
      </c>
      <c r="K60" s="16"/>
      <c r="L60" s="31">
        <f>+D60-H60</f>
        <v>10767.089999999997</v>
      </c>
      <c r="M60" s="16"/>
      <c r="N60" s="32">
        <f>IF(H60=0,0,L60/H60)</f>
        <v>-0.15909796478359708</v>
      </c>
      <c r="O60" s="25"/>
      <c r="P60" s="31">
        <f>SUM(P57:P59)</f>
        <v>-56908.759999999995</v>
      </c>
      <c r="Q60" s="13"/>
      <c r="R60" s="32">
        <f>IF(P$12=0,0,P60/P$12)</f>
        <v>0</v>
      </c>
      <c r="S60" s="13"/>
      <c r="T60" s="31">
        <f>SUM(T57:T59)</f>
        <v>-67675.849999999991</v>
      </c>
      <c r="U60" s="13"/>
      <c r="V60" s="32">
        <f>IF(T$12=0,0,T60/T$12)</f>
        <v>0</v>
      </c>
      <c r="W60" s="16"/>
      <c r="X60" s="31">
        <f>+P60-T60</f>
        <v>10767.089999999997</v>
      </c>
      <c r="Y60" s="16"/>
      <c r="Z60" s="32">
        <f>IF(T60=0,0,X60/T60)</f>
        <v>-0.15909796478359708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9">
        <v>44109.41401079861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62" t="s">
        <v>313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6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9379.26</v>
      </c>
      <c r="E18" s="21"/>
      <c r="F18" s="34">
        <f t="shared" ref="F18:F27" si="0">IF(D$12=0,0,D18/D$12)</f>
        <v>0</v>
      </c>
      <c r="G18" s="21"/>
      <c r="H18" s="21">
        <f>SUM(OSRRefH22x_0)</f>
        <v>8181.91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1197.3500000000004</v>
      </c>
      <c r="M18" s="4"/>
      <c r="N18" s="34">
        <f t="shared" ref="N18:N27" si="3">IF(H18=0,0,L18/H18)</f>
        <v>0.14634113550503494</v>
      </c>
      <c r="O18" s="10"/>
      <c r="P18" s="21">
        <f>SUM(OSRRefP22x_0)</f>
        <v>9379.26</v>
      </c>
      <c r="Q18" s="21"/>
      <c r="R18" s="34">
        <f t="shared" ref="R18:R27" si="4">IF(P$12=0,0,P18/P$12)</f>
        <v>0</v>
      </c>
      <c r="S18" s="21"/>
      <c r="T18" s="21">
        <f>SUM(OSRRefT22x_0)</f>
        <v>8181.91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1197.3500000000004</v>
      </c>
      <c r="Y18" s="4"/>
      <c r="Z18" s="34">
        <f t="shared" ref="Z18:Z27" si="7">IF(T18=0,0,X18/T18)</f>
        <v>0.14634113550503494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2556.7599999999998</v>
      </c>
      <c r="E19" s="1"/>
      <c r="F19" s="5">
        <f t="shared" si="0"/>
        <v>0</v>
      </c>
      <c r="G19" s="1"/>
      <c r="H19" s="1">
        <f>SUM(OSRRefH22_0x_0)</f>
        <v>3583.46</v>
      </c>
      <c r="I19" s="1"/>
      <c r="J19" s="5">
        <f t="shared" si="1"/>
        <v>0</v>
      </c>
      <c r="K19" s="1"/>
      <c r="L19" s="1">
        <f t="shared" si="2"/>
        <v>-1026.7000000000003</v>
      </c>
      <c r="M19" s="1"/>
      <c r="N19" s="5">
        <f t="shared" si="3"/>
        <v>-0.28651080240884513</v>
      </c>
      <c r="O19" s="14"/>
      <c r="P19" s="1">
        <f>SUM(OSRRefP22_0x_0)</f>
        <v>2556.7599999999998</v>
      </c>
      <c r="Q19" s="1"/>
      <c r="R19" s="5">
        <f t="shared" si="4"/>
        <v>0</v>
      </c>
      <c r="S19" s="1"/>
      <c r="T19" s="1">
        <f>SUM(OSRRefT22_0x_0)</f>
        <v>3583.46</v>
      </c>
      <c r="U19" s="1"/>
      <c r="V19" s="5">
        <f t="shared" si="5"/>
        <v>0</v>
      </c>
      <c r="W19" s="1"/>
      <c r="X19" s="1">
        <f t="shared" si="6"/>
        <v>-1026.7000000000003</v>
      </c>
      <c r="Y19" s="1"/>
      <c r="Z19" s="5">
        <f t="shared" si="7"/>
        <v>-0.28651080240884513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318.56</v>
      </c>
      <c r="E20" s="3"/>
      <c r="F20" s="7">
        <f t="shared" si="0"/>
        <v>0</v>
      </c>
      <c r="G20" s="3"/>
      <c r="H20" s="8">
        <v>316.26</v>
      </c>
      <c r="I20" s="3"/>
      <c r="J20" s="7">
        <f t="shared" si="1"/>
        <v>0</v>
      </c>
      <c r="K20" s="3"/>
      <c r="L20" s="8">
        <f t="shared" si="2"/>
        <v>2.3000000000000114</v>
      </c>
      <c r="M20" s="3"/>
      <c r="N20" s="7">
        <f t="shared" si="3"/>
        <v>7.2724973123379864E-3</v>
      </c>
      <c r="O20" s="11"/>
      <c r="P20" s="8">
        <v>318.56</v>
      </c>
      <c r="Q20" s="3"/>
      <c r="R20" s="7">
        <f t="shared" si="4"/>
        <v>0</v>
      </c>
      <c r="S20" s="3"/>
      <c r="T20" s="8">
        <v>316.26</v>
      </c>
      <c r="U20" s="3"/>
      <c r="V20" s="7">
        <f t="shared" si="5"/>
        <v>0</v>
      </c>
      <c r="W20" s="3"/>
      <c r="X20" s="8">
        <f t="shared" si="6"/>
        <v>2.3000000000000114</v>
      </c>
      <c r="Y20" s="3"/>
      <c r="Z20" s="7">
        <f t="shared" si="7"/>
        <v>7.2724973123379864E-3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288.58999999999997</v>
      </c>
      <c r="E21" s="3"/>
      <c r="F21" s="7">
        <f t="shared" si="0"/>
        <v>0</v>
      </c>
      <c r="G21" s="3"/>
      <c r="H21" s="8">
        <v>279.89</v>
      </c>
      <c r="I21" s="3"/>
      <c r="J21" s="7">
        <f t="shared" si="1"/>
        <v>0</v>
      </c>
      <c r="K21" s="3"/>
      <c r="L21" s="8">
        <f t="shared" si="2"/>
        <v>8.6999999999999886</v>
      </c>
      <c r="M21" s="3"/>
      <c r="N21" s="7">
        <f t="shared" si="3"/>
        <v>3.1083640001429092E-2</v>
      </c>
      <c r="O21" s="11"/>
      <c r="P21" s="8">
        <v>288.58999999999997</v>
      </c>
      <c r="Q21" s="3"/>
      <c r="R21" s="7">
        <f t="shared" si="4"/>
        <v>0</v>
      </c>
      <c r="S21" s="3"/>
      <c r="T21" s="8">
        <v>279.89</v>
      </c>
      <c r="U21" s="3"/>
      <c r="V21" s="7">
        <f t="shared" si="5"/>
        <v>0</v>
      </c>
      <c r="W21" s="3"/>
      <c r="X21" s="8">
        <f t="shared" si="6"/>
        <v>8.6999999999999886</v>
      </c>
      <c r="Y21" s="3"/>
      <c r="Z21" s="7">
        <f t="shared" si="7"/>
        <v>3.1083640001429092E-2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696.16</v>
      </c>
      <c r="E22" s="3"/>
      <c r="F22" s="7">
        <f t="shared" si="0"/>
        <v>0</v>
      </c>
      <c r="G22" s="3"/>
      <c r="H22" s="8">
        <v>695.14</v>
      </c>
      <c r="I22" s="3"/>
      <c r="J22" s="7">
        <f t="shared" si="1"/>
        <v>0</v>
      </c>
      <c r="K22" s="3"/>
      <c r="L22" s="8">
        <f t="shared" si="2"/>
        <v>1.0199999999999818</v>
      </c>
      <c r="M22" s="3"/>
      <c r="N22" s="7">
        <f t="shared" si="3"/>
        <v>1.4673303219495091E-3</v>
      </c>
      <c r="O22" s="11"/>
      <c r="P22" s="8">
        <v>696.16</v>
      </c>
      <c r="Q22" s="3"/>
      <c r="R22" s="7">
        <f t="shared" si="4"/>
        <v>0</v>
      </c>
      <c r="S22" s="3"/>
      <c r="T22" s="8">
        <v>695.14</v>
      </c>
      <c r="U22" s="3"/>
      <c r="V22" s="7">
        <f t="shared" si="5"/>
        <v>0</v>
      </c>
      <c r="W22" s="3"/>
      <c r="X22" s="8">
        <f t="shared" si="6"/>
        <v>1.0199999999999818</v>
      </c>
      <c r="Y22" s="3"/>
      <c r="Z22" s="7">
        <f t="shared" si="7"/>
        <v>1.4673303219495091E-3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10.83</v>
      </c>
      <c r="E23" s="3"/>
      <c r="F23" s="7">
        <f t="shared" si="0"/>
        <v>0</v>
      </c>
      <c r="G23" s="3"/>
      <c r="H23" s="8">
        <v>10.75</v>
      </c>
      <c r="I23" s="3"/>
      <c r="J23" s="7">
        <f t="shared" si="1"/>
        <v>0</v>
      </c>
      <c r="K23" s="3"/>
      <c r="L23" s="8">
        <f t="shared" si="2"/>
        <v>8.0000000000000071E-2</v>
      </c>
      <c r="M23" s="3"/>
      <c r="N23" s="7">
        <f t="shared" si="3"/>
        <v>7.4418604651162856E-3</v>
      </c>
      <c r="O23" s="11"/>
      <c r="P23" s="8">
        <v>10.83</v>
      </c>
      <c r="Q23" s="3"/>
      <c r="R23" s="7">
        <f t="shared" si="4"/>
        <v>0</v>
      </c>
      <c r="S23" s="3"/>
      <c r="T23" s="8">
        <v>10.75</v>
      </c>
      <c r="U23" s="3"/>
      <c r="V23" s="7">
        <f t="shared" si="5"/>
        <v>0</v>
      </c>
      <c r="W23" s="3"/>
      <c r="X23" s="8">
        <f t="shared" si="6"/>
        <v>8.0000000000000071E-2</v>
      </c>
      <c r="Y23" s="3"/>
      <c r="Z23" s="7">
        <f t="shared" si="7"/>
        <v>7.4418604651162856E-3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694.91</v>
      </c>
      <c r="E24" s="3"/>
      <c r="F24" s="7">
        <f t="shared" si="0"/>
        <v>0</v>
      </c>
      <c r="G24" s="3"/>
      <c r="H24" s="8">
        <v>429.26</v>
      </c>
      <c r="I24" s="3"/>
      <c r="J24" s="7">
        <f t="shared" si="1"/>
        <v>0</v>
      </c>
      <c r="K24" s="3"/>
      <c r="L24" s="8">
        <f t="shared" si="2"/>
        <v>265.64999999999998</v>
      </c>
      <c r="M24" s="3"/>
      <c r="N24" s="7">
        <f t="shared" si="3"/>
        <v>0.61885570516703159</v>
      </c>
      <c r="O24" s="11"/>
      <c r="P24" s="8">
        <v>694.91</v>
      </c>
      <c r="Q24" s="3"/>
      <c r="R24" s="7">
        <f t="shared" si="4"/>
        <v>0</v>
      </c>
      <c r="S24" s="3"/>
      <c r="T24" s="8">
        <v>429.26</v>
      </c>
      <c r="U24" s="3"/>
      <c r="V24" s="7">
        <f t="shared" si="5"/>
        <v>0</v>
      </c>
      <c r="W24" s="3"/>
      <c r="X24" s="8">
        <f t="shared" si="6"/>
        <v>265.64999999999998</v>
      </c>
      <c r="Y24" s="3"/>
      <c r="Z24" s="7">
        <f t="shared" si="7"/>
        <v>0.61885570516703159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>
        <v>209.99</v>
      </c>
      <c r="E25" s="3"/>
      <c r="F25" s="7">
        <f t="shared" si="0"/>
        <v>0</v>
      </c>
      <c r="G25" s="3"/>
      <c r="H25" s="8">
        <v>703.19</v>
      </c>
      <c r="I25" s="3"/>
      <c r="J25" s="7">
        <f t="shared" si="1"/>
        <v>0</v>
      </c>
      <c r="K25" s="3"/>
      <c r="L25" s="8">
        <f t="shared" si="2"/>
        <v>-493.20000000000005</v>
      </c>
      <c r="M25" s="3"/>
      <c r="N25" s="7">
        <f t="shared" si="3"/>
        <v>-0.70137516176282366</v>
      </c>
      <c r="O25" s="11"/>
      <c r="P25" s="8">
        <v>209.99</v>
      </c>
      <c r="Q25" s="3"/>
      <c r="R25" s="7">
        <f t="shared" si="4"/>
        <v>0</v>
      </c>
      <c r="S25" s="3"/>
      <c r="T25" s="8">
        <v>703.19</v>
      </c>
      <c r="U25" s="3"/>
      <c r="V25" s="7">
        <f t="shared" si="5"/>
        <v>0</v>
      </c>
      <c r="W25" s="3"/>
      <c r="X25" s="8">
        <f t="shared" si="6"/>
        <v>-493.20000000000005</v>
      </c>
      <c r="Y25" s="3"/>
      <c r="Z25" s="7">
        <f t="shared" si="7"/>
        <v>-0.70137516176282366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>
        <v>193.72</v>
      </c>
      <c r="E26" s="3"/>
      <c r="F26" s="7">
        <f t="shared" si="0"/>
        <v>0</v>
      </c>
      <c r="G26" s="3"/>
      <c r="H26" s="8">
        <v>1038.76</v>
      </c>
      <c r="I26" s="3"/>
      <c r="J26" s="7">
        <f t="shared" si="1"/>
        <v>0</v>
      </c>
      <c r="K26" s="3"/>
      <c r="L26" s="8">
        <f t="shared" si="2"/>
        <v>-845.04</v>
      </c>
      <c r="M26" s="3"/>
      <c r="N26" s="7">
        <f t="shared" si="3"/>
        <v>-0.81350841387808537</v>
      </c>
      <c r="O26" s="11"/>
      <c r="P26" s="8">
        <v>193.72</v>
      </c>
      <c r="Q26" s="3"/>
      <c r="R26" s="7">
        <f t="shared" si="4"/>
        <v>0</v>
      </c>
      <c r="S26" s="3"/>
      <c r="T26" s="8">
        <v>1038.76</v>
      </c>
      <c r="U26" s="3"/>
      <c r="V26" s="7">
        <f t="shared" si="5"/>
        <v>0</v>
      </c>
      <c r="W26" s="3"/>
      <c r="X26" s="8">
        <f t="shared" si="6"/>
        <v>-845.04</v>
      </c>
      <c r="Y26" s="3"/>
      <c r="Z26" s="7">
        <f t="shared" si="7"/>
        <v>-0.81350841387808537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8">
        <v>144</v>
      </c>
      <c r="E27" s="3"/>
      <c r="F27" s="7">
        <f t="shared" si="0"/>
        <v>0</v>
      </c>
      <c r="G27" s="3"/>
      <c r="H27" s="8">
        <v>110.21</v>
      </c>
      <c r="I27" s="3"/>
      <c r="J27" s="7">
        <f t="shared" si="1"/>
        <v>0</v>
      </c>
      <c r="K27" s="3"/>
      <c r="L27" s="8">
        <f t="shared" si="2"/>
        <v>33.790000000000006</v>
      </c>
      <c r="M27" s="3"/>
      <c r="N27" s="7">
        <f t="shared" si="3"/>
        <v>0.30659649759549956</v>
      </c>
      <c r="O27" s="11"/>
      <c r="P27" s="8">
        <v>144</v>
      </c>
      <c r="Q27" s="3"/>
      <c r="R27" s="7">
        <f t="shared" si="4"/>
        <v>0</v>
      </c>
      <c r="S27" s="3"/>
      <c r="T27" s="8">
        <v>110.21</v>
      </c>
      <c r="U27" s="3"/>
      <c r="V27" s="7">
        <f t="shared" si="5"/>
        <v>0</v>
      </c>
      <c r="W27" s="3"/>
      <c r="X27" s="8">
        <f t="shared" si="6"/>
        <v>33.790000000000006</v>
      </c>
      <c r="Y27" s="3"/>
      <c r="Z27" s="7">
        <f t="shared" si="7"/>
        <v>0.30659649759549956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5039.75</v>
      </c>
      <c r="E28" s="1"/>
      <c r="F28" s="5">
        <f t="shared" ref="F28:F34" si="8">IF(D$12=0,0,D28/D$12)</f>
        <v>0</v>
      </c>
      <c r="G28" s="1"/>
      <c r="H28" s="1">
        <f>SUM(OSRRefH22_1x_0)</f>
        <v>3359.86</v>
      </c>
      <c r="I28" s="1"/>
      <c r="J28" s="5">
        <f t="shared" ref="J28:J34" si="9">IF(H$12=0,0,H28/H$12)</f>
        <v>0</v>
      </c>
      <c r="K28" s="1"/>
      <c r="L28" s="1">
        <f t="shared" ref="L28:L34" si="10">+D28-H28</f>
        <v>1679.8899999999999</v>
      </c>
      <c r="M28" s="1"/>
      <c r="N28" s="5">
        <f t="shared" ref="N28:N34" si="11">IF(H28=0,0,L28/H28)</f>
        <v>0.49998809474204275</v>
      </c>
      <c r="O28" s="14"/>
      <c r="P28" s="1">
        <f>SUM(OSRRefP22_1x_0)</f>
        <v>5039.75</v>
      </c>
      <c r="Q28" s="1"/>
      <c r="R28" s="5">
        <f t="shared" ref="R28:R34" si="12">IF(P$12=0,0,P28/P$12)</f>
        <v>0</v>
      </c>
      <c r="S28" s="1"/>
      <c r="T28" s="1">
        <f>SUM(OSRRefT22_1x_0)</f>
        <v>3359.86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1679.8899999999999</v>
      </c>
      <c r="Y28" s="1"/>
      <c r="Z28" s="5">
        <f t="shared" ref="Z28:Z34" si="15">IF(T28=0,0,X28/T28)</f>
        <v>0.49998809474204275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8">
        <v>5039.75</v>
      </c>
      <c r="E29" s="3"/>
      <c r="F29" s="7">
        <f t="shared" si="8"/>
        <v>0</v>
      </c>
      <c r="G29" s="3"/>
      <c r="H29" s="8">
        <v>3359.86</v>
      </c>
      <c r="I29" s="3"/>
      <c r="J29" s="7">
        <f t="shared" si="9"/>
        <v>0</v>
      </c>
      <c r="K29" s="3"/>
      <c r="L29" s="8">
        <f t="shared" si="10"/>
        <v>1679.8899999999999</v>
      </c>
      <c r="M29" s="3"/>
      <c r="N29" s="7">
        <f t="shared" si="11"/>
        <v>0.49998809474204275</v>
      </c>
      <c r="O29" s="11"/>
      <c r="P29" s="8">
        <v>5039.75</v>
      </c>
      <c r="Q29" s="3"/>
      <c r="R29" s="7">
        <f t="shared" si="12"/>
        <v>0</v>
      </c>
      <c r="S29" s="3"/>
      <c r="T29" s="8">
        <v>3359.86</v>
      </c>
      <c r="U29" s="3"/>
      <c r="V29" s="7">
        <f t="shared" si="13"/>
        <v>0</v>
      </c>
      <c r="W29" s="3"/>
      <c r="X29" s="8">
        <f t="shared" si="14"/>
        <v>1679.8899999999999</v>
      </c>
      <c r="Y29" s="3"/>
      <c r="Z29" s="7">
        <f t="shared" si="15"/>
        <v>0.49998809474204275</v>
      </c>
    </row>
    <row r="30" spans="1:26" s="27" customFormat="1" outlineLevel="1" collapsed="1" x14ac:dyDescent="0.25">
      <c r="A30" s="28"/>
      <c r="B30" s="14" t="str">
        <f>CONCATENATE("     ","Insurance                                         ")</f>
        <v xml:space="preserve">     Insurance                                         </v>
      </c>
      <c r="C30" s="14"/>
      <c r="D30" s="1">
        <f>SUM(OSRRefD22_2x_0)</f>
        <v>24.56</v>
      </c>
      <c r="E30" s="1"/>
      <c r="F30" s="5">
        <f t="shared" si="8"/>
        <v>0</v>
      </c>
      <c r="G30" s="1"/>
      <c r="H30" s="1">
        <f>SUM(OSRRefH22_2x_0)</f>
        <v>24.56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24.56</v>
      </c>
      <c r="Q30" s="1"/>
      <c r="R30" s="5">
        <f t="shared" si="12"/>
        <v>0</v>
      </c>
      <c r="S30" s="1"/>
      <c r="T30" s="1">
        <f>SUM(OSRRefT22_2x_0)</f>
        <v>24.56</v>
      </c>
      <c r="U30" s="1"/>
      <c r="V30" s="5">
        <f t="shared" si="13"/>
        <v>0</v>
      </c>
      <c r="W30" s="1"/>
      <c r="X30" s="1">
        <f t="shared" si="14"/>
        <v>0</v>
      </c>
      <c r="Y30" s="1"/>
      <c r="Z30" s="5">
        <f t="shared" si="15"/>
        <v>0</v>
      </c>
    </row>
    <row r="31" spans="1:26" s="24" customFormat="1" hidden="1" outlineLevel="2" x14ac:dyDescent="0.25">
      <c r="A31" s="29"/>
      <c r="B31" s="11" t="str">
        <f>CONCATENATE("          ", "6314", " - ", "LIABILITY INSURANCE")</f>
        <v xml:space="preserve">          6314 - LIABILITY INSURANCE</v>
      </c>
      <c r="C31" s="11"/>
      <c r="D31" s="8">
        <v>24.56</v>
      </c>
      <c r="E31" s="3"/>
      <c r="F31" s="7">
        <f t="shared" si="8"/>
        <v>0</v>
      </c>
      <c r="G31" s="3"/>
      <c r="H31" s="8">
        <v>24.56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1"/>
      <c r="P31" s="8">
        <v>24.56</v>
      </c>
      <c r="Q31" s="3"/>
      <c r="R31" s="7">
        <f t="shared" si="12"/>
        <v>0</v>
      </c>
      <c r="S31" s="3"/>
      <c r="T31" s="8">
        <v>24.56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7" customFormat="1" outlineLevel="1" collapsed="1" x14ac:dyDescent="0.25">
      <c r="A32" s="28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1685.19</v>
      </c>
      <c r="E32" s="1"/>
      <c r="F32" s="5">
        <f t="shared" si="8"/>
        <v>0</v>
      </c>
      <c r="G32" s="1"/>
      <c r="H32" s="1">
        <f>SUM(OSRRefH22_3x_0)</f>
        <v>1405.95</v>
      </c>
      <c r="I32" s="1"/>
      <c r="J32" s="5">
        <f t="shared" si="9"/>
        <v>0</v>
      </c>
      <c r="K32" s="1"/>
      <c r="L32" s="1">
        <f t="shared" si="10"/>
        <v>279.24</v>
      </c>
      <c r="M32" s="1"/>
      <c r="N32" s="5">
        <f t="shared" si="11"/>
        <v>0.19861303744798892</v>
      </c>
      <c r="O32" s="14"/>
      <c r="P32" s="1">
        <f>SUM(OSRRefP22_3x_0)</f>
        <v>1685.19</v>
      </c>
      <c r="Q32" s="1"/>
      <c r="R32" s="5">
        <f t="shared" si="12"/>
        <v>0</v>
      </c>
      <c r="S32" s="1"/>
      <c r="T32" s="1">
        <f>SUM(OSRRefT22_3x_0)</f>
        <v>1405.95</v>
      </c>
      <c r="U32" s="1"/>
      <c r="V32" s="5">
        <f t="shared" si="13"/>
        <v>0</v>
      </c>
      <c r="W32" s="1"/>
      <c r="X32" s="1">
        <f t="shared" si="14"/>
        <v>279.24</v>
      </c>
      <c r="Y32" s="1"/>
      <c r="Z32" s="5">
        <f t="shared" si="15"/>
        <v>0.19861303744798892</v>
      </c>
    </row>
    <row r="33" spans="1:26" s="24" customFormat="1" hidden="1" outlineLevel="2" x14ac:dyDescent="0.25">
      <c r="A33" s="29"/>
      <c r="B33" s="11" t="str">
        <f>CONCATENATE("          ", "6373", " - ", "MAINTENANCE CONTRACTS")</f>
        <v xml:space="preserve">          6373 - MAINTENANCE CONTRACTS</v>
      </c>
      <c r="C33" s="11"/>
      <c r="D33" s="8">
        <v>866</v>
      </c>
      <c r="E33" s="3"/>
      <c r="F33" s="7">
        <f t="shared" si="8"/>
        <v>0</v>
      </c>
      <c r="G33" s="3"/>
      <c r="H33" s="8">
        <v>1405.95</v>
      </c>
      <c r="I33" s="3"/>
      <c r="J33" s="7">
        <f t="shared" si="9"/>
        <v>0</v>
      </c>
      <c r="K33" s="3"/>
      <c r="L33" s="8">
        <f t="shared" si="10"/>
        <v>-539.95000000000005</v>
      </c>
      <c r="M33" s="3"/>
      <c r="N33" s="7">
        <f t="shared" si="11"/>
        <v>-0.3840463743376365</v>
      </c>
      <c r="O33" s="11"/>
      <c r="P33" s="8">
        <v>866</v>
      </c>
      <c r="Q33" s="3"/>
      <c r="R33" s="7">
        <f t="shared" si="12"/>
        <v>0</v>
      </c>
      <c r="S33" s="3"/>
      <c r="T33" s="8">
        <v>1405.95</v>
      </c>
      <c r="U33" s="3"/>
      <c r="V33" s="7">
        <f t="shared" si="13"/>
        <v>0</v>
      </c>
      <c r="W33" s="3"/>
      <c r="X33" s="8">
        <f t="shared" si="14"/>
        <v>-539.95000000000005</v>
      </c>
      <c r="Y33" s="3"/>
      <c r="Z33" s="7">
        <f t="shared" si="15"/>
        <v>-0.3840463743376365</v>
      </c>
    </row>
    <row r="34" spans="1:26" s="24" customFormat="1" hidden="1" outlineLevel="2" x14ac:dyDescent="0.25">
      <c r="A34" s="29"/>
      <c r="B34" s="11" t="str">
        <f>CONCATENATE("          ", "6375", " - ", "OUTSIDE REPAIRS &amp; MAINTENANCE")</f>
        <v xml:space="preserve">          6375 - OUTSIDE REPAIRS &amp; MAINTENANCE</v>
      </c>
      <c r="C34" s="11"/>
      <c r="D34" s="8">
        <v>819.19</v>
      </c>
      <c r="E34" s="3"/>
      <c r="F34" s="7">
        <f t="shared" si="8"/>
        <v>0</v>
      </c>
      <c r="G34" s="3"/>
      <c r="H34" s="8"/>
      <c r="I34" s="3"/>
      <c r="J34" s="7">
        <f t="shared" si="9"/>
        <v>0</v>
      </c>
      <c r="K34" s="3"/>
      <c r="L34" s="8">
        <f t="shared" si="10"/>
        <v>819.19</v>
      </c>
      <c r="M34" s="3"/>
      <c r="N34" s="7">
        <f t="shared" si="11"/>
        <v>0</v>
      </c>
      <c r="O34" s="11"/>
      <c r="P34" s="8">
        <v>819.19</v>
      </c>
      <c r="Q34" s="3"/>
      <c r="R34" s="7">
        <f t="shared" si="12"/>
        <v>0</v>
      </c>
      <c r="S34" s="3"/>
      <c r="T34" s="8"/>
      <c r="U34" s="3"/>
      <c r="V34" s="7">
        <f t="shared" si="13"/>
        <v>0</v>
      </c>
      <c r="W34" s="3"/>
      <c r="X34" s="8">
        <f t="shared" si="14"/>
        <v>819.19</v>
      </c>
      <c r="Y34" s="3"/>
      <c r="Z34" s="7">
        <f t="shared" si="15"/>
        <v>0</v>
      </c>
    </row>
    <row r="35" spans="1:26" s="27" customFormat="1" outlineLevel="1" collapsed="1" x14ac:dyDescent="0.25">
      <c r="A35" s="28"/>
      <c r="B35" s="14" t="str">
        <f>CONCATENATE("     ","Services                                          ")</f>
        <v xml:space="preserve">     Services                                          </v>
      </c>
      <c r="C35" s="14"/>
      <c r="D35" s="1">
        <f>SUM(OSRRefD22_4x_0)</f>
        <v>0</v>
      </c>
      <c r="E35" s="1"/>
      <c r="F35" s="5">
        <f t="shared" ref="F35:F40" si="16">IF(D$12=0,0,D35/D$12)</f>
        <v>0</v>
      </c>
      <c r="G35" s="1"/>
      <c r="H35" s="1">
        <f>SUM(OSRRefH22_4x_0)</f>
        <v>8.84</v>
      </c>
      <c r="I35" s="1"/>
      <c r="J35" s="5">
        <f t="shared" ref="J35:J40" si="17">IF(H$12=0,0,H35/H$12)</f>
        <v>0</v>
      </c>
      <c r="K35" s="1"/>
      <c r="L35" s="1">
        <f t="shared" ref="L35:L40" si="18">+D35-H35</f>
        <v>-8.84</v>
      </c>
      <c r="M35" s="1"/>
      <c r="N35" s="5">
        <f t="shared" ref="N35:N40" si="19">IF(H35=0,0,L35/H35)</f>
        <v>-1</v>
      </c>
      <c r="O35" s="14"/>
      <c r="P35" s="1">
        <f>SUM(OSRRefP22_4x_0)</f>
        <v>0</v>
      </c>
      <c r="Q35" s="1"/>
      <c r="R35" s="5">
        <f t="shared" ref="R35:R40" si="20">IF(P$12=0,0,P35/P$12)</f>
        <v>0</v>
      </c>
      <c r="S35" s="1"/>
      <c r="T35" s="1">
        <f>SUM(OSRRefT22_4x_0)</f>
        <v>8.84</v>
      </c>
      <c r="U35" s="1"/>
      <c r="V35" s="5">
        <f t="shared" ref="V35:V40" si="21">IF(T$12=0,0,T35/T$12)</f>
        <v>0</v>
      </c>
      <c r="W35" s="1"/>
      <c r="X35" s="1">
        <f t="shared" ref="X35:X40" si="22">+P35-T35</f>
        <v>-8.84</v>
      </c>
      <c r="Y35" s="1"/>
      <c r="Z35" s="5">
        <f t="shared" ref="Z35:Z40" si="23">IF(T35=0,0,X35/T35)</f>
        <v>-1</v>
      </c>
    </row>
    <row r="36" spans="1:26" s="24" customFormat="1" hidden="1" outlineLevel="2" x14ac:dyDescent="0.25">
      <c r="A36" s="29"/>
      <c r="B36" s="11" t="str">
        <f>CONCATENATE("          ", "6286", " - ", "LAUNDRY EXPENSE")</f>
        <v xml:space="preserve">          6286 - LAUNDRY EXPENSE</v>
      </c>
      <c r="C36" s="11"/>
      <c r="D36" s="8"/>
      <c r="E36" s="3"/>
      <c r="F36" s="7">
        <f t="shared" si="16"/>
        <v>0</v>
      </c>
      <c r="G36" s="3"/>
      <c r="H36" s="8">
        <v>8.84</v>
      </c>
      <c r="I36" s="3"/>
      <c r="J36" s="7">
        <f t="shared" si="17"/>
        <v>0</v>
      </c>
      <c r="K36" s="3"/>
      <c r="L36" s="8">
        <f t="shared" si="18"/>
        <v>-8.84</v>
      </c>
      <c r="M36" s="3"/>
      <c r="N36" s="7">
        <f t="shared" si="19"/>
        <v>-1</v>
      </c>
      <c r="O36" s="11"/>
      <c r="P36" s="8"/>
      <c r="Q36" s="3"/>
      <c r="R36" s="7">
        <f t="shared" si="20"/>
        <v>0</v>
      </c>
      <c r="S36" s="3"/>
      <c r="T36" s="8">
        <v>8.84</v>
      </c>
      <c r="U36" s="3"/>
      <c r="V36" s="7">
        <f t="shared" si="21"/>
        <v>0</v>
      </c>
      <c r="W36" s="3"/>
      <c r="X36" s="8">
        <f t="shared" si="22"/>
        <v>-8.84</v>
      </c>
      <c r="Y36" s="3"/>
      <c r="Z36" s="7">
        <f t="shared" si="23"/>
        <v>-1</v>
      </c>
    </row>
    <row r="37" spans="1:26" s="27" customFormat="1" outlineLevel="1" collapsed="1" x14ac:dyDescent="0.25">
      <c r="A37" s="28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-225.81</v>
      </c>
      <c r="I37" s="1"/>
      <c r="J37" s="5">
        <f t="shared" si="17"/>
        <v>0</v>
      </c>
      <c r="K37" s="1"/>
      <c r="L37" s="1">
        <f t="shared" si="18"/>
        <v>225.81</v>
      </c>
      <c r="M37" s="1"/>
      <c r="N37" s="5">
        <f t="shared" si="19"/>
        <v>-1</v>
      </c>
      <c r="O37" s="14"/>
      <c r="P37" s="1">
        <f>SUM(OSRRefP22_5x_0)</f>
        <v>0</v>
      </c>
      <c r="Q37" s="1"/>
      <c r="R37" s="5">
        <f t="shared" si="20"/>
        <v>0</v>
      </c>
      <c r="S37" s="1"/>
      <c r="T37" s="1">
        <f>SUM(OSRRefT22_5x_0)</f>
        <v>-225.81</v>
      </c>
      <c r="U37" s="1"/>
      <c r="V37" s="5">
        <f t="shared" si="21"/>
        <v>0</v>
      </c>
      <c r="W37" s="1"/>
      <c r="X37" s="1">
        <f t="shared" si="22"/>
        <v>225.81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"6234", " - ", "EXPENDABLE SUPPLIES &amp; EQUIPMEN")</f>
        <v xml:space="preserve">          6234 - EXPENDABLE SUPPLIES &amp; EQUIPMEN</v>
      </c>
      <c r="C38" s="11"/>
      <c r="D38" s="8"/>
      <c r="E38" s="3"/>
      <c r="F38" s="7">
        <f t="shared" si="16"/>
        <v>0</v>
      </c>
      <c r="G38" s="3"/>
      <c r="H38" s="8">
        <v>-225.81</v>
      </c>
      <c r="I38" s="3"/>
      <c r="J38" s="7">
        <f t="shared" si="17"/>
        <v>0</v>
      </c>
      <c r="K38" s="3"/>
      <c r="L38" s="8">
        <f t="shared" si="18"/>
        <v>225.81</v>
      </c>
      <c r="M38" s="3"/>
      <c r="N38" s="7">
        <f t="shared" si="19"/>
        <v>-1</v>
      </c>
      <c r="O38" s="11"/>
      <c r="P38" s="8"/>
      <c r="Q38" s="3"/>
      <c r="R38" s="7">
        <f t="shared" si="20"/>
        <v>0</v>
      </c>
      <c r="S38" s="3"/>
      <c r="T38" s="8">
        <v>-225.81</v>
      </c>
      <c r="U38" s="3"/>
      <c r="V38" s="7">
        <f t="shared" si="21"/>
        <v>0</v>
      </c>
      <c r="W38" s="3"/>
      <c r="X38" s="8">
        <f t="shared" si="22"/>
        <v>225.81</v>
      </c>
      <c r="Y38" s="3"/>
      <c r="Z38" s="7">
        <f t="shared" si="23"/>
        <v>-1</v>
      </c>
    </row>
    <row r="39" spans="1:26" s="27" customFormat="1" outlineLevel="1" collapsed="1" x14ac:dyDescent="0.25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73</v>
      </c>
      <c r="E39" s="1"/>
      <c r="F39" s="5">
        <f t="shared" si="16"/>
        <v>0</v>
      </c>
      <c r="G39" s="1"/>
      <c r="H39" s="1">
        <f>SUM(OSRRefH22_6x_0)</f>
        <v>25.05</v>
      </c>
      <c r="I39" s="1"/>
      <c r="J39" s="5">
        <f t="shared" si="17"/>
        <v>0</v>
      </c>
      <c r="K39" s="1"/>
      <c r="L39" s="1">
        <f t="shared" si="18"/>
        <v>47.95</v>
      </c>
      <c r="M39" s="1"/>
      <c r="N39" s="5">
        <f t="shared" si="19"/>
        <v>1.9141716566866267</v>
      </c>
      <c r="O39" s="14"/>
      <c r="P39" s="1">
        <f>SUM(OSRRefP22_6x_0)</f>
        <v>73</v>
      </c>
      <c r="Q39" s="1"/>
      <c r="R39" s="5">
        <f t="shared" si="20"/>
        <v>0</v>
      </c>
      <c r="S39" s="1"/>
      <c r="T39" s="1">
        <f>SUM(OSRRefT22_6x_0)</f>
        <v>25.05</v>
      </c>
      <c r="U39" s="1"/>
      <c r="V39" s="5">
        <f t="shared" si="21"/>
        <v>0</v>
      </c>
      <c r="W39" s="1"/>
      <c r="X39" s="1">
        <f t="shared" si="22"/>
        <v>47.95</v>
      </c>
      <c r="Y39" s="1"/>
      <c r="Z39" s="5">
        <f t="shared" si="23"/>
        <v>1.9141716566866267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8">
        <v>73</v>
      </c>
      <c r="E40" s="3"/>
      <c r="F40" s="7">
        <f t="shared" si="16"/>
        <v>0</v>
      </c>
      <c r="G40" s="3"/>
      <c r="H40" s="8">
        <v>25.05</v>
      </c>
      <c r="I40" s="3"/>
      <c r="J40" s="7">
        <f t="shared" si="17"/>
        <v>0</v>
      </c>
      <c r="K40" s="3"/>
      <c r="L40" s="8">
        <f t="shared" si="18"/>
        <v>47.95</v>
      </c>
      <c r="M40" s="3"/>
      <c r="N40" s="7">
        <f t="shared" si="19"/>
        <v>1.9141716566866267</v>
      </c>
      <c r="O40" s="11"/>
      <c r="P40" s="8">
        <v>73</v>
      </c>
      <c r="Q40" s="3"/>
      <c r="R40" s="7">
        <f t="shared" si="20"/>
        <v>0</v>
      </c>
      <c r="S40" s="3"/>
      <c r="T40" s="8">
        <v>25.05</v>
      </c>
      <c r="U40" s="3"/>
      <c r="V40" s="7">
        <f t="shared" si="21"/>
        <v>0</v>
      </c>
      <c r="W40" s="3"/>
      <c r="X40" s="8">
        <f t="shared" si="22"/>
        <v>47.95</v>
      </c>
      <c r="Y40" s="3"/>
      <c r="Z40" s="7">
        <f t="shared" si="23"/>
        <v>1.9141716566866267</v>
      </c>
    </row>
    <row r="41" spans="1:26" s="61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0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10"/>
      <c r="B44" s="26" t="s">
        <v>3</v>
      </c>
      <c r="C44" s="26"/>
      <c r="D44" s="19">
        <f>+D16-D18+D42</f>
        <v>-9379.26</v>
      </c>
      <c r="E44" s="13"/>
      <c r="F44" s="20">
        <f>IF(D$12=0,0,D44/D$12)</f>
        <v>0</v>
      </c>
      <c r="G44" s="13"/>
      <c r="H44" s="19">
        <f>+H16-H18+H42</f>
        <v>-8181.91</v>
      </c>
      <c r="I44" s="13"/>
      <c r="J44" s="20">
        <f>IF(H$12=0,0,H44/H$12)</f>
        <v>0</v>
      </c>
      <c r="K44" s="16"/>
      <c r="L44" s="19">
        <f>+D44-H44</f>
        <v>-1197.3500000000004</v>
      </c>
      <c r="M44" s="16"/>
      <c r="N44" s="20">
        <f>IF(H44=0,0,L44/H44)</f>
        <v>0.14634113550503494</v>
      </c>
      <c r="O44" s="25"/>
      <c r="P44" s="19">
        <f>+P16-P18+P42</f>
        <v>-9379.26</v>
      </c>
      <c r="Q44" s="13"/>
      <c r="R44" s="20">
        <f>IF(P$12=0,0,P44/P$12)</f>
        <v>0</v>
      </c>
      <c r="S44" s="13"/>
      <c r="T44" s="19">
        <f>+T16-T18+T42</f>
        <v>-8181.91</v>
      </c>
      <c r="U44" s="13"/>
      <c r="V44" s="20">
        <f>IF(T$12=0,0,T44/T$12)</f>
        <v>0</v>
      </c>
      <c r="W44" s="16"/>
      <c r="X44" s="19">
        <f>+P44-T44</f>
        <v>-1197.3500000000004</v>
      </c>
      <c r="Y44" s="16"/>
      <c r="Z44" s="20">
        <f>IF(T44=0,0,X44/T44)</f>
        <v>0.14634113550503494</v>
      </c>
    </row>
    <row r="45" spans="1:26" x14ac:dyDescent="0.25">
      <c r="A45" s="9"/>
      <c r="B45" s="10"/>
      <c r="C45" s="9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25">
      <c r="A46" s="51"/>
      <c r="B46" s="10" t="s">
        <v>13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ht="15.75" thickBot="1" x14ac:dyDescent="0.3">
      <c r="A48" s="10"/>
      <c r="B48" s="26" t="s">
        <v>4</v>
      </c>
      <c r="C48" s="26"/>
      <c r="D48" s="35">
        <f>+D44-D46</f>
        <v>-9379.26</v>
      </c>
      <c r="E48" s="13"/>
      <c r="F48" s="30">
        <f>IF(D$12=0,0,D48/D$12)</f>
        <v>0</v>
      </c>
      <c r="G48" s="13"/>
      <c r="H48" s="35">
        <f>+H44-H46</f>
        <v>-8181.91</v>
      </c>
      <c r="I48" s="13"/>
      <c r="J48" s="30">
        <f>IF(H$12=0,0,H48/H$12)</f>
        <v>0</v>
      </c>
      <c r="K48" s="16"/>
      <c r="L48" s="35">
        <f>D48-H48</f>
        <v>-1197.3500000000004</v>
      </c>
      <c r="M48" s="16"/>
      <c r="N48" s="30">
        <f>IF(H48=0,0,L48/H48)</f>
        <v>0.14634113550503494</v>
      </c>
      <c r="O48" s="25"/>
      <c r="P48" s="35">
        <f>+P44-P46</f>
        <v>-9379.26</v>
      </c>
      <c r="Q48" s="13"/>
      <c r="R48" s="30">
        <f>IF(P$12=0,0,P48/P$12)</f>
        <v>0</v>
      </c>
      <c r="S48" s="13"/>
      <c r="T48" s="35">
        <f>+T44-T46</f>
        <v>-8181.91</v>
      </c>
      <c r="U48" s="13"/>
      <c r="V48" s="30">
        <f>IF(T$12=0,0,T48/T$12)</f>
        <v>0</v>
      </c>
      <c r="W48" s="16"/>
      <c r="X48" s="35">
        <f>P48-T48</f>
        <v>-1197.3500000000004</v>
      </c>
      <c r="Y48" s="16"/>
      <c r="Z48" s="30">
        <f>IF(T48=0,0,X48/T48)</f>
        <v>0.14634113550503494</v>
      </c>
    </row>
    <row r="49" spans="1:26" ht="15.75" thickTop="1" x14ac:dyDescent="0.25">
      <c r="A49" s="9"/>
      <c r="B49" s="9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x14ac:dyDescent="0.25">
      <c r="A50" s="9"/>
      <c r="B50" s="9"/>
      <c r="C50" s="9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ht="15.75" thickBot="1" x14ac:dyDescent="0.3">
      <c r="A51" s="10"/>
      <c r="B51" s="26" t="s">
        <v>5</v>
      </c>
      <c r="C51" s="26"/>
      <c r="D51" s="31">
        <f>SUM(D48:D50)</f>
        <v>-9379.26</v>
      </c>
      <c r="E51" s="13"/>
      <c r="F51" s="32">
        <f>IF(D$12=0,0,D51/D$12)</f>
        <v>0</v>
      </c>
      <c r="G51" s="13"/>
      <c r="H51" s="31">
        <f>SUM(H48:H50)</f>
        <v>-8181.91</v>
      </c>
      <c r="I51" s="13"/>
      <c r="J51" s="32">
        <f>IF(H$12=0,0,H51/H$12)</f>
        <v>0</v>
      </c>
      <c r="K51" s="16"/>
      <c r="L51" s="31">
        <f>+D51-H51</f>
        <v>-1197.3500000000004</v>
      </c>
      <c r="M51" s="16"/>
      <c r="N51" s="32">
        <f>IF(H51=0,0,L51/H51)</f>
        <v>0.14634113550503494</v>
      </c>
      <c r="O51" s="25"/>
      <c r="P51" s="31">
        <f>SUM(P48:P50)</f>
        <v>-9379.26</v>
      </c>
      <c r="Q51" s="13"/>
      <c r="R51" s="32">
        <f>IF(P$12=0,0,P51/P$12)</f>
        <v>0</v>
      </c>
      <c r="S51" s="13"/>
      <c r="T51" s="31">
        <f>SUM(T48:T50)</f>
        <v>-8181.91</v>
      </c>
      <c r="U51" s="13"/>
      <c r="V51" s="32">
        <f>IF(T$12=0,0,T51/T$12)</f>
        <v>0</v>
      </c>
      <c r="W51" s="16"/>
      <c r="X51" s="31">
        <f>+P51-T51</f>
        <v>-1197.3500000000004</v>
      </c>
      <c r="Y51" s="16"/>
      <c r="Z51" s="32">
        <f>IF(T51=0,0,X51/T51)</f>
        <v>0.14634113550503494</v>
      </c>
    </row>
    <row r="52" spans="1:26" ht="15.75" thickTop="1" x14ac:dyDescent="0.25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9">
        <v>44109.414027812498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62" t="s">
        <v>313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6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10356.060000000001</v>
      </c>
      <c r="E18" s="21"/>
      <c r="F18" s="34">
        <f t="shared" ref="F18:F26" si="0">IF(D$12=0,0,D18/D$12)</f>
        <v>0</v>
      </c>
      <c r="G18" s="21"/>
      <c r="H18" s="21">
        <f>SUM(OSRRefH22x_0)</f>
        <v>7059.57</v>
      </c>
      <c r="I18" s="21"/>
      <c r="J18" s="34">
        <f t="shared" ref="J18:J26" si="1">IF(H$12=0,0,H18/H$12)</f>
        <v>0</v>
      </c>
      <c r="K18" s="4"/>
      <c r="L18" s="21">
        <f t="shared" ref="L18:L26" si="2">+D18-H18</f>
        <v>3296.4900000000016</v>
      </c>
      <c r="M18" s="4"/>
      <c r="N18" s="34">
        <f t="shared" ref="N18:N26" si="3">IF(H18=0,0,L18/H18)</f>
        <v>0.46695336968115647</v>
      </c>
      <c r="O18" s="10"/>
      <c r="P18" s="21">
        <f>SUM(OSRRefP22x_0)</f>
        <v>10356.060000000001</v>
      </c>
      <c r="Q18" s="21"/>
      <c r="R18" s="34">
        <f t="shared" ref="R18:R26" si="4">IF(P$12=0,0,P18/P$12)</f>
        <v>0</v>
      </c>
      <c r="S18" s="21"/>
      <c r="T18" s="21">
        <f>SUM(OSRRefT22x_0)</f>
        <v>7059.57</v>
      </c>
      <c r="U18" s="21"/>
      <c r="V18" s="34">
        <f t="shared" ref="V18:V26" si="5">IF(T$12=0,0,T18/T$12)</f>
        <v>0</v>
      </c>
      <c r="W18" s="4"/>
      <c r="X18" s="21">
        <f t="shared" ref="X18:X26" si="6">+P18-T18</f>
        <v>3296.4900000000016</v>
      </c>
      <c r="Y18" s="4"/>
      <c r="Z18" s="34">
        <f t="shared" ref="Z18:Z26" si="7">IF(T18=0,0,X18/T18)</f>
        <v>0.46695336968115647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1548.91</v>
      </c>
      <c r="E19" s="1"/>
      <c r="F19" s="5">
        <f t="shared" si="0"/>
        <v>0</v>
      </c>
      <c r="G19" s="1"/>
      <c r="H19" s="1">
        <f>SUM(OSRRefH22_0x_0)</f>
        <v>2001.5</v>
      </c>
      <c r="I19" s="1"/>
      <c r="J19" s="5">
        <f t="shared" si="1"/>
        <v>0</v>
      </c>
      <c r="K19" s="1"/>
      <c r="L19" s="1">
        <f t="shared" si="2"/>
        <v>-452.58999999999992</v>
      </c>
      <c r="M19" s="1"/>
      <c r="N19" s="5">
        <f t="shared" si="3"/>
        <v>-0.22612540594554081</v>
      </c>
      <c r="O19" s="14"/>
      <c r="P19" s="1">
        <f>SUM(OSRRefP22_0x_0)</f>
        <v>1548.91</v>
      </c>
      <c r="Q19" s="1"/>
      <c r="R19" s="5">
        <f t="shared" si="4"/>
        <v>0</v>
      </c>
      <c r="S19" s="1"/>
      <c r="T19" s="1">
        <f>SUM(OSRRefT22_0x_0)</f>
        <v>2001.5</v>
      </c>
      <c r="U19" s="1"/>
      <c r="V19" s="5">
        <f t="shared" si="5"/>
        <v>0</v>
      </c>
      <c r="W19" s="1"/>
      <c r="X19" s="1">
        <f t="shared" si="6"/>
        <v>-452.58999999999992</v>
      </c>
      <c r="Y19" s="1"/>
      <c r="Z19" s="5">
        <f t="shared" si="7"/>
        <v>-0.22612540594554081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404.65</v>
      </c>
      <c r="E20" s="3"/>
      <c r="F20" s="7">
        <f t="shared" si="0"/>
        <v>0</v>
      </c>
      <c r="G20" s="3"/>
      <c r="H20" s="8">
        <v>692.89</v>
      </c>
      <c r="I20" s="3"/>
      <c r="J20" s="7">
        <f t="shared" si="1"/>
        <v>0</v>
      </c>
      <c r="K20" s="3"/>
      <c r="L20" s="8">
        <f t="shared" si="2"/>
        <v>-288.24</v>
      </c>
      <c r="M20" s="3"/>
      <c r="N20" s="7">
        <f t="shared" si="3"/>
        <v>-0.41599676716361905</v>
      </c>
      <c r="O20" s="11"/>
      <c r="P20" s="8">
        <v>404.65</v>
      </c>
      <c r="Q20" s="3"/>
      <c r="R20" s="7">
        <f t="shared" si="4"/>
        <v>0</v>
      </c>
      <c r="S20" s="3"/>
      <c r="T20" s="8">
        <v>692.89</v>
      </c>
      <c r="U20" s="3"/>
      <c r="V20" s="7">
        <f t="shared" si="5"/>
        <v>0</v>
      </c>
      <c r="W20" s="3"/>
      <c r="X20" s="8">
        <f t="shared" si="6"/>
        <v>-288.24</v>
      </c>
      <c r="Y20" s="3"/>
      <c r="Z20" s="7">
        <f t="shared" si="7"/>
        <v>-0.41599676716361905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20.8</v>
      </c>
      <c r="E21" s="3"/>
      <c r="F21" s="7">
        <f t="shared" si="0"/>
        <v>0</v>
      </c>
      <c r="G21" s="3"/>
      <c r="H21" s="8">
        <v>30.11</v>
      </c>
      <c r="I21" s="3"/>
      <c r="J21" s="7">
        <f t="shared" si="1"/>
        <v>0</v>
      </c>
      <c r="K21" s="3"/>
      <c r="L21" s="8">
        <f t="shared" si="2"/>
        <v>-9.3099999999999987</v>
      </c>
      <c r="M21" s="3"/>
      <c r="N21" s="7">
        <f t="shared" si="3"/>
        <v>-0.30919960146130848</v>
      </c>
      <c r="O21" s="11"/>
      <c r="P21" s="8">
        <v>20.8</v>
      </c>
      <c r="Q21" s="3"/>
      <c r="R21" s="7">
        <f t="shared" si="4"/>
        <v>0</v>
      </c>
      <c r="S21" s="3"/>
      <c r="T21" s="8">
        <v>30.11</v>
      </c>
      <c r="U21" s="3"/>
      <c r="V21" s="7">
        <f t="shared" si="5"/>
        <v>0</v>
      </c>
      <c r="W21" s="3"/>
      <c r="X21" s="8">
        <f t="shared" si="6"/>
        <v>-9.3099999999999987</v>
      </c>
      <c r="Y21" s="3"/>
      <c r="Z21" s="7">
        <f t="shared" si="7"/>
        <v>-0.30919960146130848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700.87</v>
      </c>
      <c r="E22" s="3"/>
      <c r="F22" s="7">
        <f t="shared" si="0"/>
        <v>0</v>
      </c>
      <c r="G22" s="3"/>
      <c r="H22" s="8">
        <v>700.91</v>
      </c>
      <c r="I22" s="3"/>
      <c r="J22" s="7">
        <f t="shared" si="1"/>
        <v>0</v>
      </c>
      <c r="K22" s="3"/>
      <c r="L22" s="8">
        <f t="shared" si="2"/>
        <v>-3.999999999996362E-2</v>
      </c>
      <c r="M22" s="3"/>
      <c r="N22" s="7">
        <f t="shared" si="3"/>
        <v>-5.7068667874568234E-5</v>
      </c>
      <c r="O22" s="11"/>
      <c r="P22" s="8">
        <v>700.87</v>
      </c>
      <c r="Q22" s="3"/>
      <c r="R22" s="7">
        <f t="shared" si="4"/>
        <v>0</v>
      </c>
      <c r="S22" s="3"/>
      <c r="T22" s="8">
        <v>700.91</v>
      </c>
      <c r="U22" s="3"/>
      <c r="V22" s="7">
        <f t="shared" si="5"/>
        <v>0</v>
      </c>
      <c r="W22" s="3"/>
      <c r="X22" s="8">
        <f t="shared" si="6"/>
        <v>-3.999999999996362E-2</v>
      </c>
      <c r="Y22" s="3"/>
      <c r="Z22" s="7">
        <f t="shared" si="7"/>
        <v>-5.7068667874568234E-5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16.39</v>
      </c>
      <c r="E23" s="3"/>
      <c r="F23" s="7">
        <f t="shared" si="0"/>
        <v>0</v>
      </c>
      <c r="G23" s="3"/>
      <c r="H23" s="8">
        <v>23.02</v>
      </c>
      <c r="I23" s="3"/>
      <c r="J23" s="7">
        <f t="shared" si="1"/>
        <v>0</v>
      </c>
      <c r="K23" s="3"/>
      <c r="L23" s="8">
        <f t="shared" si="2"/>
        <v>-6.629999999999999</v>
      </c>
      <c r="M23" s="3"/>
      <c r="N23" s="7">
        <f t="shared" si="3"/>
        <v>-0.28801042571676799</v>
      </c>
      <c r="O23" s="11"/>
      <c r="P23" s="8">
        <v>16.39</v>
      </c>
      <c r="Q23" s="3"/>
      <c r="R23" s="7">
        <f t="shared" si="4"/>
        <v>0</v>
      </c>
      <c r="S23" s="3"/>
      <c r="T23" s="8">
        <v>23.02</v>
      </c>
      <c r="U23" s="3"/>
      <c r="V23" s="7">
        <f t="shared" si="5"/>
        <v>0</v>
      </c>
      <c r="W23" s="3"/>
      <c r="X23" s="8">
        <f t="shared" si="6"/>
        <v>-6.629999999999999</v>
      </c>
      <c r="Y23" s="3"/>
      <c r="Z23" s="7">
        <f t="shared" si="7"/>
        <v>-0.28801042571676799</v>
      </c>
    </row>
    <row r="24" spans="1:26" s="24" customFormat="1" hidden="1" outlineLevel="2" x14ac:dyDescent="0.25">
      <c r="A24" s="29"/>
      <c r="B24" s="11" t="str">
        <f>CONCATENATE("          ", "6118", " - ", "VACATION")</f>
        <v xml:space="preserve">          6118 - VACATION</v>
      </c>
      <c r="C24" s="11"/>
      <c r="D24" s="8">
        <v>184.8</v>
      </c>
      <c r="E24" s="3"/>
      <c r="F24" s="7">
        <f t="shared" si="0"/>
        <v>0</v>
      </c>
      <c r="G24" s="3"/>
      <c r="H24" s="8">
        <v>184.8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1"/>
      <c r="P24" s="8">
        <v>184.8</v>
      </c>
      <c r="Q24" s="3"/>
      <c r="R24" s="7">
        <f t="shared" si="4"/>
        <v>0</v>
      </c>
      <c r="S24" s="3"/>
      <c r="T24" s="8">
        <v>184.8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24" customFormat="1" hidden="1" outlineLevel="2" x14ac:dyDescent="0.25">
      <c r="A25" s="29"/>
      <c r="B25" s="11" t="str">
        <f>CONCATENATE("          ", "6119", " - ", "SICK LEAVE")</f>
        <v xml:space="preserve">          6119 - SICK LEAVE</v>
      </c>
      <c r="C25" s="11"/>
      <c r="D25" s="8">
        <v>221.4</v>
      </c>
      <c r="E25" s="3"/>
      <c r="F25" s="7">
        <f t="shared" si="0"/>
        <v>0</v>
      </c>
      <c r="G25" s="3"/>
      <c r="H25" s="8">
        <v>221.4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>
        <v>221.4</v>
      </c>
      <c r="Q25" s="3"/>
      <c r="R25" s="7">
        <f t="shared" si="4"/>
        <v>0</v>
      </c>
      <c r="S25" s="3"/>
      <c r="T25" s="8">
        <v>221.4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"6156", " - ", "EMPLOYEE MEALS")</f>
        <v xml:space="preserve">          6156 - EMPLOYEE MEALS</v>
      </c>
      <c r="C26" s="11"/>
      <c r="D26" s="8"/>
      <c r="E26" s="3"/>
      <c r="F26" s="7">
        <f t="shared" si="0"/>
        <v>0</v>
      </c>
      <c r="G26" s="3"/>
      <c r="H26" s="8">
        <v>148.37</v>
      </c>
      <c r="I26" s="3"/>
      <c r="J26" s="7">
        <f t="shared" si="1"/>
        <v>0</v>
      </c>
      <c r="K26" s="3"/>
      <c r="L26" s="8">
        <f t="shared" si="2"/>
        <v>-148.37</v>
      </c>
      <c r="M26" s="3"/>
      <c r="N26" s="7">
        <f t="shared" si="3"/>
        <v>-1</v>
      </c>
      <c r="O26" s="11"/>
      <c r="P26" s="8"/>
      <c r="Q26" s="3"/>
      <c r="R26" s="7">
        <f t="shared" si="4"/>
        <v>0</v>
      </c>
      <c r="S26" s="3"/>
      <c r="T26" s="8">
        <v>148.37</v>
      </c>
      <c r="U26" s="3"/>
      <c r="V26" s="7">
        <f t="shared" si="5"/>
        <v>0</v>
      </c>
      <c r="W26" s="3"/>
      <c r="X26" s="8">
        <f t="shared" si="6"/>
        <v>-148.37</v>
      </c>
      <c r="Y26" s="3"/>
      <c r="Z26" s="7">
        <f t="shared" si="7"/>
        <v>-1</v>
      </c>
    </row>
    <row r="27" spans="1:26" s="27" customFormat="1" outlineLevel="1" collapsed="1" x14ac:dyDescent="0.25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8499.880000000001</v>
      </c>
      <c r="E27" s="1"/>
      <c r="F27" s="5">
        <f t="shared" ref="F27:F31" si="8">IF(D$12=0,0,D27/D$12)</f>
        <v>0</v>
      </c>
      <c r="G27" s="1"/>
      <c r="H27" s="1">
        <f>SUM(OSRRefH22_1x_0)</f>
        <v>11623.14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-3123.2599999999984</v>
      </c>
      <c r="M27" s="1"/>
      <c r="N27" s="5">
        <f t="shared" ref="N27:N31" si="11">IF(H27=0,0,L27/H27)</f>
        <v>-0.26871052056501071</v>
      </c>
      <c r="O27" s="14"/>
      <c r="P27" s="1">
        <f>SUM(OSRRefP22_1x_0)</f>
        <v>8499.880000000001</v>
      </c>
      <c r="Q27" s="1"/>
      <c r="R27" s="5">
        <f t="shared" ref="R27:R31" si="12">IF(P$12=0,0,P27/P$12)</f>
        <v>0</v>
      </c>
      <c r="S27" s="1"/>
      <c r="T27" s="1">
        <f>SUM(OSRRefT22_1x_0)</f>
        <v>11623.14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-3123.2599999999984</v>
      </c>
      <c r="Y27" s="1"/>
      <c r="Z27" s="5">
        <f t="shared" ref="Z27:Z31" si="15">IF(T27=0,0,X27/T27)</f>
        <v>-0.26871052056501071</v>
      </c>
    </row>
    <row r="28" spans="1:26" s="24" customFormat="1" hidden="1" outlineLevel="2" x14ac:dyDescent="0.25">
      <c r="A28" s="29"/>
      <c r="B28" s="11" t="str">
        <f>CONCATENATE("          ", "6004", " - ", "STAFF HOURLY")</f>
        <v xml:space="preserve">          6004 - STAFF HOURLY</v>
      </c>
      <c r="C28" s="11"/>
      <c r="D28" s="8">
        <v>5426.25</v>
      </c>
      <c r="E28" s="3"/>
      <c r="F28" s="7">
        <f t="shared" si="8"/>
        <v>0</v>
      </c>
      <c r="G28" s="3"/>
      <c r="H28" s="8">
        <v>5355</v>
      </c>
      <c r="I28" s="3"/>
      <c r="J28" s="7">
        <f t="shared" si="9"/>
        <v>0</v>
      </c>
      <c r="K28" s="3"/>
      <c r="L28" s="8">
        <f t="shared" si="10"/>
        <v>71.25</v>
      </c>
      <c r="M28" s="3"/>
      <c r="N28" s="7">
        <f t="shared" si="11"/>
        <v>1.330532212885154E-2</v>
      </c>
      <c r="O28" s="11"/>
      <c r="P28" s="8">
        <v>5426.25</v>
      </c>
      <c r="Q28" s="3"/>
      <c r="R28" s="7">
        <f t="shared" si="12"/>
        <v>0</v>
      </c>
      <c r="S28" s="3"/>
      <c r="T28" s="8">
        <v>5355</v>
      </c>
      <c r="U28" s="3"/>
      <c r="V28" s="7">
        <f t="shared" si="13"/>
        <v>0</v>
      </c>
      <c r="W28" s="3"/>
      <c r="X28" s="8">
        <f t="shared" si="14"/>
        <v>71.25</v>
      </c>
      <c r="Y28" s="3"/>
      <c r="Z28" s="7">
        <f t="shared" si="15"/>
        <v>1.330532212885154E-2</v>
      </c>
    </row>
    <row r="29" spans="1:26" s="24" customFormat="1" hidden="1" outlineLevel="2" x14ac:dyDescent="0.25">
      <c r="A29" s="29"/>
      <c r="B29" s="11" t="str">
        <f>CONCATENATE("          ", "6006", " - ", "TEMPORARY PART TIME")</f>
        <v xml:space="preserve">          6006 - TEMPORARY PART TIME</v>
      </c>
      <c r="C29" s="11"/>
      <c r="D29" s="8"/>
      <c r="E29" s="3"/>
      <c r="F29" s="7">
        <f t="shared" si="8"/>
        <v>0</v>
      </c>
      <c r="G29" s="3"/>
      <c r="H29" s="8">
        <v>708.75</v>
      </c>
      <c r="I29" s="3"/>
      <c r="J29" s="7">
        <f t="shared" si="9"/>
        <v>0</v>
      </c>
      <c r="K29" s="3"/>
      <c r="L29" s="8">
        <f t="shared" si="10"/>
        <v>-708.75</v>
      </c>
      <c r="M29" s="3"/>
      <c r="N29" s="7">
        <f t="shared" si="11"/>
        <v>-1</v>
      </c>
      <c r="O29" s="11"/>
      <c r="P29" s="8"/>
      <c r="Q29" s="3"/>
      <c r="R29" s="7">
        <f t="shared" si="12"/>
        <v>0</v>
      </c>
      <c r="S29" s="3"/>
      <c r="T29" s="8">
        <v>708.75</v>
      </c>
      <c r="U29" s="3"/>
      <c r="V29" s="7">
        <f t="shared" si="13"/>
        <v>0</v>
      </c>
      <c r="W29" s="3"/>
      <c r="X29" s="8">
        <f t="shared" si="14"/>
        <v>-708.75</v>
      </c>
      <c r="Y29" s="3"/>
      <c r="Z29" s="7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"6007", " - ", "STUDENT HOURLY")</f>
        <v xml:space="preserve">          6007 - STUDENT HOURLY</v>
      </c>
      <c r="C30" s="11"/>
      <c r="D30" s="8">
        <v>1845</v>
      </c>
      <c r="E30" s="3"/>
      <c r="F30" s="7">
        <f t="shared" si="8"/>
        <v>0</v>
      </c>
      <c r="G30" s="3"/>
      <c r="H30" s="8">
        <v>5559.39</v>
      </c>
      <c r="I30" s="3"/>
      <c r="J30" s="7">
        <f t="shared" si="9"/>
        <v>0</v>
      </c>
      <c r="K30" s="3"/>
      <c r="L30" s="8">
        <f t="shared" si="10"/>
        <v>-3714.3900000000003</v>
      </c>
      <c r="M30" s="3"/>
      <c r="N30" s="7">
        <f t="shared" si="11"/>
        <v>-0.66812905732463457</v>
      </c>
      <c r="O30" s="11"/>
      <c r="P30" s="8">
        <v>1845</v>
      </c>
      <c r="Q30" s="3"/>
      <c r="R30" s="7">
        <f t="shared" si="12"/>
        <v>0</v>
      </c>
      <c r="S30" s="3"/>
      <c r="T30" s="8">
        <v>5559.39</v>
      </c>
      <c r="U30" s="3"/>
      <c r="V30" s="7">
        <f t="shared" si="13"/>
        <v>0</v>
      </c>
      <c r="W30" s="3"/>
      <c r="X30" s="8">
        <f t="shared" si="14"/>
        <v>-3714.3900000000003</v>
      </c>
      <c r="Y30" s="3"/>
      <c r="Z30" s="7">
        <f t="shared" si="15"/>
        <v>-0.66812905732463457</v>
      </c>
    </row>
    <row r="31" spans="1:26" s="24" customFormat="1" hidden="1" outlineLevel="2" x14ac:dyDescent="0.25">
      <c r="A31" s="29"/>
      <c r="B31" s="11" t="str">
        <f>CONCATENATE("          ", "6008", " - ", "STUDENT HOURLY-FICA EXEMPT")</f>
        <v xml:space="preserve">          6008 - STUDENT HOURLY-FICA EXEMPT</v>
      </c>
      <c r="C31" s="11"/>
      <c r="D31" s="8">
        <v>1228.6300000000001</v>
      </c>
      <c r="E31" s="3"/>
      <c r="F31" s="7">
        <f t="shared" si="8"/>
        <v>0</v>
      </c>
      <c r="G31" s="3"/>
      <c r="H31" s="8"/>
      <c r="I31" s="3"/>
      <c r="J31" s="7">
        <f t="shared" si="9"/>
        <v>0</v>
      </c>
      <c r="K31" s="3"/>
      <c r="L31" s="8">
        <f t="shared" si="10"/>
        <v>1228.6300000000001</v>
      </c>
      <c r="M31" s="3"/>
      <c r="N31" s="7">
        <f t="shared" si="11"/>
        <v>0</v>
      </c>
      <c r="O31" s="11"/>
      <c r="P31" s="8">
        <v>1228.6300000000001</v>
      </c>
      <c r="Q31" s="3"/>
      <c r="R31" s="7">
        <f t="shared" si="12"/>
        <v>0</v>
      </c>
      <c r="S31" s="3"/>
      <c r="T31" s="8"/>
      <c r="U31" s="3"/>
      <c r="V31" s="7">
        <f t="shared" si="13"/>
        <v>0</v>
      </c>
      <c r="W31" s="3"/>
      <c r="X31" s="8">
        <f t="shared" si="14"/>
        <v>1228.6300000000001</v>
      </c>
      <c r="Y31" s="3"/>
      <c r="Z31" s="7">
        <f t="shared" si="15"/>
        <v>0</v>
      </c>
    </row>
    <row r="32" spans="1:26" s="27" customFormat="1" outlineLevel="1" collapsed="1" x14ac:dyDescent="0.25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38" si="16">IF(D$12=0,0,D32/D$12)</f>
        <v>0</v>
      </c>
      <c r="G32" s="1"/>
      <c r="H32" s="1">
        <f>SUM(OSRRefH22_2x_0)</f>
        <v>-7282.4</v>
      </c>
      <c r="I32" s="1"/>
      <c r="J32" s="5">
        <f t="shared" ref="J32:J38" si="17">IF(H$12=0,0,H32/H$12)</f>
        <v>0</v>
      </c>
      <c r="K32" s="1"/>
      <c r="L32" s="1">
        <f t="shared" ref="L32:L38" si="18">+D32-H32</f>
        <v>7282.4</v>
      </c>
      <c r="M32" s="1"/>
      <c r="N32" s="5">
        <f t="shared" ref="N32:N38" si="19">IF(H32=0,0,L32/H32)</f>
        <v>-1</v>
      </c>
      <c r="O32" s="14"/>
      <c r="P32" s="1">
        <f>SUM(OSRRefP22_2x_0)</f>
        <v>0</v>
      </c>
      <c r="Q32" s="1"/>
      <c r="R32" s="5">
        <f t="shared" ref="R32:R38" si="20">IF(P$12=0,0,P32/P$12)</f>
        <v>0</v>
      </c>
      <c r="S32" s="1"/>
      <c r="T32" s="1">
        <f>SUM(OSRRefT22_2x_0)</f>
        <v>-7282.4</v>
      </c>
      <c r="U32" s="1"/>
      <c r="V32" s="5">
        <f t="shared" ref="V32:V38" si="21">IF(T$12=0,0,T32/T$12)</f>
        <v>0</v>
      </c>
      <c r="W32" s="1"/>
      <c r="X32" s="1">
        <f t="shared" ref="X32:X38" si="22">+P32-T32</f>
        <v>7282.4</v>
      </c>
      <c r="Y32" s="1"/>
      <c r="Z32" s="5">
        <f t="shared" ref="Z32:Z38" si="23">IF(T32=0,0,X32/T32)</f>
        <v>-1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8"/>
      <c r="E33" s="3"/>
      <c r="F33" s="7">
        <f t="shared" si="16"/>
        <v>0</v>
      </c>
      <c r="G33" s="3"/>
      <c r="H33" s="8">
        <v>-7282.4</v>
      </c>
      <c r="I33" s="3"/>
      <c r="J33" s="7">
        <f t="shared" si="17"/>
        <v>0</v>
      </c>
      <c r="K33" s="3"/>
      <c r="L33" s="8">
        <f t="shared" si="18"/>
        <v>7282.4</v>
      </c>
      <c r="M33" s="3"/>
      <c r="N33" s="7">
        <f t="shared" si="19"/>
        <v>-1</v>
      </c>
      <c r="O33" s="11"/>
      <c r="P33" s="8"/>
      <c r="Q33" s="3"/>
      <c r="R33" s="7">
        <f t="shared" si="20"/>
        <v>0</v>
      </c>
      <c r="S33" s="3"/>
      <c r="T33" s="8">
        <v>-7282.4</v>
      </c>
      <c r="U33" s="3"/>
      <c r="V33" s="7">
        <f t="shared" si="21"/>
        <v>0</v>
      </c>
      <c r="W33" s="3"/>
      <c r="X33" s="8">
        <f t="shared" si="22"/>
        <v>7282.4</v>
      </c>
      <c r="Y33" s="3"/>
      <c r="Z33" s="7">
        <f t="shared" si="23"/>
        <v>-1</v>
      </c>
    </row>
    <row r="34" spans="1:26" s="27" customFormat="1" outlineLevel="1" collapsed="1" x14ac:dyDescent="0.25">
      <c r="A34" s="28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4"/>
      <c r="P34" s="1">
        <f>SUM(OSRRefP22_3x_0)</f>
        <v>271.27</v>
      </c>
      <c r="Q34" s="1"/>
      <c r="R34" s="5">
        <f t="shared" si="20"/>
        <v>0</v>
      </c>
      <c r="S34" s="1"/>
      <c r="T34" s="1">
        <f>SUM(OSRRefT22_3x_0)</f>
        <v>295.67</v>
      </c>
      <c r="U34" s="1"/>
      <c r="V34" s="5">
        <f t="shared" si="21"/>
        <v>0</v>
      </c>
      <c r="W34" s="1"/>
      <c r="X34" s="1">
        <f t="shared" si="22"/>
        <v>-24.400000000000034</v>
      </c>
      <c r="Y34" s="1"/>
      <c r="Z34" s="5">
        <f t="shared" si="23"/>
        <v>-8.2524436026651452E-2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8">
        <v>271.27</v>
      </c>
      <c r="E35" s="3"/>
      <c r="F35" s="7">
        <f t="shared" si="16"/>
        <v>0</v>
      </c>
      <c r="G35" s="3"/>
      <c r="H35" s="8">
        <v>295.67</v>
      </c>
      <c r="I35" s="3"/>
      <c r="J35" s="7">
        <f t="shared" si="17"/>
        <v>0</v>
      </c>
      <c r="K35" s="3"/>
      <c r="L35" s="8">
        <f t="shared" si="18"/>
        <v>-24.400000000000034</v>
      </c>
      <c r="M35" s="3"/>
      <c r="N35" s="7">
        <f t="shared" si="19"/>
        <v>-8.2524436026651452E-2</v>
      </c>
      <c r="O35" s="11"/>
      <c r="P35" s="8">
        <v>271.27</v>
      </c>
      <c r="Q35" s="3"/>
      <c r="R35" s="7">
        <f t="shared" si="20"/>
        <v>0</v>
      </c>
      <c r="S35" s="3"/>
      <c r="T35" s="8">
        <v>295.67</v>
      </c>
      <c r="U35" s="3"/>
      <c r="V35" s="7">
        <f t="shared" si="21"/>
        <v>0</v>
      </c>
      <c r="W35" s="3"/>
      <c r="X35" s="8">
        <f t="shared" si="22"/>
        <v>-24.400000000000034</v>
      </c>
      <c r="Y35" s="3"/>
      <c r="Z35" s="7">
        <f t="shared" si="23"/>
        <v>-8.2524436026651452E-2</v>
      </c>
    </row>
    <row r="36" spans="1:26" s="27" customFormat="1" outlineLevel="1" collapsed="1" x14ac:dyDescent="0.25">
      <c r="A36" s="28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427.36</v>
      </c>
      <c r="I36" s="1"/>
      <c r="J36" s="5">
        <f t="shared" si="17"/>
        <v>0</v>
      </c>
      <c r="K36" s="1"/>
      <c r="L36" s="1">
        <f t="shared" si="18"/>
        <v>-427.36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427.36</v>
      </c>
      <c r="U36" s="1"/>
      <c r="V36" s="5">
        <f t="shared" si="21"/>
        <v>0</v>
      </c>
      <c r="W36" s="1"/>
      <c r="X36" s="1">
        <f t="shared" si="22"/>
        <v>-427.36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"6241", " - ", "OFFICE EXPENSE")</f>
        <v xml:space="preserve">          6241 - OFFICE EXPENSE</v>
      </c>
      <c r="C37" s="11"/>
      <c r="D37" s="8"/>
      <c r="E37" s="3"/>
      <c r="F37" s="7">
        <f t="shared" si="16"/>
        <v>0</v>
      </c>
      <c r="G37" s="3"/>
      <c r="H37" s="8">
        <v>80.94</v>
      </c>
      <c r="I37" s="3"/>
      <c r="J37" s="7">
        <f t="shared" si="17"/>
        <v>0</v>
      </c>
      <c r="K37" s="3"/>
      <c r="L37" s="8">
        <f t="shared" si="18"/>
        <v>-80.94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80.94</v>
      </c>
      <c r="U37" s="3"/>
      <c r="V37" s="7">
        <f t="shared" si="21"/>
        <v>0</v>
      </c>
      <c r="W37" s="3"/>
      <c r="X37" s="8">
        <f t="shared" si="22"/>
        <v>-80.94</v>
      </c>
      <c r="Y37" s="3"/>
      <c r="Z37" s="7">
        <f t="shared" si="23"/>
        <v>-1</v>
      </c>
    </row>
    <row r="38" spans="1:26" s="24" customFormat="1" hidden="1" outlineLevel="2" x14ac:dyDescent="0.25">
      <c r="A38" s="29"/>
      <c r="B38" s="11" t="str">
        <f>CONCATENATE("          ", "6245", " - ", "PRINTING")</f>
        <v xml:space="preserve">          6245 - PRINTING</v>
      </c>
      <c r="C38" s="11"/>
      <c r="D38" s="8"/>
      <c r="E38" s="3"/>
      <c r="F38" s="7">
        <f t="shared" si="16"/>
        <v>0</v>
      </c>
      <c r="G38" s="3"/>
      <c r="H38" s="8">
        <v>346.42</v>
      </c>
      <c r="I38" s="3"/>
      <c r="J38" s="7">
        <f t="shared" si="17"/>
        <v>0</v>
      </c>
      <c r="K38" s="3"/>
      <c r="L38" s="8">
        <f t="shared" si="18"/>
        <v>-346.42</v>
      </c>
      <c r="M38" s="3"/>
      <c r="N38" s="7">
        <f t="shared" si="19"/>
        <v>-1</v>
      </c>
      <c r="O38" s="11"/>
      <c r="P38" s="8"/>
      <c r="Q38" s="3"/>
      <c r="R38" s="7">
        <f t="shared" si="20"/>
        <v>0</v>
      </c>
      <c r="S38" s="3"/>
      <c r="T38" s="8">
        <v>346.42</v>
      </c>
      <c r="U38" s="3"/>
      <c r="V38" s="7">
        <f t="shared" si="21"/>
        <v>0</v>
      </c>
      <c r="W38" s="3"/>
      <c r="X38" s="8">
        <f t="shared" si="22"/>
        <v>-346.42</v>
      </c>
      <c r="Y38" s="3"/>
      <c r="Z38" s="7">
        <f t="shared" si="23"/>
        <v>-1</v>
      </c>
    </row>
    <row r="39" spans="1:26" s="27" customFormat="1" outlineLevel="1" collapsed="1" x14ac:dyDescent="0.25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SUM(OSRRefD22_5x_0)</f>
        <v>36</v>
      </c>
      <c r="E39" s="1"/>
      <c r="F39" s="5">
        <f t="shared" ref="F39:F40" si="24">IF(D$12=0,0,D39/D$12)</f>
        <v>0</v>
      </c>
      <c r="G39" s="1"/>
      <c r="H39" s="1">
        <f>SUM(OSRRefH22_5x_0)</f>
        <v>-5.7</v>
      </c>
      <c r="I39" s="1"/>
      <c r="J39" s="5">
        <f t="shared" ref="J39:J40" si="25">IF(H$12=0,0,H39/H$12)</f>
        <v>0</v>
      </c>
      <c r="K39" s="1"/>
      <c r="L39" s="1">
        <f t="shared" ref="L39:L40" si="26">+D39-H39</f>
        <v>41.7</v>
      </c>
      <c r="M39" s="1"/>
      <c r="N39" s="5">
        <f t="shared" ref="N39:N40" si="27">IF(H39=0,0,L39/H39)</f>
        <v>-7.3157894736842106</v>
      </c>
      <c r="O39" s="14"/>
      <c r="P39" s="1">
        <f>SUM(OSRRefP22_5x_0)</f>
        <v>36</v>
      </c>
      <c r="Q39" s="1"/>
      <c r="R39" s="5">
        <f t="shared" ref="R39:R40" si="28">IF(P$12=0,0,P39/P$12)</f>
        <v>0</v>
      </c>
      <c r="S39" s="1"/>
      <c r="T39" s="1">
        <f>SUM(OSRRefT22_5x_0)</f>
        <v>-5.7</v>
      </c>
      <c r="U39" s="1"/>
      <c r="V39" s="5">
        <f t="shared" ref="V39:V40" si="29">IF(T$12=0,0,T39/T$12)</f>
        <v>0</v>
      </c>
      <c r="W39" s="1"/>
      <c r="X39" s="1">
        <f t="shared" ref="X39:X40" si="30">+P39-T39</f>
        <v>41.7</v>
      </c>
      <c r="Y39" s="1"/>
      <c r="Z39" s="5">
        <f t="shared" ref="Z39:Z40" si="31">IF(T39=0,0,X39/T39)</f>
        <v>-7.3157894736842106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8">
        <v>36</v>
      </c>
      <c r="E40" s="3"/>
      <c r="F40" s="7">
        <f t="shared" si="24"/>
        <v>0</v>
      </c>
      <c r="G40" s="3"/>
      <c r="H40" s="8">
        <v>-5.7</v>
      </c>
      <c r="I40" s="3"/>
      <c r="J40" s="7">
        <f t="shared" si="25"/>
        <v>0</v>
      </c>
      <c r="K40" s="3"/>
      <c r="L40" s="8">
        <f t="shared" si="26"/>
        <v>41.7</v>
      </c>
      <c r="M40" s="3"/>
      <c r="N40" s="7">
        <f t="shared" si="27"/>
        <v>-7.3157894736842106</v>
      </c>
      <c r="O40" s="11"/>
      <c r="P40" s="8">
        <v>36</v>
      </c>
      <c r="Q40" s="3"/>
      <c r="R40" s="7">
        <f t="shared" si="28"/>
        <v>0</v>
      </c>
      <c r="S40" s="3"/>
      <c r="T40" s="8">
        <v>-5.7</v>
      </c>
      <c r="U40" s="3"/>
      <c r="V40" s="7">
        <f t="shared" si="29"/>
        <v>0</v>
      </c>
      <c r="W40" s="3"/>
      <c r="X40" s="8">
        <f t="shared" si="30"/>
        <v>41.7</v>
      </c>
      <c r="Y40" s="3"/>
      <c r="Z40" s="7">
        <f t="shared" si="31"/>
        <v>-7.3157894736842106</v>
      </c>
    </row>
    <row r="41" spans="1:26" s="61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0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10"/>
      <c r="B44" s="26" t="s">
        <v>3</v>
      </c>
      <c r="C44" s="26"/>
      <c r="D44" s="19">
        <f>+D16-D18+D42</f>
        <v>-10356.060000000001</v>
      </c>
      <c r="E44" s="13"/>
      <c r="F44" s="20">
        <f>IF(D$12=0,0,D44/D$12)</f>
        <v>0</v>
      </c>
      <c r="G44" s="13"/>
      <c r="H44" s="19">
        <f>+H16-H18+H42</f>
        <v>-7059.57</v>
      </c>
      <c r="I44" s="13"/>
      <c r="J44" s="20">
        <f>IF(H$12=0,0,H44/H$12)</f>
        <v>0</v>
      </c>
      <c r="K44" s="16"/>
      <c r="L44" s="19">
        <f>+D44-H44</f>
        <v>-3296.4900000000016</v>
      </c>
      <c r="M44" s="16"/>
      <c r="N44" s="20">
        <f>IF(H44=0,0,L44/H44)</f>
        <v>0.46695336968115647</v>
      </c>
      <c r="O44" s="25"/>
      <c r="P44" s="19">
        <f>+P16-P18+P42</f>
        <v>-10356.060000000001</v>
      </c>
      <c r="Q44" s="13"/>
      <c r="R44" s="20">
        <f>IF(P$12=0,0,P44/P$12)</f>
        <v>0</v>
      </c>
      <c r="S44" s="13"/>
      <c r="T44" s="19">
        <f>+T16-T18+T42</f>
        <v>-7059.57</v>
      </c>
      <c r="U44" s="13"/>
      <c r="V44" s="20">
        <f>IF(T$12=0,0,T44/T$12)</f>
        <v>0</v>
      </c>
      <c r="W44" s="16"/>
      <c r="X44" s="19">
        <f>+P44-T44</f>
        <v>-3296.4900000000016</v>
      </c>
      <c r="Y44" s="16"/>
      <c r="Z44" s="20">
        <f>IF(T44=0,0,X44/T44)</f>
        <v>0.46695336968115647</v>
      </c>
    </row>
    <row r="45" spans="1:26" x14ac:dyDescent="0.25">
      <c r="A45" s="9"/>
      <c r="B45" s="10"/>
      <c r="C45" s="9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25">
      <c r="A46" s="51"/>
      <c r="B46" s="10" t="s">
        <v>13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ht="15.75" thickBot="1" x14ac:dyDescent="0.3">
      <c r="A48" s="10"/>
      <c r="B48" s="26" t="s">
        <v>4</v>
      </c>
      <c r="C48" s="26"/>
      <c r="D48" s="35">
        <f>+D44-D46</f>
        <v>-10356.060000000001</v>
      </c>
      <c r="E48" s="13"/>
      <c r="F48" s="30">
        <f>IF(D$12=0,0,D48/D$12)</f>
        <v>0</v>
      </c>
      <c r="G48" s="13"/>
      <c r="H48" s="35">
        <f>+H44-H46</f>
        <v>-7059.57</v>
      </c>
      <c r="I48" s="13"/>
      <c r="J48" s="30">
        <f>IF(H$12=0,0,H48/H$12)</f>
        <v>0</v>
      </c>
      <c r="K48" s="16"/>
      <c r="L48" s="35">
        <f>D48-H48</f>
        <v>-3296.4900000000016</v>
      </c>
      <c r="M48" s="16"/>
      <c r="N48" s="30">
        <f>IF(H48=0,0,L48/H48)</f>
        <v>0.46695336968115647</v>
      </c>
      <c r="O48" s="25"/>
      <c r="P48" s="35">
        <f>+P44-P46</f>
        <v>-10356.060000000001</v>
      </c>
      <c r="Q48" s="13"/>
      <c r="R48" s="30">
        <f>IF(P$12=0,0,P48/P$12)</f>
        <v>0</v>
      </c>
      <c r="S48" s="13"/>
      <c r="T48" s="35">
        <f>+T44-T46</f>
        <v>-7059.57</v>
      </c>
      <c r="U48" s="13"/>
      <c r="V48" s="30">
        <f>IF(T$12=0,0,T48/T$12)</f>
        <v>0</v>
      </c>
      <c r="W48" s="16"/>
      <c r="X48" s="35">
        <f>P48-T48</f>
        <v>-3296.4900000000016</v>
      </c>
      <c r="Y48" s="16"/>
      <c r="Z48" s="30">
        <f>IF(T48=0,0,X48/T48)</f>
        <v>0.46695336968115647</v>
      </c>
    </row>
    <row r="49" spans="1:26" ht="15.75" thickTop="1" x14ac:dyDescent="0.25">
      <c r="A49" s="9"/>
      <c r="B49" s="9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x14ac:dyDescent="0.25">
      <c r="A50" s="9"/>
      <c r="B50" s="9"/>
      <c r="C50" s="9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ht="15.75" thickBot="1" x14ac:dyDescent="0.3">
      <c r="A51" s="10"/>
      <c r="B51" s="26" t="s">
        <v>5</v>
      </c>
      <c r="C51" s="26"/>
      <c r="D51" s="31">
        <f>SUM(D48:D50)</f>
        <v>-10356.060000000001</v>
      </c>
      <c r="E51" s="13"/>
      <c r="F51" s="32">
        <f>IF(D$12=0,0,D51/D$12)</f>
        <v>0</v>
      </c>
      <c r="G51" s="13"/>
      <c r="H51" s="31">
        <f>SUM(H48:H50)</f>
        <v>-7059.57</v>
      </c>
      <c r="I51" s="13"/>
      <c r="J51" s="32">
        <f>IF(H$12=0,0,H51/H$12)</f>
        <v>0</v>
      </c>
      <c r="K51" s="16"/>
      <c r="L51" s="31">
        <f>+D51-H51</f>
        <v>-3296.4900000000016</v>
      </c>
      <c r="M51" s="16"/>
      <c r="N51" s="32">
        <f>IF(H51=0,0,L51/H51)</f>
        <v>0.46695336968115647</v>
      </c>
      <c r="O51" s="25"/>
      <c r="P51" s="31">
        <f>SUM(P48:P50)</f>
        <v>-10356.060000000001</v>
      </c>
      <c r="Q51" s="13"/>
      <c r="R51" s="32">
        <f>IF(P$12=0,0,P51/P$12)</f>
        <v>0</v>
      </c>
      <c r="S51" s="13"/>
      <c r="T51" s="31">
        <f>SUM(T48:T50)</f>
        <v>-7059.57</v>
      </c>
      <c r="U51" s="13"/>
      <c r="V51" s="32">
        <f>IF(T$12=0,0,T51/T$12)</f>
        <v>0</v>
      </c>
      <c r="W51" s="16"/>
      <c r="X51" s="31">
        <f>+P51-T51</f>
        <v>-3296.4900000000016</v>
      </c>
      <c r="Y51" s="16"/>
      <c r="Z51" s="32">
        <f>IF(T51=0,0,X51/T51)</f>
        <v>0.46695336968115647</v>
      </c>
    </row>
    <row r="52" spans="1:26" ht="15.75" thickTop="1" x14ac:dyDescent="0.25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9">
        <v>44109.414042673612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62" t="s">
        <v>313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6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227667.24999999994</v>
      </c>
      <c r="E12" s="4"/>
      <c r="F12" s="12"/>
      <c r="G12" s="4"/>
      <c r="H12" s="4">
        <f>SUM(OSRRefH13x_0)</f>
        <v>410763.32</v>
      </c>
      <c r="I12" s="4"/>
      <c r="J12" s="12"/>
      <c r="K12" s="4"/>
      <c r="L12" s="4">
        <f t="shared" ref="L12:L89" si="0">+D12-H12</f>
        <v>-183096.07000000007</v>
      </c>
      <c r="M12" s="4"/>
      <c r="N12" s="12">
        <f t="shared" ref="N12:N89" si="1">IF(H12=0,0,L12/H12)</f>
        <v>-0.44574591032130145</v>
      </c>
      <c r="O12" s="10"/>
      <c r="P12" s="4">
        <f>SUM(OSRRefP13x_0)</f>
        <v>227667.24999999994</v>
      </c>
      <c r="Q12" s="4"/>
      <c r="R12" s="12"/>
      <c r="S12" s="4"/>
      <c r="T12" s="4">
        <f>SUM(OSRRefT13x_0)</f>
        <v>410763.32</v>
      </c>
      <c r="U12" s="4"/>
      <c r="V12" s="12"/>
      <c r="W12" s="4"/>
      <c r="X12" s="4">
        <f t="shared" ref="X12:X89" si="2">+P12-T12</f>
        <v>-183096.07000000007</v>
      </c>
      <c r="Y12" s="4"/>
      <c r="Z12" s="12">
        <f t="shared" ref="Z12:Z89" si="3">IF(T12=0,0,X12/T12)</f>
        <v>-0.44574591032130145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-10723.46</f>
        <v>-10723.46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-10723.46</v>
      </c>
      <c r="M13" s="3"/>
      <c r="N13" s="22">
        <f t="shared" si="1"/>
        <v>0</v>
      </c>
      <c r="O13" s="11"/>
      <c r="P13" s="3">
        <f>-10723.46</f>
        <v>-10723.46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-10723.46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--11947.85</f>
        <v>11947.85</v>
      </c>
      <c r="E14" s="3"/>
      <c r="F14" s="22"/>
      <c r="G14" s="3"/>
      <c r="H14" s="3">
        <f>--36312.25</f>
        <v>36312.25</v>
      </c>
      <c r="I14" s="3"/>
      <c r="J14" s="22"/>
      <c r="K14" s="3"/>
      <c r="L14" s="3">
        <f t="shared" si="0"/>
        <v>-24364.400000000001</v>
      </c>
      <c r="M14" s="3"/>
      <c r="N14" s="22">
        <f t="shared" si="1"/>
        <v>-0.67096916329888678</v>
      </c>
      <c r="O14" s="11"/>
      <c r="P14" s="3">
        <f>--11947.85</f>
        <v>11947.85</v>
      </c>
      <c r="Q14" s="3"/>
      <c r="R14" s="22"/>
      <c r="S14" s="3"/>
      <c r="T14" s="3">
        <f>--36312.25</f>
        <v>36312.25</v>
      </c>
      <c r="U14" s="3"/>
      <c r="V14" s="22"/>
      <c r="W14" s="3"/>
      <c r="X14" s="3">
        <f t="shared" si="2"/>
        <v>-24364.400000000001</v>
      </c>
      <c r="Y14" s="3"/>
      <c r="Z14" s="22">
        <f t="shared" si="3"/>
        <v>-0.67096916329888678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--13029.34</f>
        <v>13029.34</v>
      </c>
      <c r="E15" s="3"/>
      <c r="F15" s="22"/>
      <c r="G15" s="3"/>
      <c r="H15" s="3">
        <f>--21794.81</f>
        <v>21794.81</v>
      </c>
      <c r="I15" s="3"/>
      <c r="J15" s="22"/>
      <c r="K15" s="3"/>
      <c r="L15" s="3">
        <f t="shared" si="0"/>
        <v>-8765.4700000000012</v>
      </c>
      <c r="M15" s="3"/>
      <c r="N15" s="22">
        <f t="shared" si="1"/>
        <v>-0.40218152853821626</v>
      </c>
      <c r="O15" s="11"/>
      <c r="P15" s="3">
        <f>--13029.34</f>
        <v>13029.34</v>
      </c>
      <c r="Q15" s="3"/>
      <c r="R15" s="22"/>
      <c r="S15" s="3"/>
      <c r="T15" s="3">
        <f>--21794.81</f>
        <v>21794.81</v>
      </c>
      <c r="U15" s="3"/>
      <c r="V15" s="22"/>
      <c r="W15" s="3"/>
      <c r="X15" s="3">
        <f t="shared" si="2"/>
        <v>-8765.4700000000012</v>
      </c>
      <c r="Y15" s="3"/>
      <c r="Z15" s="22">
        <f t="shared" si="3"/>
        <v>-0.40218152853821626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"4017", " - ", "TAXABLE SALES-DORM/HOUSEWARES")</f>
        <v xml:space="preserve">          4017 - TAXABLE SALES-DORM/HOUSEWARES</v>
      </c>
      <c r="C20" s="11"/>
      <c r="D20" s="3">
        <f>0</f>
        <v>0</v>
      </c>
      <c r="E20" s="3"/>
      <c r="F20" s="22"/>
      <c r="G20" s="3"/>
      <c r="H20" s="3">
        <f>--4.47</f>
        <v>4.47</v>
      </c>
      <c r="I20" s="3"/>
      <c r="J20" s="22"/>
      <c r="K20" s="3"/>
      <c r="L20" s="3">
        <f t="shared" si="0"/>
        <v>-4.47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--4.47</f>
        <v>4.47</v>
      </c>
      <c r="U20" s="3"/>
      <c r="V20" s="22"/>
      <c r="W20" s="3"/>
      <c r="X20" s="3">
        <f t="shared" si="2"/>
        <v>-4.47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"4018", " - ", "TAXABLE SALES-STUDY GUIDES")</f>
        <v xml:space="preserve">          4018 - TAXABLE SALES-STUDY GUIDES</v>
      </c>
      <c r="C21" s="11"/>
      <c r="D21" s="3">
        <f>--16.99</f>
        <v>16.989999999999998</v>
      </c>
      <c r="E21" s="3"/>
      <c r="F21" s="22"/>
      <c r="G21" s="3"/>
      <c r="H21" s="3">
        <f>--179.29</f>
        <v>179.29</v>
      </c>
      <c r="I21" s="3"/>
      <c r="J21" s="22"/>
      <c r="K21" s="3"/>
      <c r="L21" s="3">
        <f t="shared" si="0"/>
        <v>-162.29999999999998</v>
      </c>
      <c r="M21" s="3"/>
      <c r="N21" s="22">
        <f t="shared" si="1"/>
        <v>-0.90523732500418308</v>
      </c>
      <c r="O21" s="11"/>
      <c r="P21" s="3">
        <f>--16.99</f>
        <v>16.989999999999998</v>
      </c>
      <c r="Q21" s="3"/>
      <c r="R21" s="22"/>
      <c r="S21" s="3"/>
      <c r="T21" s="3">
        <f>--179.29</f>
        <v>179.29</v>
      </c>
      <c r="U21" s="3"/>
      <c r="V21" s="22"/>
      <c r="W21" s="3"/>
      <c r="X21" s="3">
        <f t="shared" si="2"/>
        <v>-162.29999999999998</v>
      </c>
      <c r="Y21" s="3"/>
      <c r="Z21" s="22">
        <f t="shared" si="3"/>
        <v>-0.90523732500418308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3">
        <f>0</f>
        <v>0</v>
      </c>
      <c r="E22" s="3"/>
      <c r="F22" s="22"/>
      <c r="G22" s="3"/>
      <c r="H22" s="3">
        <f>--392.29</f>
        <v>392.29</v>
      </c>
      <c r="I22" s="3"/>
      <c r="J22" s="22"/>
      <c r="K22" s="3"/>
      <c r="L22" s="3">
        <f t="shared" si="0"/>
        <v>-392.29</v>
      </c>
      <c r="M22" s="3"/>
      <c r="N22" s="22">
        <f t="shared" si="1"/>
        <v>-1</v>
      </c>
      <c r="O22" s="11"/>
      <c r="P22" s="3">
        <f>0</f>
        <v>0</v>
      </c>
      <c r="Q22" s="3"/>
      <c r="R22" s="22"/>
      <c r="S22" s="3"/>
      <c r="T22" s="3">
        <f>--392.29</f>
        <v>392.29</v>
      </c>
      <c r="U22" s="3"/>
      <c r="V22" s="22"/>
      <c r="W22" s="3"/>
      <c r="X22" s="3">
        <f t="shared" si="2"/>
        <v>-392.29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3">
        <f>--236.56</f>
        <v>236.56</v>
      </c>
      <c r="E23" s="3"/>
      <c r="F23" s="22"/>
      <c r="G23" s="3"/>
      <c r="H23" s="3">
        <f>--1935.51</f>
        <v>1935.51</v>
      </c>
      <c r="I23" s="3"/>
      <c r="J23" s="22"/>
      <c r="K23" s="3"/>
      <c r="L23" s="3">
        <f t="shared" si="0"/>
        <v>-1698.95</v>
      </c>
      <c r="M23" s="3"/>
      <c r="N23" s="22">
        <f t="shared" si="1"/>
        <v>-0.87777898331705861</v>
      </c>
      <c r="O23" s="11"/>
      <c r="P23" s="3">
        <f>--236.56</f>
        <v>236.56</v>
      </c>
      <c r="Q23" s="3"/>
      <c r="R23" s="22"/>
      <c r="S23" s="3"/>
      <c r="T23" s="3">
        <f>--1935.51</f>
        <v>1935.51</v>
      </c>
      <c r="U23" s="3"/>
      <c r="V23" s="22"/>
      <c r="W23" s="3"/>
      <c r="X23" s="3">
        <f t="shared" si="2"/>
        <v>-1698.95</v>
      </c>
      <c r="Y23" s="3"/>
      <c r="Z23" s="22">
        <f t="shared" si="3"/>
        <v>-0.87777898331705861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3">
        <f>--1653.17</f>
        <v>1653.17</v>
      </c>
      <c r="E24" s="3"/>
      <c r="F24" s="22"/>
      <c r="G24" s="3"/>
      <c r="H24" s="3">
        <f>--13150</f>
        <v>13150</v>
      </c>
      <c r="I24" s="3"/>
      <c r="J24" s="22"/>
      <c r="K24" s="3"/>
      <c r="L24" s="3">
        <f t="shared" si="0"/>
        <v>-11496.83</v>
      </c>
      <c r="M24" s="3"/>
      <c r="N24" s="22">
        <f t="shared" si="1"/>
        <v>-0.87428365019011411</v>
      </c>
      <c r="O24" s="11"/>
      <c r="P24" s="3">
        <f>--1653.17</f>
        <v>1653.17</v>
      </c>
      <c r="Q24" s="3"/>
      <c r="R24" s="22"/>
      <c r="S24" s="3"/>
      <c r="T24" s="3">
        <f>--13150</f>
        <v>13150</v>
      </c>
      <c r="U24" s="3"/>
      <c r="V24" s="22"/>
      <c r="W24" s="3"/>
      <c r="X24" s="3">
        <f t="shared" si="2"/>
        <v>-11496.83</v>
      </c>
      <c r="Y24" s="3"/>
      <c r="Z24" s="22">
        <f t="shared" si="3"/>
        <v>-0.87428365019011411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3">
        <f>--19.85</f>
        <v>19.850000000000001</v>
      </c>
      <c r="E25" s="3"/>
      <c r="F25" s="22"/>
      <c r="G25" s="3"/>
      <c r="H25" s="3">
        <f>--2284.16</f>
        <v>2284.16</v>
      </c>
      <c r="I25" s="3"/>
      <c r="J25" s="22"/>
      <c r="K25" s="3"/>
      <c r="L25" s="3">
        <f t="shared" si="0"/>
        <v>-2264.31</v>
      </c>
      <c r="M25" s="3"/>
      <c r="N25" s="22">
        <f t="shared" si="1"/>
        <v>-0.99130971560661252</v>
      </c>
      <c r="O25" s="11"/>
      <c r="P25" s="3">
        <f>--19.85</f>
        <v>19.850000000000001</v>
      </c>
      <c r="Q25" s="3"/>
      <c r="R25" s="22"/>
      <c r="S25" s="3"/>
      <c r="T25" s="3">
        <f>--2284.16</f>
        <v>2284.16</v>
      </c>
      <c r="U25" s="3"/>
      <c r="V25" s="22"/>
      <c r="W25" s="3"/>
      <c r="X25" s="3">
        <f t="shared" si="2"/>
        <v>-2264.31</v>
      </c>
      <c r="Y25" s="3"/>
      <c r="Z25" s="22">
        <f t="shared" si="3"/>
        <v>-0.99130971560661252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3">
        <f>--19.75</f>
        <v>19.75</v>
      </c>
      <c r="E26" s="3"/>
      <c r="F26" s="22"/>
      <c r="G26" s="3"/>
      <c r="H26" s="3">
        <f>--1.52</f>
        <v>1.52</v>
      </c>
      <c r="I26" s="3"/>
      <c r="J26" s="22"/>
      <c r="K26" s="3"/>
      <c r="L26" s="3">
        <f t="shared" si="0"/>
        <v>18.23</v>
      </c>
      <c r="M26" s="3"/>
      <c r="N26" s="22">
        <f t="shared" si="1"/>
        <v>11.993421052631579</v>
      </c>
      <c r="O26" s="11"/>
      <c r="P26" s="3">
        <f>--19.75</f>
        <v>19.75</v>
      </c>
      <c r="Q26" s="3"/>
      <c r="R26" s="22"/>
      <c r="S26" s="3"/>
      <c r="T26" s="3">
        <f>--1.52</f>
        <v>1.52</v>
      </c>
      <c r="U26" s="3"/>
      <c r="V26" s="22"/>
      <c r="W26" s="3"/>
      <c r="X26" s="3">
        <f t="shared" si="2"/>
        <v>18.23</v>
      </c>
      <c r="Y26" s="3"/>
      <c r="Z26" s="22">
        <f t="shared" si="3"/>
        <v>11.993421052631579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3">
        <f t="shared" ref="D27:D28" si="6">0</f>
        <v>0</v>
      </c>
      <c r="E27" s="3"/>
      <c r="F27" s="22"/>
      <c r="G27" s="3"/>
      <c r="H27" s="3">
        <f>--6881.73</f>
        <v>6881.73</v>
      </c>
      <c r="I27" s="3"/>
      <c r="J27" s="22"/>
      <c r="K27" s="3"/>
      <c r="L27" s="3">
        <f t="shared" si="0"/>
        <v>-6881.73</v>
      </c>
      <c r="M27" s="3"/>
      <c r="N27" s="22">
        <f t="shared" si="1"/>
        <v>-1</v>
      </c>
      <c r="O27" s="11"/>
      <c r="P27" s="3">
        <f t="shared" ref="P27:P28" si="7">0</f>
        <v>0</v>
      </c>
      <c r="Q27" s="3"/>
      <c r="R27" s="22"/>
      <c r="S27" s="3"/>
      <c r="T27" s="3">
        <f>--6881.73</f>
        <v>6881.73</v>
      </c>
      <c r="U27" s="3"/>
      <c r="V27" s="22"/>
      <c r="W27" s="3"/>
      <c r="X27" s="3">
        <f t="shared" si="2"/>
        <v>-6881.73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3">
        <f t="shared" si="6"/>
        <v>0</v>
      </c>
      <c r="E28" s="3"/>
      <c r="F28" s="22"/>
      <c r="G28" s="3"/>
      <c r="H28" s="3">
        <f>--3.17</f>
        <v>3.17</v>
      </c>
      <c r="I28" s="3"/>
      <c r="J28" s="22"/>
      <c r="K28" s="3"/>
      <c r="L28" s="3">
        <f t="shared" si="0"/>
        <v>-3.17</v>
      </c>
      <c r="M28" s="3"/>
      <c r="N28" s="22">
        <f t="shared" si="1"/>
        <v>-1</v>
      </c>
      <c r="O28" s="11"/>
      <c r="P28" s="3">
        <f t="shared" si="7"/>
        <v>0</v>
      </c>
      <c r="Q28" s="3"/>
      <c r="R28" s="22"/>
      <c r="S28" s="3"/>
      <c r="T28" s="3">
        <f>--3.17</f>
        <v>3.17</v>
      </c>
      <c r="U28" s="3"/>
      <c r="V28" s="22"/>
      <c r="W28" s="3"/>
      <c r="X28" s="3">
        <f t="shared" si="2"/>
        <v>-3.17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3">
        <f>--6.78</f>
        <v>6.78</v>
      </c>
      <c r="E29" s="3"/>
      <c r="F29" s="22"/>
      <c r="G29" s="3"/>
      <c r="H29" s="3">
        <f>--323.49</f>
        <v>323.49</v>
      </c>
      <c r="I29" s="3"/>
      <c r="J29" s="22"/>
      <c r="K29" s="3"/>
      <c r="L29" s="3">
        <f t="shared" si="0"/>
        <v>-316.71000000000004</v>
      </c>
      <c r="M29" s="3"/>
      <c r="N29" s="22">
        <f t="shared" si="1"/>
        <v>-0.9790410831864973</v>
      </c>
      <c r="O29" s="11"/>
      <c r="P29" s="3">
        <f>--6.78</f>
        <v>6.78</v>
      </c>
      <c r="Q29" s="3"/>
      <c r="R29" s="22"/>
      <c r="S29" s="3"/>
      <c r="T29" s="3">
        <f>--323.49</f>
        <v>323.49</v>
      </c>
      <c r="U29" s="3"/>
      <c r="V29" s="22"/>
      <c r="W29" s="3"/>
      <c r="X29" s="3">
        <f t="shared" si="2"/>
        <v>-316.71000000000004</v>
      </c>
      <c r="Y29" s="3"/>
      <c r="Z29" s="22">
        <f t="shared" si="3"/>
        <v>-0.9790410831864973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3">
        <f t="shared" ref="D30:D31" si="8">0</f>
        <v>0</v>
      </c>
      <c r="E30" s="3"/>
      <c r="F30" s="22"/>
      <c r="G30" s="3"/>
      <c r="H30" s="3">
        <f>--5.97</f>
        <v>5.97</v>
      </c>
      <c r="I30" s="3"/>
      <c r="J30" s="22"/>
      <c r="K30" s="3"/>
      <c r="L30" s="3">
        <f t="shared" si="0"/>
        <v>-5.97</v>
      </c>
      <c r="M30" s="3"/>
      <c r="N30" s="22">
        <f t="shared" si="1"/>
        <v>-1</v>
      </c>
      <c r="O30" s="11"/>
      <c r="P30" s="3">
        <f t="shared" ref="P30:P31" si="9">0</f>
        <v>0</v>
      </c>
      <c r="Q30" s="3"/>
      <c r="R30" s="22"/>
      <c r="S30" s="3"/>
      <c r="T30" s="3">
        <f>--5.97</f>
        <v>5.97</v>
      </c>
      <c r="U30" s="3"/>
      <c r="V30" s="22"/>
      <c r="W30" s="3"/>
      <c r="X30" s="3">
        <f t="shared" si="2"/>
        <v>-5.97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3">
        <f t="shared" si="8"/>
        <v>0</v>
      </c>
      <c r="E31" s="3"/>
      <c r="F31" s="22"/>
      <c r="G31" s="3"/>
      <c r="H31" s="3">
        <f>--5.29</f>
        <v>5.29</v>
      </c>
      <c r="I31" s="3"/>
      <c r="J31" s="22"/>
      <c r="K31" s="3"/>
      <c r="L31" s="3">
        <f t="shared" si="0"/>
        <v>-5.29</v>
      </c>
      <c r="M31" s="3"/>
      <c r="N31" s="22">
        <f t="shared" si="1"/>
        <v>-1</v>
      </c>
      <c r="O31" s="11"/>
      <c r="P31" s="3">
        <f t="shared" si="9"/>
        <v>0</v>
      </c>
      <c r="Q31" s="3"/>
      <c r="R31" s="22"/>
      <c r="S31" s="3"/>
      <c r="T31" s="3">
        <f>--5.29</f>
        <v>5.29</v>
      </c>
      <c r="U31" s="3"/>
      <c r="V31" s="22"/>
      <c r="W31" s="3"/>
      <c r="X31" s="3">
        <f t="shared" si="2"/>
        <v>-5.29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3">
        <f>--72292.26</f>
        <v>72292.259999999995</v>
      </c>
      <c r="E32" s="3"/>
      <c r="F32" s="22"/>
      <c r="G32" s="3"/>
      <c r="H32" s="3">
        <f>--170312.02</f>
        <v>170312.02</v>
      </c>
      <c r="I32" s="3"/>
      <c r="J32" s="22"/>
      <c r="K32" s="3"/>
      <c r="L32" s="3">
        <f t="shared" si="0"/>
        <v>-98019.76</v>
      </c>
      <c r="M32" s="3"/>
      <c r="N32" s="22">
        <f t="shared" si="1"/>
        <v>-0.57553048810060503</v>
      </c>
      <c r="O32" s="11"/>
      <c r="P32" s="3">
        <f>--72292.26</f>
        <v>72292.259999999995</v>
      </c>
      <c r="Q32" s="3"/>
      <c r="R32" s="22"/>
      <c r="S32" s="3"/>
      <c r="T32" s="3">
        <f>--170312.02</f>
        <v>170312.02</v>
      </c>
      <c r="U32" s="3"/>
      <c r="V32" s="22"/>
      <c r="W32" s="3"/>
      <c r="X32" s="3">
        <f t="shared" si="2"/>
        <v>-98019.76</v>
      </c>
      <c r="Y32" s="3"/>
      <c r="Z32" s="22">
        <f t="shared" si="3"/>
        <v>-0.57553048810060503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3">
        <f>--21188.91</f>
        <v>21188.91</v>
      </c>
      <c r="E33" s="3"/>
      <c r="F33" s="22"/>
      <c r="G33" s="3"/>
      <c r="H33" s="3">
        <f>--31041.59</f>
        <v>31041.59</v>
      </c>
      <c r="I33" s="3"/>
      <c r="J33" s="22"/>
      <c r="K33" s="3"/>
      <c r="L33" s="3">
        <f t="shared" si="0"/>
        <v>-9852.68</v>
      </c>
      <c r="M33" s="3"/>
      <c r="N33" s="22">
        <f t="shared" si="1"/>
        <v>-0.31740255573248666</v>
      </c>
      <c r="O33" s="11"/>
      <c r="P33" s="3">
        <f>--21188.91</f>
        <v>21188.91</v>
      </c>
      <c r="Q33" s="3"/>
      <c r="R33" s="22"/>
      <c r="S33" s="3"/>
      <c r="T33" s="3">
        <f>--31041.59</f>
        <v>31041.59</v>
      </c>
      <c r="U33" s="3"/>
      <c r="V33" s="22"/>
      <c r="W33" s="3"/>
      <c r="X33" s="3">
        <f t="shared" si="2"/>
        <v>-9852.68</v>
      </c>
      <c r="Y33" s="3"/>
      <c r="Z33" s="22">
        <f t="shared" si="3"/>
        <v>-0.31740255573248666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3">
        <f>--9503.9</f>
        <v>9503.9</v>
      </c>
      <c r="E34" s="3"/>
      <c r="F34" s="22"/>
      <c r="G34" s="3"/>
      <c r="H34" s="3">
        <f>--15593.05</f>
        <v>15593.05</v>
      </c>
      <c r="I34" s="3"/>
      <c r="J34" s="22"/>
      <c r="K34" s="3"/>
      <c r="L34" s="3">
        <f t="shared" si="0"/>
        <v>-6089.15</v>
      </c>
      <c r="M34" s="3"/>
      <c r="N34" s="22">
        <f t="shared" si="1"/>
        <v>-0.39050410278938374</v>
      </c>
      <c r="O34" s="11"/>
      <c r="P34" s="3">
        <f>--9503.9</f>
        <v>9503.9</v>
      </c>
      <c r="Q34" s="3"/>
      <c r="R34" s="22"/>
      <c r="S34" s="3"/>
      <c r="T34" s="3">
        <f>--15593.05</f>
        <v>15593.05</v>
      </c>
      <c r="U34" s="3"/>
      <c r="V34" s="22"/>
      <c r="W34" s="3"/>
      <c r="X34" s="3">
        <f t="shared" si="2"/>
        <v>-6089.15</v>
      </c>
      <c r="Y34" s="3"/>
      <c r="Z34" s="22">
        <f t="shared" si="3"/>
        <v>-0.39050410278938374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3">
        <f>--217.36</f>
        <v>217.36</v>
      </c>
      <c r="E35" s="3"/>
      <c r="F35" s="22"/>
      <c r="G35" s="3"/>
      <c r="H35" s="3">
        <f>--56.4</f>
        <v>56.4</v>
      </c>
      <c r="I35" s="3"/>
      <c r="J35" s="22"/>
      <c r="K35" s="3"/>
      <c r="L35" s="3">
        <f t="shared" si="0"/>
        <v>160.96</v>
      </c>
      <c r="M35" s="3"/>
      <c r="N35" s="22">
        <f t="shared" si="1"/>
        <v>2.8539007092198583</v>
      </c>
      <c r="O35" s="11"/>
      <c r="P35" s="3">
        <f>--217.36</f>
        <v>217.36</v>
      </c>
      <c r="Q35" s="3"/>
      <c r="R35" s="22"/>
      <c r="S35" s="3"/>
      <c r="T35" s="3">
        <f>--56.4</f>
        <v>56.4</v>
      </c>
      <c r="U35" s="3"/>
      <c r="V35" s="22"/>
      <c r="W35" s="3"/>
      <c r="X35" s="3">
        <f t="shared" si="2"/>
        <v>160.96</v>
      </c>
      <c r="Y35" s="3"/>
      <c r="Z35" s="22">
        <f t="shared" si="3"/>
        <v>2.8539007092198583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3">
        <f>--1800.68</f>
        <v>1800.68</v>
      </c>
      <c r="E36" s="3"/>
      <c r="F36" s="22"/>
      <c r="G36" s="3"/>
      <c r="H36" s="3">
        <f>--2342.65</f>
        <v>2342.65</v>
      </c>
      <c r="I36" s="3"/>
      <c r="J36" s="22"/>
      <c r="K36" s="3"/>
      <c r="L36" s="3">
        <f t="shared" si="0"/>
        <v>-541.97</v>
      </c>
      <c r="M36" s="3"/>
      <c r="N36" s="22">
        <f t="shared" si="1"/>
        <v>-0.23134911318378759</v>
      </c>
      <c r="O36" s="11"/>
      <c r="P36" s="3">
        <f>--1800.68</f>
        <v>1800.68</v>
      </c>
      <c r="Q36" s="3"/>
      <c r="R36" s="22"/>
      <c r="S36" s="3"/>
      <c r="T36" s="3">
        <f>--2342.65</f>
        <v>2342.65</v>
      </c>
      <c r="U36" s="3"/>
      <c r="V36" s="22"/>
      <c r="W36" s="3"/>
      <c r="X36" s="3">
        <f t="shared" si="2"/>
        <v>-541.97</v>
      </c>
      <c r="Y36" s="3"/>
      <c r="Z36" s="22">
        <f t="shared" si="3"/>
        <v>-0.23134911318378759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3">
        <f>--43426.73</f>
        <v>43426.73</v>
      </c>
      <c r="E37" s="3"/>
      <c r="F37" s="22"/>
      <c r="G37" s="3"/>
      <c r="H37" s="3">
        <f>--19420.72</f>
        <v>19420.72</v>
      </c>
      <c r="I37" s="3"/>
      <c r="J37" s="22"/>
      <c r="K37" s="3"/>
      <c r="L37" s="3">
        <f t="shared" si="0"/>
        <v>24006.010000000002</v>
      </c>
      <c r="M37" s="3"/>
      <c r="N37" s="22">
        <f t="shared" si="1"/>
        <v>1.2361029869129465</v>
      </c>
      <c r="O37" s="11"/>
      <c r="P37" s="3">
        <f>--43426.73</f>
        <v>43426.73</v>
      </c>
      <c r="Q37" s="3"/>
      <c r="R37" s="22"/>
      <c r="S37" s="3"/>
      <c r="T37" s="3">
        <f>--19420.72</f>
        <v>19420.72</v>
      </c>
      <c r="U37" s="3"/>
      <c r="V37" s="22"/>
      <c r="W37" s="3"/>
      <c r="X37" s="3">
        <f t="shared" si="2"/>
        <v>24006.010000000002</v>
      </c>
      <c r="Y37" s="3"/>
      <c r="Z37" s="22">
        <f t="shared" si="3"/>
        <v>1.2361029869129465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3">
        <f t="shared" ref="D38:D44" si="10">0</f>
        <v>0</v>
      </c>
      <c r="E38" s="3"/>
      <c r="F38" s="22"/>
      <c r="G38" s="3"/>
      <c r="H38" s="3">
        <f>--40</f>
        <v>40</v>
      </c>
      <c r="I38" s="3"/>
      <c r="J38" s="22"/>
      <c r="K38" s="3"/>
      <c r="L38" s="3">
        <f t="shared" si="0"/>
        <v>-40</v>
      </c>
      <c r="M38" s="3"/>
      <c r="N38" s="22">
        <f t="shared" si="1"/>
        <v>-1</v>
      </c>
      <c r="O38" s="11"/>
      <c r="P38" s="3">
        <f t="shared" ref="P38:P44" si="11">0</f>
        <v>0</v>
      </c>
      <c r="Q38" s="3"/>
      <c r="R38" s="22"/>
      <c r="S38" s="3"/>
      <c r="T38" s="3">
        <f>--40</f>
        <v>40</v>
      </c>
      <c r="U38" s="3"/>
      <c r="V38" s="22"/>
      <c r="W38" s="3"/>
      <c r="X38" s="3">
        <f t="shared" si="2"/>
        <v>-40</v>
      </c>
      <c r="Y38" s="3"/>
      <c r="Z38" s="22">
        <f t="shared" si="3"/>
        <v>-1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3">
        <f t="shared" si="10"/>
        <v>0</v>
      </c>
      <c r="E39" s="3"/>
      <c r="F39" s="22"/>
      <c r="G39" s="3"/>
      <c r="H39" s="3">
        <f>--3727.67</f>
        <v>3727.67</v>
      </c>
      <c r="I39" s="3"/>
      <c r="J39" s="22"/>
      <c r="K39" s="3"/>
      <c r="L39" s="3">
        <f t="shared" si="0"/>
        <v>-3727.67</v>
      </c>
      <c r="M39" s="3"/>
      <c r="N39" s="22">
        <f t="shared" si="1"/>
        <v>-1</v>
      </c>
      <c r="O39" s="11"/>
      <c r="P39" s="3">
        <f t="shared" si="11"/>
        <v>0</v>
      </c>
      <c r="Q39" s="3"/>
      <c r="R39" s="22"/>
      <c r="S39" s="3"/>
      <c r="T39" s="3">
        <f>--3727.67</f>
        <v>3727.67</v>
      </c>
      <c r="U39" s="3"/>
      <c r="V39" s="22"/>
      <c r="W39" s="3"/>
      <c r="X39" s="3">
        <f t="shared" si="2"/>
        <v>-3727.67</v>
      </c>
      <c r="Y39" s="3"/>
      <c r="Z39" s="22">
        <f t="shared" si="3"/>
        <v>-1</v>
      </c>
    </row>
    <row r="40" spans="1:26" s="24" customFormat="1" hidden="1" outlineLevel="1" x14ac:dyDescent="0.25">
      <c r="A40" s="50"/>
      <c r="B40" s="11" t="str">
        <f>CONCATENATE("          ", "4081", " - ", "TAXABLE SALES-ELECTRONICS")</f>
        <v xml:space="preserve">          4081 - TAXABLE SALES-ELECTRONICS</v>
      </c>
      <c r="C40" s="11"/>
      <c r="D40" s="3">
        <f t="shared" si="10"/>
        <v>0</v>
      </c>
      <c r="E40" s="3"/>
      <c r="F40" s="22"/>
      <c r="G40" s="3"/>
      <c r="H40" s="3">
        <f>--7.98</f>
        <v>7.98</v>
      </c>
      <c r="I40" s="3"/>
      <c r="J40" s="22"/>
      <c r="K40" s="3"/>
      <c r="L40" s="3">
        <f t="shared" si="0"/>
        <v>-7.98</v>
      </c>
      <c r="M40" s="3"/>
      <c r="N40" s="22">
        <f t="shared" si="1"/>
        <v>-1</v>
      </c>
      <c r="O40" s="11"/>
      <c r="P40" s="3">
        <f t="shared" si="11"/>
        <v>0</v>
      </c>
      <c r="Q40" s="3"/>
      <c r="R40" s="22"/>
      <c r="S40" s="3"/>
      <c r="T40" s="3">
        <f>--7.98</f>
        <v>7.98</v>
      </c>
      <c r="U40" s="3"/>
      <c r="V40" s="22"/>
      <c r="W40" s="3"/>
      <c r="X40" s="3">
        <f t="shared" si="2"/>
        <v>-7.98</v>
      </c>
      <c r="Y40" s="3"/>
      <c r="Z40" s="22">
        <f t="shared" si="3"/>
        <v>-1</v>
      </c>
    </row>
    <row r="41" spans="1:26" s="24" customFormat="1" hidden="1" outlineLevel="1" x14ac:dyDescent="0.25">
      <c r="A41" s="50"/>
      <c r="B41" s="11" t="str">
        <f>CONCATENATE("          ", "4082", " - ", "TAXABLE SALES-COMPUTER HARDWAR")</f>
        <v xml:space="preserve">          4082 - TAXABLE SALES-COMPUTER HARDWAR</v>
      </c>
      <c r="C41" s="11"/>
      <c r="D41" s="3">
        <f t="shared" si="10"/>
        <v>0</v>
      </c>
      <c r="E41" s="3"/>
      <c r="F41" s="22"/>
      <c r="G41" s="3"/>
      <c r="H41" s="3">
        <f>--19</f>
        <v>19</v>
      </c>
      <c r="I41" s="3"/>
      <c r="J41" s="22"/>
      <c r="K41" s="3"/>
      <c r="L41" s="3">
        <f t="shared" si="0"/>
        <v>-19</v>
      </c>
      <c r="M41" s="3"/>
      <c r="N41" s="22">
        <f t="shared" si="1"/>
        <v>-1</v>
      </c>
      <c r="O41" s="11"/>
      <c r="P41" s="3">
        <f t="shared" si="11"/>
        <v>0</v>
      </c>
      <c r="Q41" s="3"/>
      <c r="R41" s="22"/>
      <c r="S41" s="3"/>
      <c r="T41" s="3">
        <f>--19</f>
        <v>19</v>
      </c>
      <c r="U41" s="3"/>
      <c r="V41" s="22"/>
      <c r="W41" s="3"/>
      <c r="X41" s="3">
        <f t="shared" si="2"/>
        <v>-19</v>
      </c>
      <c r="Y41" s="3"/>
      <c r="Z41" s="22">
        <f t="shared" si="3"/>
        <v>-1</v>
      </c>
    </row>
    <row r="42" spans="1:26" s="24" customFormat="1" hidden="1" outlineLevel="1" x14ac:dyDescent="0.25">
      <c r="A42" s="50"/>
      <c r="B42" s="11" t="str">
        <f>CONCATENATE("          ", "4086", " - ", "TAXABLE SALES-COMPUTER SUPPLIE")</f>
        <v xml:space="preserve">          4086 - TAXABLE SALES-COMPUTER SUPPLIE</v>
      </c>
      <c r="C42" s="11"/>
      <c r="D42" s="3">
        <f t="shared" si="10"/>
        <v>0</v>
      </c>
      <c r="E42" s="3"/>
      <c r="F42" s="22"/>
      <c r="G42" s="3"/>
      <c r="H42" s="3">
        <f>--14.99</f>
        <v>14.99</v>
      </c>
      <c r="I42" s="3"/>
      <c r="J42" s="22"/>
      <c r="K42" s="3"/>
      <c r="L42" s="3">
        <f t="shared" si="0"/>
        <v>-14.99</v>
      </c>
      <c r="M42" s="3"/>
      <c r="N42" s="22">
        <f t="shared" si="1"/>
        <v>-1</v>
      </c>
      <c r="O42" s="11"/>
      <c r="P42" s="3">
        <f t="shared" si="11"/>
        <v>0</v>
      </c>
      <c r="Q42" s="3"/>
      <c r="R42" s="22"/>
      <c r="S42" s="3"/>
      <c r="T42" s="3">
        <f>--14.99</f>
        <v>14.99</v>
      </c>
      <c r="U42" s="3"/>
      <c r="V42" s="22"/>
      <c r="W42" s="3"/>
      <c r="X42" s="3">
        <f t="shared" si="2"/>
        <v>-14.99</v>
      </c>
      <c r="Y42" s="3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"4092", " - ", "TAXABLE SALES-GRAD MERCH")</f>
        <v xml:space="preserve">          4092 - TAXABLE SALES-GRAD MERCH</v>
      </c>
      <c r="C43" s="11"/>
      <c r="D43" s="3">
        <f t="shared" si="10"/>
        <v>0</v>
      </c>
      <c r="E43" s="3"/>
      <c r="F43" s="22"/>
      <c r="G43" s="3"/>
      <c r="H43" s="3">
        <f>--2128.63</f>
        <v>2128.63</v>
      </c>
      <c r="I43" s="3"/>
      <c r="J43" s="22"/>
      <c r="K43" s="3"/>
      <c r="L43" s="3">
        <f t="shared" si="0"/>
        <v>-2128.63</v>
      </c>
      <c r="M43" s="3"/>
      <c r="N43" s="22">
        <f t="shared" si="1"/>
        <v>-1</v>
      </c>
      <c r="O43" s="11"/>
      <c r="P43" s="3">
        <f t="shared" si="11"/>
        <v>0</v>
      </c>
      <c r="Q43" s="3"/>
      <c r="R43" s="22"/>
      <c r="S43" s="3"/>
      <c r="T43" s="3">
        <f>--2128.63</f>
        <v>2128.63</v>
      </c>
      <c r="U43" s="3"/>
      <c r="V43" s="22"/>
      <c r="W43" s="3"/>
      <c r="X43" s="3">
        <f t="shared" si="2"/>
        <v>-2128.63</v>
      </c>
      <c r="Y43" s="3"/>
      <c r="Z43" s="22">
        <f t="shared" si="3"/>
        <v>-1</v>
      </c>
    </row>
    <row r="44" spans="1:26" s="24" customFormat="1" hidden="1" outlineLevel="1" x14ac:dyDescent="0.25">
      <c r="A44" s="50"/>
      <c r="B44" s="11" t="str">
        <f>CONCATENATE("          ", "4095", " - ", "TAXABLE SALES-CUSTOMER SERVICE")</f>
        <v xml:space="preserve">          4095 - TAXABLE SALES-CUSTOMER SERVICE</v>
      </c>
      <c r="C44" s="11"/>
      <c r="D44" s="3">
        <f t="shared" si="10"/>
        <v>0</v>
      </c>
      <c r="E44" s="3"/>
      <c r="F44" s="22"/>
      <c r="G44" s="3"/>
      <c r="H44" s="3">
        <f>--46.53</f>
        <v>46.53</v>
      </c>
      <c r="I44" s="3"/>
      <c r="J44" s="22"/>
      <c r="K44" s="3"/>
      <c r="L44" s="3">
        <f t="shared" si="0"/>
        <v>-46.53</v>
      </c>
      <c r="M44" s="3"/>
      <c r="N44" s="22">
        <f t="shared" si="1"/>
        <v>-1</v>
      </c>
      <c r="O44" s="11"/>
      <c r="P44" s="3">
        <f t="shared" si="11"/>
        <v>0</v>
      </c>
      <c r="Q44" s="3"/>
      <c r="R44" s="22"/>
      <c r="S44" s="3"/>
      <c r="T44" s="3">
        <f>--46.53</f>
        <v>46.53</v>
      </c>
      <c r="U44" s="3"/>
      <c r="V44" s="22"/>
      <c r="W44" s="3"/>
      <c r="X44" s="3">
        <f t="shared" si="2"/>
        <v>-46.53</v>
      </c>
      <c r="Y44" s="3"/>
      <c r="Z44" s="22">
        <f t="shared" si="3"/>
        <v>-1</v>
      </c>
    </row>
    <row r="45" spans="1:26" s="24" customFormat="1" hidden="1" outlineLevel="1" x14ac:dyDescent="0.25">
      <c r="A45" s="50"/>
      <c r="B45" s="11" t="str">
        <f>CONCATENATE("          ", "4100", " - ", "NON-TAXABLE SALES")</f>
        <v xml:space="preserve">          4100 - NON-TAXABLE SALES</v>
      </c>
      <c r="C45" s="11"/>
      <c r="D45" s="3">
        <f>--3038.3</f>
        <v>3038.3</v>
      </c>
      <c r="E45" s="3"/>
      <c r="F45" s="22"/>
      <c r="G45" s="3"/>
      <c r="H45" s="3">
        <f>--4262.2</f>
        <v>4262.2</v>
      </c>
      <c r="I45" s="3"/>
      <c r="J45" s="22"/>
      <c r="K45" s="3"/>
      <c r="L45" s="3">
        <f t="shared" si="0"/>
        <v>-1223.8999999999996</v>
      </c>
      <c r="M45" s="3"/>
      <c r="N45" s="22">
        <f t="shared" si="1"/>
        <v>-0.28715217493313305</v>
      </c>
      <c r="O45" s="11"/>
      <c r="P45" s="3">
        <f>--3038.3</f>
        <v>3038.3</v>
      </c>
      <c r="Q45" s="3"/>
      <c r="R45" s="22"/>
      <c r="S45" s="3"/>
      <c r="T45" s="3">
        <f>--4262.2</f>
        <v>4262.2</v>
      </c>
      <c r="U45" s="3"/>
      <c r="V45" s="22"/>
      <c r="W45" s="3"/>
      <c r="X45" s="3">
        <f t="shared" si="2"/>
        <v>-1223.8999999999996</v>
      </c>
      <c r="Y45" s="3"/>
      <c r="Z45" s="22">
        <f t="shared" si="3"/>
        <v>-0.28715217493313305</v>
      </c>
    </row>
    <row r="46" spans="1:26" s="24" customFormat="1" hidden="1" outlineLevel="1" x14ac:dyDescent="0.25">
      <c r="A46" s="50"/>
      <c r="B46" s="11" t="str">
        <f>CONCATENATE("          ", "4101", " - ", "NON-TAXABLE SALES-NEW TEXT")</f>
        <v xml:space="preserve">          4101 - NON-TAXABLE SALES-NEW TEXT</v>
      </c>
      <c r="C46" s="11"/>
      <c r="D46" s="3">
        <f>--10341.86</f>
        <v>10341.86</v>
      </c>
      <c r="E46" s="3"/>
      <c r="F46" s="22"/>
      <c r="G46" s="3"/>
      <c r="H46" s="3">
        <f>--7736.58</f>
        <v>7736.58</v>
      </c>
      <c r="I46" s="3"/>
      <c r="J46" s="22"/>
      <c r="K46" s="3"/>
      <c r="L46" s="3">
        <f t="shared" si="0"/>
        <v>2605.2800000000007</v>
      </c>
      <c r="M46" s="3"/>
      <c r="N46" s="22">
        <f t="shared" si="1"/>
        <v>0.33674827895530074</v>
      </c>
      <c r="O46" s="11"/>
      <c r="P46" s="3">
        <f>--10341.86</f>
        <v>10341.86</v>
      </c>
      <c r="Q46" s="3"/>
      <c r="R46" s="22"/>
      <c r="S46" s="3"/>
      <c r="T46" s="3">
        <f>--7736.58</f>
        <v>7736.58</v>
      </c>
      <c r="U46" s="3"/>
      <c r="V46" s="22"/>
      <c r="W46" s="3"/>
      <c r="X46" s="3">
        <f t="shared" si="2"/>
        <v>2605.2800000000007</v>
      </c>
      <c r="Y46" s="3"/>
      <c r="Z46" s="22">
        <f t="shared" si="3"/>
        <v>0.33674827895530074</v>
      </c>
    </row>
    <row r="47" spans="1:26" s="24" customFormat="1" hidden="1" outlineLevel="1" x14ac:dyDescent="0.25">
      <c r="A47" s="50"/>
      <c r="B47" s="11" t="str">
        <f>CONCATENATE("          ", "4102", " - ", "NON-TAXABLE SALES-USED TEXT")</f>
        <v xml:space="preserve">          4102 - NON-TAXABLE SALES-USED TEXT</v>
      </c>
      <c r="C47" s="11"/>
      <c r="D47" s="3">
        <f>--4190.44</f>
        <v>4190.4399999999996</v>
      </c>
      <c r="E47" s="3"/>
      <c r="F47" s="22"/>
      <c r="G47" s="3"/>
      <c r="H47" s="3">
        <f>--5359.24</f>
        <v>5359.24</v>
      </c>
      <c r="I47" s="3"/>
      <c r="J47" s="22"/>
      <c r="K47" s="3"/>
      <c r="L47" s="3">
        <f t="shared" si="0"/>
        <v>-1168.8000000000002</v>
      </c>
      <c r="M47" s="3"/>
      <c r="N47" s="22">
        <f t="shared" si="1"/>
        <v>-0.2180906247900822</v>
      </c>
      <c r="O47" s="11"/>
      <c r="P47" s="3">
        <f>--4190.44</f>
        <v>4190.4399999999996</v>
      </c>
      <c r="Q47" s="3"/>
      <c r="R47" s="22"/>
      <c r="S47" s="3"/>
      <c r="T47" s="3">
        <f>--5359.24</f>
        <v>5359.24</v>
      </c>
      <c r="U47" s="3"/>
      <c r="V47" s="22"/>
      <c r="W47" s="3"/>
      <c r="X47" s="3">
        <f t="shared" si="2"/>
        <v>-1168.8000000000002</v>
      </c>
      <c r="Y47" s="3"/>
      <c r="Z47" s="22">
        <f t="shared" si="3"/>
        <v>-0.2180906247900822</v>
      </c>
    </row>
    <row r="48" spans="1:26" s="24" customFormat="1" hidden="1" outlineLevel="1" x14ac:dyDescent="0.25">
      <c r="A48" s="50"/>
      <c r="B48" s="11" t="str">
        <f>CONCATENATE("          ", "4104", " - ", "NON-TAXABLE SALES-DIGITAL TEXT")</f>
        <v xml:space="preserve">          4104 - NON-TAXABLE SALES-DIGITAL TEXT</v>
      </c>
      <c r="C48" s="11"/>
      <c r="D48" s="3">
        <f>--7485.52</f>
        <v>7485.52</v>
      </c>
      <c r="E48" s="3"/>
      <c r="F48" s="22"/>
      <c r="G48" s="3"/>
      <c r="H48" s="3">
        <f>--13424.17</f>
        <v>13424.17</v>
      </c>
      <c r="I48" s="3"/>
      <c r="J48" s="22"/>
      <c r="K48" s="3"/>
      <c r="L48" s="3">
        <f t="shared" si="0"/>
        <v>-5938.65</v>
      </c>
      <c r="M48" s="3"/>
      <c r="N48" s="22">
        <f t="shared" si="1"/>
        <v>-0.44238489232481409</v>
      </c>
      <c r="O48" s="11"/>
      <c r="P48" s="3">
        <f>--7485.52</f>
        <v>7485.52</v>
      </c>
      <c r="Q48" s="3"/>
      <c r="R48" s="22"/>
      <c r="S48" s="3"/>
      <c r="T48" s="3">
        <f>--13424.17</f>
        <v>13424.17</v>
      </c>
      <c r="U48" s="3"/>
      <c r="V48" s="22"/>
      <c r="W48" s="3"/>
      <c r="X48" s="3">
        <f t="shared" si="2"/>
        <v>-5938.65</v>
      </c>
      <c r="Y48" s="3"/>
      <c r="Z48" s="22">
        <f t="shared" si="3"/>
        <v>-0.44238489232481409</v>
      </c>
    </row>
    <row r="49" spans="1:26" s="24" customFormat="1" hidden="1" outlineLevel="1" x14ac:dyDescent="0.25">
      <c r="A49" s="50"/>
      <c r="B49" s="11" t="str">
        <f>CONCATENATE("          ", "4111", " - ", "NON-TAXABLE SALES-NO VALUE TEX")</f>
        <v xml:space="preserve">          4111 - NON-TAXABLE SALES-NO VALUE TEX</v>
      </c>
      <c r="C49" s="11"/>
      <c r="D49" s="3">
        <f t="shared" ref="D49:D50" si="12">0</f>
        <v>0</v>
      </c>
      <c r="E49" s="3"/>
      <c r="F49" s="22"/>
      <c r="G49" s="3"/>
      <c r="H49" s="3">
        <f>--2680.95</f>
        <v>2680.95</v>
      </c>
      <c r="I49" s="3"/>
      <c r="J49" s="22"/>
      <c r="K49" s="3"/>
      <c r="L49" s="3">
        <f t="shared" si="0"/>
        <v>-2680.95</v>
      </c>
      <c r="M49" s="3"/>
      <c r="N49" s="22">
        <f t="shared" si="1"/>
        <v>-1</v>
      </c>
      <c r="O49" s="11"/>
      <c r="P49" s="3">
        <f t="shared" ref="P49:P50" si="13">0</f>
        <v>0</v>
      </c>
      <c r="Q49" s="3"/>
      <c r="R49" s="22"/>
      <c r="S49" s="3"/>
      <c r="T49" s="3">
        <f>--2680.95</f>
        <v>2680.95</v>
      </c>
      <c r="U49" s="3"/>
      <c r="V49" s="22"/>
      <c r="W49" s="3"/>
      <c r="X49" s="3">
        <f t="shared" si="2"/>
        <v>-2680.95</v>
      </c>
      <c r="Y49" s="3"/>
      <c r="Z49" s="22">
        <f t="shared" si="3"/>
        <v>-1</v>
      </c>
    </row>
    <row r="50" spans="1:26" s="24" customFormat="1" hidden="1" outlineLevel="1" x14ac:dyDescent="0.25">
      <c r="A50" s="50"/>
      <c r="B50" s="11" t="str">
        <f>CONCATENATE("          ", "4113", " - ", "NON-TAXABLE SALES-TRADE BOOKS")</f>
        <v xml:space="preserve">          4113 - NON-TAXABLE SALES-TRADE BOOKS</v>
      </c>
      <c r="C50" s="11"/>
      <c r="D50" s="3">
        <f t="shared" si="12"/>
        <v>0</v>
      </c>
      <c r="E50" s="3"/>
      <c r="F50" s="22"/>
      <c r="G50" s="3"/>
      <c r="H50" s="3">
        <f>--1134</f>
        <v>1134</v>
      </c>
      <c r="I50" s="3"/>
      <c r="J50" s="22"/>
      <c r="K50" s="3"/>
      <c r="L50" s="3">
        <f t="shared" si="0"/>
        <v>-1134</v>
      </c>
      <c r="M50" s="3"/>
      <c r="N50" s="22">
        <f t="shared" si="1"/>
        <v>-1</v>
      </c>
      <c r="O50" s="11"/>
      <c r="P50" s="3">
        <f t="shared" si="13"/>
        <v>0</v>
      </c>
      <c r="Q50" s="3"/>
      <c r="R50" s="22"/>
      <c r="S50" s="3"/>
      <c r="T50" s="3">
        <f>--1134</f>
        <v>1134</v>
      </c>
      <c r="U50" s="3"/>
      <c r="V50" s="22"/>
      <c r="W50" s="3"/>
      <c r="X50" s="3">
        <f t="shared" si="2"/>
        <v>-1134</v>
      </c>
      <c r="Y50" s="3"/>
      <c r="Z50" s="22">
        <f t="shared" si="3"/>
        <v>-1</v>
      </c>
    </row>
    <row r="51" spans="1:26" s="24" customFormat="1" hidden="1" outlineLevel="1" x14ac:dyDescent="0.25">
      <c r="A51" s="50"/>
      <c r="B51" s="11" t="str">
        <f>CONCATENATE("          ", "4118", " - ", "NON-TAXABLE SALES-STUDY GUIDES")</f>
        <v xml:space="preserve">          4118 - NON-TAXABLE SALES-STUDY GUIDES</v>
      </c>
      <c r="C51" s="11"/>
      <c r="D51" s="3">
        <f>--53.96</f>
        <v>53.96</v>
      </c>
      <c r="E51" s="3"/>
      <c r="F51" s="22"/>
      <c r="G51" s="3"/>
      <c r="H51" s="3">
        <f>--6.95</f>
        <v>6.95</v>
      </c>
      <c r="I51" s="3"/>
      <c r="J51" s="22"/>
      <c r="K51" s="3"/>
      <c r="L51" s="3">
        <f t="shared" si="0"/>
        <v>47.01</v>
      </c>
      <c r="M51" s="3"/>
      <c r="N51" s="22">
        <f t="shared" si="1"/>
        <v>6.7640287769784164</v>
      </c>
      <c r="O51" s="11"/>
      <c r="P51" s="3">
        <f>--53.96</f>
        <v>53.96</v>
      </c>
      <c r="Q51" s="3"/>
      <c r="R51" s="22"/>
      <c r="S51" s="3"/>
      <c r="T51" s="3">
        <f>--6.95</f>
        <v>6.95</v>
      </c>
      <c r="U51" s="3"/>
      <c r="V51" s="22"/>
      <c r="W51" s="3"/>
      <c r="X51" s="3">
        <f t="shared" si="2"/>
        <v>47.01</v>
      </c>
      <c r="Y51" s="3"/>
      <c r="Z51" s="22">
        <f t="shared" si="3"/>
        <v>6.7640287769784164</v>
      </c>
    </row>
    <row r="52" spans="1:26" s="24" customFormat="1" hidden="1" outlineLevel="1" x14ac:dyDescent="0.25">
      <c r="A52" s="50"/>
      <c r="B52" s="11" t="str">
        <f>CONCATENATE("          ", "4125", " - ", "NON-TAXABLE SALES-TEST FORMS")</f>
        <v xml:space="preserve">          4125 - NON-TAXABLE SALES-TEST FORMS</v>
      </c>
      <c r="C52" s="11"/>
      <c r="D52" s="3">
        <f>0</f>
        <v>0</v>
      </c>
      <c r="E52" s="3"/>
      <c r="F52" s="22"/>
      <c r="G52" s="3"/>
      <c r="H52" s="3">
        <f>--4.98</f>
        <v>4.9800000000000004</v>
      </c>
      <c r="I52" s="3"/>
      <c r="J52" s="22"/>
      <c r="K52" s="3"/>
      <c r="L52" s="3">
        <f t="shared" si="0"/>
        <v>-4.9800000000000004</v>
      </c>
      <c r="M52" s="3"/>
      <c r="N52" s="22">
        <f t="shared" si="1"/>
        <v>-1</v>
      </c>
      <c r="O52" s="11"/>
      <c r="P52" s="3">
        <f>0</f>
        <v>0</v>
      </c>
      <c r="Q52" s="3"/>
      <c r="R52" s="22"/>
      <c r="S52" s="3"/>
      <c r="T52" s="3">
        <f>--4.98</f>
        <v>4.9800000000000004</v>
      </c>
      <c r="U52" s="3"/>
      <c r="V52" s="22"/>
      <c r="W52" s="3"/>
      <c r="X52" s="3">
        <f t="shared" si="2"/>
        <v>-4.9800000000000004</v>
      </c>
      <c r="Y52" s="3"/>
      <c r="Z52" s="22">
        <f t="shared" si="3"/>
        <v>-1</v>
      </c>
    </row>
    <row r="53" spans="1:26" s="24" customFormat="1" hidden="1" outlineLevel="1" x14ac:dyDescent="0.25">
      <c r="A53" s="50"/>
      <c r="B53" s="11" t="str">
        <f>CONCATENATE("          ", "4126", " - ", "NON-TAXABLE SALES-WRITING INST")</f>
        <v xml:space="preserve">          4126 - NON-TAXABLE SALES-WRITING INST</v>
      </c>
      <c r="C53" s="11"/>
      <c r="D53" s="3">
        <f>--52.68</f>
        <v>52.68</v>
      </c>
      <c r="E53" s="3"/>
      <c r="F53" s="22"/>
      <c r="G53" s="3"/>
      <c r="H53" s="3">
        <f>--167.03</f>
        <v>167.03</v>
      </c>
      <c r="I53" s="3"/>
      <c r="J53" s="22"/>
      <c r="K53" s="3"/>
      <c r="L53" s="3">
        <f t="shared" si="0"/>
        <v>-114.35</v>
      </c>
      <c r="M53" s="3"/>
      <c r="N53" s="22">
        <f t="shared" si="1"/>
        <v>-0.68460755552894681</v>
      </c>
      <c r="O53" s="11"/>
      <c r="P53" s="3">
        <f>--52.68</f>
        <v>52.68</v>
      </c>
      <c r="Q53" s="3"/>
      <c r="R53" s="22"/>
      <c r="S53" s="3"/>
      <c r="T53" s="3">
        <f>--167.03</f>
        <v>167.03</v>
      </c>
      <c r="U53" s="3"/>
      <c r="V53" s="22"/>
      <c r="W53" s="3"/>
      <c r="X53" s="3">
        <f t="shared" si="2"/>
        <v>-114.35</v>
      </c>
      <c r="Y53" s="3"/>
      <c r="Z53" s="22">
        <f t="shared" si="3"/>
        <v>-0.68460755552894681</v>
      </c>
    </row>
    <row r="54" spans="1:26" s="24" customFormat="1" hidden="1" outlineLevel="1" x14ac:dyDescent="0.25">
      <c r="A54" s="50"/>
      <c r="B54" s="11" t="str">
        <f>CONCATENATE("          ", "4127", " - ", "NON-TAXABLE SALES-SCHOOL SUPPL")</f>
        <v xml:space="preserve">          4127 - NON-TAXABLE SALES-SCHOOL SUPPL</v>
      </c>
      <c r="C54" s="11"/>
      <c r="D54" s="3">
        <f>--72.25</f>
        <v>72.25</v>
      </c>
      <c r="E54" s="3"/>
      <c r="F54" s="22"/>
      <c r="G54" s="3"/>
      <c r="H54" s="3">
        <f>--177.89</f>
        <v>177.89</v>
      </c>
      <c r="I54" s="3"/>
      <c r="J54" s="22"/>
      <c r="K54" s="3"/>
      <c r="L54" s="3">
        <f t="shared" si="0"/>
        <v>-105.63999999999999</v>
      </c>
      <c r="M54" s="3"/>
      <c r="N54" s="22">
        <f t="shared" si="1"/>
        <v>-0.5938501321041092</v>
      </c>
      <c r="O54" s="11"/>
      <c r="P54" s="3">
        <f>--72.25</f>
        <v>72.25</v>
      </c>
      <c r="Q54" s="3"/>
      <c r="R54" s="22"/>
      <c r="S54" s="3"/>
      <c r="T54" s="3">
        <f>--177.89</f>
        <v>177.89</v>
      </c>
      <c r="U54" s="3"/>
      <c r="V54" s="22"/>
      <c r="W54" s="3"/>
      <c r="X54" s="3">
        <f t="shared" si="2"/>
        <v>-105.63999999999999</v>
      </c>
      <c r="Y54" s="3"/>
      <c r="Z54" s="22">
        <f t="shared" si="3"/>
        <v>-0.5938501321041092</v>
      </c>
    </row>
    <row r="55" spans="1:26" s="24" customFormat="1" hidden="1" outlineLevel="1" x14ac:dyDescent="0.25">
      <c r="A55" s="50"/>
      <c r="B55" s="11" t="str">
        <f>CONCATENATE("          ", "4128", " - ", "NON-TAXABLE SALES-ART/TECH")</f>
        <v xml:space="preserve">          4128 - NON-TAXABLE SALES-ART/TECH</v>
      </c>
      <c r="C55" s="11"/>
      <c r="D55" s="3">
        <f>0</f>
        <v>0</v>
      </c>
      <c r="E55" s="3"/>
      <c r="F55" s="22"/>
      <c r="G55" s="3"/>
      <c r="H55" s="3">
        <f>--1.49</f>
        <v>1.49</v>
      </c>
      <c r="I55" s="3"/>
      <c r="J55" s="22"/>
      <c r="K55" s="3"/>
      <c r="L55" s="3">
        <f t="shared" si="0"/>
        <v>-1.49</v>
      </c>
      <c r="M55" s="3"/>
      <c r="N55" s="22">
        <f t="shared" si="1"/>
        <v>-1</v>
      </c>
      <c r="O55" s="11"/>
      <c r="P55" s="3">
        <f>0</f>
        <v>0</v>
      </c>
      <c r="Q55" s="3"/>
      <c r="R55" s="22"/>
      <c r="S55" s="3"/>
      <c r="T55" s="3">
        <f>--1.49</f>
        <v>1.49</v>
      </c>
      <c r="U55" s="3"/>
      <c r="V55" s="22"/>
      <c r="W55" s="3"/>
      <c r="X55" s="3">
        <f t="shared" si="2"/>
        <v>-1.49</v>
      </c>
      <c r="Y55" s="3"/>
      <c r="Z55" s="22">
        <f t="shared" si="3"/>
        <v>-1</v>
      </c>
    </row>
    <row r="56" spans="1:26" s="24" customFormat="1" hidden="1" outlineLevel="1" x14ac:dyDescent="0.25">
      <c r="A56" s="50"/>
      <c r="B56" s="11" t="str">
        <f>CONCATENATE("          ", "4131", " - ", "NON-TAXABLE SALES-FOOD")</f>
        <v xml:space="preserve">          4131 - NON-TAXABLE SALES-FOOD</v>
      </c>
      <c r="C56" s="11"/>
      <c r="D56" s="3">
        <f>--259.43</f>
        <v>259.43</v>
      </c>
      <c r="E56" s="3"/>
      <c r="F56" s="22"/>
      <c r="G56" s="3"/>
      <c r="H56" s="3">
        <f>--269.62</f>
        <v>269.62</v>
      </c>
      <c r="I56" s="3"/>
      <c r="J56" s="22"/>
      <c r="K56" s="3"/>
      <c r="L56" s="3">
        <f t="shared" si="0"/>
        <v>-10.189999999999998</v>
      </c>
      <c r="M56" s="3"/>
      <c r="N56" s="22">
        <f t="shared" si="1"/>
        <v>-3.7793932200875298E-2</v>
      </c>
      <c r="O56" s="11"/>
      <c r="P56" s="3">
        <f>--259.43</f>
        <v>259.43</v>
      </c>
      <c r="Q56" s="3"/>
      <c r="R56" s="22"/>
      <c r="S56" s="3"/>
      <c r="T56" s="3">
        <f>--269.62</f>
        <v>269.62</v>
      </c>
      <c r="U56" s="3"/>
      <c r="V56" s="22"/>
      <c r="W56" s="3"/>
      <c r="X56" s="3">
        <f t="shared" si="2"/>
        <v>-10.189999999999998</v>
      </c>
      <c r="Y56" s="3"/>
      <c r="Z56" s="22">
        <f t="shared" si="3"/>
        <v>-3.7793932200875298E-2</v>
      </c>
    </row>
    <row r="57" spans="1:26" s="24" customFormat="1" hidden="1" outlineLevel="1" x14ac:dyDescent="0.25">
      <c r="A57" s="50"/>
      <c r="B57" s="11" t="str">
        <f>CONCATENATE("          ", "4132", " - ", "NON-TAXABLE SALES-JUICE")</f>
        <v xml:space="preserve">          4132 - NON-TAXABLE SALES-JUICE</v>
      </c>
      <c r="C57" s="11"/>
      <c r="D57" s="3">
        <f>--22.49</f>
        <v>22.49</v>
      </c>
      <c r="E57" s="3"/>
      <c r="F57" s="22"/>
      <c r="G57" s="3"/>
      <c r="H57" s="3">
        <f>--32132.94</f>
        <v>32132.94</v>
      </c>
      <c r="I57" s="3"/>
      <c r="J57" s="22"/>
      <c r="K57" s="3"/>
      <c r="L57" s="3">
        <f t="shared" si="0"/>
        <v>-32110.449999999997</v>
      </c>
      <c r="M57" s="3"/>
      <c r="N57" s="22">
        <f t="shared" si="1"/>
        <v>-0.99930009516713991</v>
      </c>
      <c r="O57" s="11"/>
      <c r="P57" s="3">
        <f>--22.49</f>
        <v>22.49</v>
      </c>
      <c r="Q57" s="3"/>
      <c r="R57" s="22"/>
      <c r="S57" s="3"/>
      <c r="T57" s="3">
        <f>--32132.94</f>
        <v>32132.94</v>
      </c>
      <c r="U57" s="3"/>
      <c r="V57" s="22"/>
      <c r="W57" s="3"/>
      <c r="X57" s="3">
        <f t="shared" si="2"/>
        <v>-32110.449999999997</v>
      </c>
      <c r="Y57" s="3"/>
      <c r="Z57" s="22">
        <f t="shared" si="3"/>
        <v>-0.99930009516713991</v>
      </c>
    </row>
    <row r="58" spans="1:26" s="24" customFormat="1" hidden="1" outlineLevel="1" x14ac:dyDescent="0.25">
      <c r="A58" s="50"/>
      <c r="B58" s="11" t="str">
        <f>CONCATENATE("          ", "4133", " - ", "NON-TAXABLE SALES-CANDY")</f>
        <v xml:space="preserve">          4133 - NON-TAXABLE SALES-CANDY</v>
      </c>
      <c r="C58" s="11"/>
      <c r="D58" s="3">
        <f>--68.28</f>
        <v>68.28</v>
      </c>
      <c r="E58" s="3"/>
      <c r="F58" s="22"/>
      <c r="G58" s="3"/>
      <c r="H58" s="3">
        <f>--472.22</f>
        <v>472.22</v>
      </c>
      <c r="I58" s="3"/>
      <c r="J58" s="22"/>
      <c r="K58" s="3"/>
      <c r="L58" s="3">
        <f t="shared" si="0"/>
        <v>-403.94000000000005</v>
      </c>
      <c r="M58" s="3"/>
      <c r="N58" s="22">
        <f t="shared" si="1"/>
        <v>-0.85540637838295719</v>
      </c>
      <c r="O58" s="11"/>
      <c r="P58" s="3">
        <f>--68.28</f>
        <v>68.28</v>
      </c>
      <c r="Q58" s="3"/>
      <c r="R58" s="22"/>
      <c r="S58" s="3"/>
      <c r="T58" s="3">
        <f>--472.22</f>
        <v>472.22</v>
      </c>
      <c r="U58" s="3"/>
      <c r="V58" s="22"/>
      <c r="W58" s="3"/>
      <c r="X58" s="3">
        <f t="shared" si="2"/>
        <v>-403.94000000000005</v>
      </c>
      <c r="Y58" s="3"/>
      <c r="Z58" s="22">
        <f t="shared" si="3"/>
        <v>-0.85540637838295719</v>
      </c>
    </row>
    <row r="59" spans="1:26" s="24" customFormat="1" hidden="1" outlineLevel="1" x14ac:dyDescent="0.25">
      <c r="A59" s="50"/>
      <c r="B59" s="11" t="str">
        <f>CONCATENATE("          ", "4134", " - ", "NON-TAXABLE SALES-SODA")</f>
        <v xml:space="preserve">          4134 - NON-TAXABLE SALES-SODA</v>
      </c>
      <c r="C59" s="11"/>
      <c r="D59" s="3">
        <f>--45.53</f>
        <v>45.53</v>
      </c>
      <c r="E59" s="3"/>
      <c r="F59" s="22"/>
      <c r="G59" s="3"/>
      <c r="H59" s="3">
        <f>-3.39</f>
        <v>-3.39</v>
      </c>
      <c r="I59" s="3"/>
      <c r="J59" s="22"/>
      <c r="K59" s="3"/>
      <c r="L59" s="3">
        <f t="shared" si="0"/>
        <v>48.92</v>
      </c>
      <c r="M59" s="3"/>
      <c r="N59" s="22">
        <f t="shared" si="1"/>
        <v>-14.430678466076696</v>
      </c>
      <c r="O59" s="11"/>
      <c r="P59" s="3">
        <f>--45.53</f>
        <v>45.53</v>
      </c>
      <c r="Q59" s="3"/>
      <c r="R59" s="22"/>
      <c r="S59" s="3"/>
      <c r="T59" s="3">
        <f>-3.39</f>
        <v>-3.39</v>
      </c>
      <c r="U59" s="3"/>
      <c r="V59" s="22"/>
      <c r="W59" s="3"/>
      <c r="X59" s="3">
        <f t="shared" si="2"/>
        <v>48.92</v>
      </c>
      <c r="Y59" s="3"/>
      <c r="Z59" s="22">
        <f t="shared" si="3"/>
        <v>-14.430678466076696</v>
      </c>
    </row>
    <row r="60" spans="1:26" s="24" customFormat="1" hidden="1" outlineLevel="1" x14ac:dyDescent="0.25">
      <c r="A60" s="50"/>
      <c r="B60" s="11" t="str">
        <f>CONCATENATE("          ", "4135", " - ", "NON-TAXABLE SALES")</f>
        <v xml:space="preserve">          4135 - NON-TAXABLE SALES</v>
      </c>
      <c r="C60" s="11"/>
      <c r="D60" s="3">
        <f>0</f>
        <v>0</v>
      </c>
      <c r="E60" s="3"/>
      <c r="F60" s="22"/>
      <c r="G60" s="3"/>
      <c r="H60" s="3">
        <f>--21.54</f>
        <v>21.54</v>
      </c>
      <c r="I60" s="3"/>
      <c r="J60" s="22"/>
      <c r="K60" s="3"/>
      <c r="L60" s="3">
        <f t="shared" si="0"/>
        <v>-21.54</v>
      </c>
      <c r="M60" s="3"/>
      <c r="N60" s="22">
        <f t="shared" si="1"/>
        <v>-1</v>
      </c>
      <c r="O60" s="11"/>
      <c r="P60" s="3">
        <f>0</f>
        <v>0</v>
      </c>
      <c r="Q60" s="3"/>
      <c r="R60" s="22"/>
      <c r="S60" s="3"/>
      <c r="T60" s="3">
        <f>--21.54</f>
        <v>21.54</v>
      </c>
      <c r="U60" s="3"/>
      <c r="V60" s="22"/>
      <c r="W60" s="3"/>
      <c r="X60" s="3">
        <f t="shared" si="2"/>
        <v>-21.54</v>
      </c>
      <c r="Y60" s="3"/>
      <c r="Z60" s="22">
        <f t="shared" si="3"/>
        <v>-1</v>
      </c>
    </row>
    <row r="61" spans="1:26" s="24" customFormat="1" hidden="1" outlineLevel="1" x14ac:dyDescent="0.25">
      <c r="A61" s="50"/>
      <c r="B61" s="11" t="str">
        <f>CONCATENATE("          ", "4137", " - ", "NON-TAXABLE SALES-WATER")</f>
        <v xml:space="preserve">          4137 - NON-TAXABLE SALES-WATER</v>
      </c>
      <c r="C61" s="11"/>
      <c r="D61" s="3">
        <f>--68.25</f>
        <v>68.25</v>
      </c>
      <c r="E61" s="3"/>
      <c r="F61" s="22"/>
      <c r="G61" s="3"/>
      <c r="H61" s="3">
        <f>--263.52</f>
        <v>263.52</v>
      </c>
      <c r="I61" s="3"/>
      <c r="J61" s="22"/>
      <c r="K61" s="3"/>
      <c r="L61" s="3">
        <f t="shared" si="0"/>
        <v>-195.26999999999998</v>
      </c>
      <c r="M61" s="3"/>
      <c r="N61" s="22">
        <f t="shared" si="1"/>
        <v>-0.74100637522768664</v>
      </c>
      <c r="O61" s="11"/>
      <c r="P61" s="3">
        <f>--68.25</f>
        <v>68.25</v>
      </c>
      <c r="Q61" s="3"/>
      <c r="R61" s="22"/>
      <c r="S61" s="3"/>
      <c r="T61" s="3">
        <f>--263.52</f>
        <v>263.52</v>
      </c>
      <c r="U61" s="3"/>
      <c r="V61" s="22"/>
      <c r="W61" s="3"/>
      <c r="X61" s="3">
        <f t="shared" si="2"/>
        <v>-195.26999999999998</v>
      </c>
      <c r="Y61" s="3"/>
      <c r="Z61" s="22">
        <f t="shared" si="3"/>
        <v>-0.74100637522768664</v>
      </c>
    </row>
    <row r="62" spans="1:26" s="24" customFormat="1" hidden="1" outlineLevel="1" x14ac:dyDescent="0.25">
      <c r="A62" s="50"/>
      <c r="B62" s="11" t="str">
        <f>CONCATENATE("          ", "4140", " - ", "NON-TAXABLE SALES-LOGO CLOTHIN")</f>
        <v xml:space="preserve">          4140 - NON-TAXABLE SALES-LOGO CLOTHIN</v>
      </c>
      <c r="C62" s="11"/>
      <c r="D62" s="3">
        <f>--6846.24</f>
        <v>6846.24</v>
      </c>
      <c r="E62" s="3"/>
      <c r="F62" s="22"/>
      <c r="G62" s="3"/>
      <c r="H62" s="3">
        <f>--3163.67</f>
        <v>3163.67</v>
      </c>
      <c r="I62" s="3"/>
      <c r="J62" s="22"/>
      <c r="K62" s="3"/>
      <c r="L62" s="3">
        <f t="shared" si="0"/>
        <v>3682.5699999999997</v>
      </c>
      <c r="M62" s="3"/>
      <c r="N62" s="22">
        <f t="shared" si="1"/>
        <v>1.164018371069043</v>
      </c>
      <c r="O62" s="11"/>
      <c r="P62" s="3">
        <f>--6846.24</f>
        <v>6846.24</v>
      </c>
      <c r="Q62" s="3"/>
      <c r="R62" s="22"/>
      <c r="S62" s="3"/>
      <c r="T62" s="3">
        <f>--3163.67</f>
        <v>3163.67</v>
      </c>
      <c r="U62" s="3"/>
      <c r="V62" s="22"/>
      <c r="W62" s="3"/>
      <c r="X62" s="3">
        <f t="shared" si="2"/>
        <v>3682.5699999999997</v>
      </c>
      <c r="Y62" s="3"/>
      <c r="Z62" s="22">
        <f t="shared" si="3"/>
        <v>1.164018371069043</v>
      </c>
    </row>
    <row r="63" spans="1:26" s="24" customFormat="1" hidden="1" outlineLevel="1" x14ac:dyDescent="0.25">
      <c r="A63" s="50"/>
      <c r="B63" s="11" t="str">
        <f>CONCATENATE("          ", "4141", " - ", "NON-TAXABLE SALES-LOGO GIFTS")</f>
        <v xml:space="preserve">          4141 - NON-TAXABLE SALES-LOGO GIFTS</v>
      </c>
      <c r="C63" s="11"/>
      <c r="D63" s="3">
        <f>--1200.19</f>
        <v>1200.19</v>
      </c>
      <c r="E63" s="3"/>
      <c r="F63" s="22"/>
      <c r="G63" s="3"/>
      <c r="H63" s="3">
        <f>--262.15</f>
        <v>262.14999999999998</v>
      </c>
      <c r="I63" s="3"/>
      <c r="J63" s="22"/>
      <c r="K63" s="3"/>
      <c r="L63" s="3">
        <f t="shared" si="0"/>
        <v>938.04000000000008</v>
      </c>
      <c r="M63" s="3"/>
      <c r="N63" s="22">
        <f t="shared" si="1"/>
        <v>3.5782567232500484</v>
      </c>
      <c r="O63" s="11"/>
      <c r="P63" s="3">
        <f>--1200.19</f>
        <v>1200.19</v>
      </c>
      <c r="Q63" s="3"/>
      <c r="R63" s="22"/>
      <c r="S63" s="3"/>
      <c r="T63" s="3">
        <f>--262.15</f>
        <v>262.14999999999998</v>
      </c>
      <c r="U63" s="3"/>
      <c r="V63" s="22"/>
      <c r="W63" s="3"/>
      <c r="X63" s="3">
        <f t="shared" si="2"/>
        <v>938.04000000000008</v>
      </c>
      <c r="Y63" s="3"/>
      <c r="Z63" s="22">
        <f t="shared" si="3"/>
        <v>3.5782567232500484</v>
      </c>
    </row>
    <row r="64" spans="1:26" s="24" customFormat="1" hidden="1" outlineLevel="1" x14ac:dyDescent="0.25">
      <c r="A64" s="50"/>
      <c r="B64" s="11" t="str">
        <f>CONCATENATE("          ", "4142", " - ", "NON-TAXABLE SALES-EVERYDAY GIF")</f>
        <v xml:space="preserve">          4142 - NON-TAXABLE SALES-EVERYDAY GIF</v>
      </c>
      <c r="C64" s="11"/>
      <c r="D64" s="3">
        <f>--640.17</f>
        <v>640.16999999999996</v>
      </c>
      <c r="E64" s="3"/>
      <c r="F64" s="22"/>
      <c r="G64" s="3"/>
      <c r="H64" s="3">
        <f>--342.44</f>
        <v>342.44</v>
      </c>
      <c r="I64" s="3"/>
      <c r="J64" s="22"/>
      <c r="K64" s="3"/>
      <c r="L64" s="3">
        <f t="shared" si="0"/>
        <v>297.72999999999996</v>
      </c>
      <c r="M64" s="3"/>
      <c r="N64" s="22">
        <f t="shared" si="1"/>
        <v>0.86943698166102079</v>
      </c>
      <c r="O64" s="11"/>
      <c r="P64" s="3">
        <f>--640.17</f>
        <v>640.16999999999996</v>
      </c>
      <c r="Q64" s="3"/>
      <c r="R64" s="22"/>
      <c r="S64" s="3"/>
      <c r="T64" s="3">
        <f>--342.44</f>
        <v>342.44</v>
      </c>
      <c r="U64" s="3"/>
      <c r="V64" s="22"/>
      <c r="W64" s="3"/>
      <c r="X64" s="3">
        <f t="shared" si="2"/>
        <v>297.72999999999996</v>
      </c>
      <c r="Y64" s="3"/>
      <c r="Z64" s="22">
        <f t="shared" si="3"/>
        <v>0.86943698166102079</v>
      </c>
    </row>
    <row r="65" spans="1:26" s="24" customFormat="1" hidden="1" outlineLevel="1" x14ac:dyDescent="0.25">
      <c r="A65" s="50"/>
      <c r="B65" s="11" t="str">
        <f>CONCATENATE("          ", "4144", " - ", "NON-TAXABLE SALES-ACCESSORIES")</f>
        <v xml:space="preserve">          4144 - NON-TAXABLE SALES-ACCESSORIES</v>
      </c>
      <c r="C65" s="11"/>
      <c r="D65" s="3">
        <f>--47.85</f>
        <v>47.85</v>
      </c>
      <c r="E65" s="3"/>
      <c r="F65" s="22"/>
      <c r="G65" s="3"/>
      <c r="H65" s="3">
        <f>--21.9</f>
        <v>21.9</v>
      </c>
      <c r="I65" s="3"/>
      <c r="J65" s="22"/>
      <c r="K65" s="3"/>
      <c r="L65" s="3">
        <f t="shared" si="0"/>
        <v>25.950000000000003</v>
      </c>
      <c r="M65" s="3"/>
      <c r="N65" s="22">
        <f t="shared" si="1"/>
        <v>1.1849315068493154</v>
      </c>
      <c r="O65" s="11"/>
      <c r="P65" s="3">
        <f>--47.85</f>
        <v>47.85</v>
      </c>
      <c r="Q65" s="3"/>
      <c r="R65" s="22"/>
      <c r="S65" s="3"/>
      <c r="T65" s="3">
        <f>--21.9</f>
        <v>21.9</v>
      </c>
      <c r="U65" s="3"/>
      <c r="V65" s="22"/>
      <c r="W65" s="3"/>
      <c r="X65" s="3">
        <f t="shared" si="2"/>
        <v>25.950000000000003</v>
      </c>
      <c r="Y65" s="3"/>
      <c r="Z65" s="22">
        <f t="shared" si="3"/>
        <v>1.1849315068493154</v>
      </c>
    </row>
    <row r="66" spans="1:26" s="24" customFormat="1" hidden="1" outlineLevel="1" x14ac:dyDescent="0.25">
      <c r="A66" s="50"/>
      <c r="B66" s="11" t="str">
        <f>CONCATENATE("          ", "4145", " - ", "NON-TAXABLE SALES-SPECIAL ORDE")</f>
        <v xml:space="preserve">          4145 - NON-TAXABLE SALES-SPECIAL ORDE</v>
      </c>
      <c r="C66" s="11"/>
      <c r="D66" s="3">
        <f>--35496</f>
        <v>35496</v>
      </c>
      <c r="E66" s="3"/>
      <c r="F66" s="22"/>
      <c r="G66" s="3"/>
      <c r="H66" s="3">
        <f>0</f>
        <v>0</v>
      </c>
      <c r="I66" s="3"/>
      <c r="J66" s="22"/>
      <c r="K66" s="3"/>
      <c r="L66" s="3">
        <f t="shared" si="0"/>
        <v>35496</v>
      </c>
      <c r="M66" s="3"/>
      <c r="N66" s="22">
        <f t="shared" si="1"/>
        <v>0</v>
      </c>
      <c r="O66" s="11"/>
      <c r="P66" s="3">
        <f>--35496</f>
        <v>35496</v>
      </c>
      <c r="Q66" s="3"/>
      <c r="R66" s="22"/>
      <c r="S66" s="3"/>
      <c r="T66" s="3">
        <f>0</f>
        <v>0</v>
      </c>
      <c r="U66" s="3"/>
      <c r="V66" s="22"/>
      <c r="W66" s="3"/>
      <c r="X66" s="3">
        <f t="shared" si="2"/>
        <v>35496</v>
      </c>
      <c r="Y66" s="3"/>
      <c r="Z66" s="22">
        <f t="shared" si="3"/>
        <v>0</v>
      </c>
    </row>
    <row r="67" spans="1:26" s="24" customFormat="1" hidden="1" outlineLevel="1" x14ac:dyDescent="0.25">
      <c r="A67" s="50"/>
      <c r="B67" s="11" t="str">
        <f>CONCATENATE("          ", "4146", " - ", "NON-TAXABLE SALES-COIN OP MACH")</f>
        <v xml:space="preserve">          4146 - NON-TAXABLE SALES-COIN OP MACH</v>
      </c>
      <c r="C67" s="11"/>
      <c r="D67" s="3">
        <f>0</f>
        <v>0</v>
      </c>
      <c r="E67" s="3"/>
      <c r="F67" s="22"/>
      <c r="G67" s="3"/>
      <c r="H67" s="3">
        <f>--2067.1</f>
        <v>2067.1</v>
      </c>
      <c r="I67" s="3"/>
      <c r="J67" s="22"/>
      <c r="K67" s="3"/>
      <c r="L67" s="3">
        <f t="shared" si="0"/>
        <v>-2067.1</v>
      </c>
      <c r="M67" s="3"/>
      <c r="N67" s="22">
        <f t="shared" si="1"/>
        <v>-1</v>
      </c>
      <c r="O67" s="11"/>
      <c r="P67" s="3">
        <f>0</f>
        <v>0</v>
      </c>
      <c r="Q67" s="3"/>
      <c r="R67" s="22"/>
      <c r="S67" s="3"/>
      <c r="T67" s="3">
        <f>--2067.1</f>
        <v>2067.1</v>
      </c>
      <c r="U67" s="3"/>
      <c r="V67" s="22"/>
      <c r="W67" s="3"/>
      <c r="X67" s="3">
        <f t="shared" si="2"/>
        <v>-2067.1</v>
      </c>
      <c r="Y67" s="3"/>
      <c r="Z67" s="22">
        <f t="shared" si="3"/>
        <v>-1</v>
      </c>
    </row>
    <row r="68" spans="1:26" s="24" customFormat="1" hidden="1" outlineLevel="1" x14ac:dyDescent="0.25">
      <c r="A68" s="50"/>
      <c r="B68" s="11" t="str">
        <f>CONCATENATE("          ", "4147", " - ", "NON-TAXABLE SALES-MISC")</f>
        <v xml:space="preserve">          4147 - NON-TAXABLE SALES-MISC</v>
      </c>
      <c r="C68" s="11"/>
      <c r="D68" s="3">
        <f>--1</f>
        <v>1</v>
      </c>
      <c r="E68" s="3"/>
      <c r="F68" s="22"/>
      <c r="G68" s="3"/>
      <c r="H68" s="3">
        <f>--16.5</f>
        <v>16.5</v>
      </c>
      <c r="I68" s="3"/>
      <c r="J68" s="22"/>
      <c r="K68" s="3"/>
      <c r="L68" s="3">
        <f t="shared" si="0"/>
        <v>-15.5</v>
      </c>
      <c r="M68" s="3"/>
      <c r="N68" s="22">
        <f t="shared" si="1"/>
        <v>-0.93939393939393945</v>
      </c>
      <c r="O68" s="11"/>
      <c r="P68" s="3">
        <f>--1</f>
        <v>1</v>
      </c>
      <c r="Q68" s="3"/>
      <c r="R68" s="22"/>
      <c r="S68" s="3"/>
      <c r="T68" s="3">
        <f>--16.5</f>
        <v>16.5</v>
      </c>
      <c r="U68" s="3"/>
      <c r="V68" s="22"/>
      <c r="W68" s="3"/>
      <c r="X68" s="3">
        <f t="shared" si="2"/>
        <v>-15.5</v>
      </c>
      <c r="Y68" s="3"/>
      <c r="Z68" s="22">
        <f t="shared" si="3"/>
        <v>-0.93939393939393945</v>
      </c>
    </row>
    <row r="69" spans="1:26" s="24" customFormat="1" hidden="1" outlineLevel="1" x14ac:dyDescent="0.25">
      <c r="A69" s="50"/>
      <c r="B69" s="11" t="str">
        <f>CONCATENATE("          ", "4151", " - ", "NON-TAXABLE SALES-FOOD")</f>
        <v xml:space="preserve">          4151 - NON-TAXABLE SALES-FOOD</v>
      </c>
      <c r="C69" s="11"/>
      <c r="D69" s="3">
        <f t="shared" ref="D69:D70" si="14">0</f>
        <v>0</v>
      </c>
      <c r="E69" s="3"/>
      <c r="F69" s="22"/>
      <c r="G69" s="3"/>
      <c r="H69" s="3">
        <f>--15396.52</f>
        <v>15396.52</v>
      </c>
      <c r="I69" s="3"/>
      <c r="J69" s="22"/>
      <c r="K69" s="3"/>
      <c r="L69" s="3">
        <f t="shared" si="0"/>
        <v>-15396.52</v>
      </c>
      <c r="M69" s="3"/>
      <c r="N69" s="22">
        <f t="shared" si="1"/>
        <v>-1</v>
      </c>
      <c r="O69" s="11"/>
      <c r="P69" s="3">
        <f t="shared" ref="P69:P70" si="15">0</f>
        <v>0</v>
      </c>
      <c r="Q69" s="3"/>
      <c r="R69" s="22"/>
      <c r="S69" s="3"/>
      <c r="T69" s="3">
        <f>--15396.52</f>
        <v>15396.52</v>
      </c>
      <c r="U69" s="3"/>
      <c r="V69" s="22"/>
      <c r="W69" s="3"/>
      <c r="X69" s="3">
        <f t="shared" si="2"/>
        <v>-15396.52</v>
      </c>
      <c r="Y69" s="3"/>
      <c r="Z69" s="22">
        <f t="shared" si="3"/>
        <v>-1</v>
      </c>
    </row>
    <row r="70" spans="1:26" s="24" customFormat="1" hidden="1" outlineLevel="1" x14ac:dyDescent="0.25">
      <c r="A70" s="50"/>
      <c r="B70" s="11" t="str">
        <f>CONCATENATE("          ", "4153", " - ", "NON-TAXABLE SALES-FOOD")</f>
        <v xml:space="preserve">          4153 - NON-TAXABLE SALES-FOOD</v>
      </c>
      <c r="C70" s="11"/>
      <c r="D70" s="3">
        <f t="shared" si="14"/>
        <v>0</v>
      </c>
      <c r="E70" s="3"/>
      <c r="F70" s="22"/>
      <c r="G70" s="3"/>
      <c r="H70" s="3">
        <f>--237</f>
        <v>237</v>
      </c>
      <c r="I70" s="3"/>
      <c r="J70" s="22"/>
      <c r="K70" s="3"/>
      <c r="L70" s="3">
        <f t="shared" si="0"/>
        <v>-237</v>
      </c>
      <c r="M70" s="3"/>
      <c r="N70" s="22">
        <f t="shared" si="1"/>
        <v>-1</v>
      </c>
      <c r="O70" s="11"/>
      <c r="P70" s="3">
        <f t="shared" si="15"/>
        <v>0</v>
      </c>
      <c r="Q70" s="3"/>
      <c r="R70" s="22"/>
      <c r="S70" s="3"/>
      <c r="T70" s="3">
        <f>--237</f>
        <v>237</v>
      </c>
      <c r="U70" s="3"/>
      <c r="V70" s="22"/>
      <c r="W70" s="3"/>
      <c r="X70" s="3">
        <f t="shared" si="2"/>
        <v>-237</v>
      </c>
      <c r="Y70" s="3"/>
      <c r="Z70" s="22">
        <f t="shared" si="3"/>
        <v>-1</v>
      </c>
    </row>
    <row r="71" spans="1:26" s="24" customFormat="1" hidden="1" outlineLevel="1" x14ac:dyDescent="0.25">
      <c r="A71" s="50"/>
      <c r="B71" s="11" t="str">
        <f>CONCATENATE("          ", "4201", " - ", "SALES RETURN TAXABLE-NEW TEXT")</f>
        <v xml:space="preserve">          4201 - SALES RETURN TAXABLE-NEW TEXT</v>
      </c>
      <c r="C71" s="11"/>
      <c r="D71" s="3">
        <f>-633.4</f>
        <v>-633.4</v>
      </c>
      <c r="E71" s="3"/>
      <c r="F71" s="22"/>
      <c r="G71" s="3"/>
      <c r="H71" s="3">
        <f>-607.15</f>
        <v>-607.15</v>
      </c>
      <c r="I71" s="3"/>
      <c r="J71" s="22"/>
      <c r="K71" s="3"/>
      <c r="L71" s="3">
        <f t="shared" si="0"/>
        <v>-26.25</v>
      </c>
      <c r="M71" s="3"/>
      <c r="N71" s="22">
        <f t="shared" si="1"/>
        <v>4.3234785473112082E-2</v>
      </c>
      <c r="O71" s="11"/>
      <c r="P71" s="3">
        <f>-633.4</f>
        <v>-633.4</v>
      </c>
      <c r="Q71" s="3"/>
      <c r="R71" s="22"/>
      <c r="S71" s="3"/>
      <c r="T71" s="3">
        <f>-607.15</f>
        <v>-607.15</v>
      </c>
      <c r="U71" s="3"/>
      <c r="V71" s="22"/>
      <c r="W71" s="3"/>
      <c r="X71" s="3">
        <f t="shared" si="2"/>
        <v>-26.25</v>
      </c>
      <c r="Y71" s="3"/>
      <c r="Z71" s="22">
        <f t="shared" si="3"/>
        <v>4.3234785473112082E-2</v>
      </c>
    </row>
    <row r="72" spans="1:26" s="24" customFormat="1" hidden="1" outlineLevel="1" x14ac:dyDescent="0.25">
      <c r="A72" s="50"/>
      <c r="B72" s="11" t="str">
        <f>CONCATENATE("          ", "4202", " - ", "SALES RETURN TAXABLE-USED TEXT")</f>
        <v xml:space="preserve">          4202 - SALES RETURN TAXABLE-USED TEXT</v>
      </c>
      <c r="C72" s="11"/>
      <c r="D72" s="3">
        <f>-178.35</f>
        <v>-178.35</v>
      </c>
      <c r="E72" s="3"/>
      <c r="F72" s="22"/>
      <c r="G72" s="3"/>
      <c r="H72" s="3">
        <f>-721.45</f>
        <v>-721.45</v>
      </c>
      <c r="I72" s="3"/>
      <c r="J72" s="22"/>
      <c r="K72" s="3"/>
      <c r="L72" s="3">
        <f t="shared" si="0"/>
        <v>543.1</v>
      </c>
      <c r="M72" s="3"/>
      <c r="N72" s="22">
        <f t="shared" si="1"/>
        <v>-0.75278952110333353</v>
      </c>
      <c r="O72" s="11"/>
      <c r="P72" s="3">
        <f>-178.35</f>
        <v>-178.35</v>
      </c>
      <c r="Q72" s="3"/>
      <c r="R72" s="22"/>
      <c r="S72" s="3"/>
      <c r="T72" s="3">
        <f>-721.45</f>
        <v>-721.45</v>
      </c>
      <c r="U72" s="3"/>
      <c r="V72" s="22"/>
      <c r="W72" s="3"/>
      <c r="X72" s="3">
        <f t="shared" si="2"/>
        <v>543.1</v>
      </c>
      <c r="Y72" s="3"/>
      <c r="Z72" s="22">
        <f t="shared" si="3"/>
        <v>-0.75278952110333353</v>
      </c>
    </row>
    <row r="73" spans="1:26" s="24" customFormat="1" hidden="1" outlineLevel="1" x14ac:dyDescent="0.25">
      <c r="A73" s="50"/>
      <c r="B73" s="11" t="str">
        <f>CONCATENATE("          ", "4225", " - ", "SALES RETURN TAXABLE-TEST FORM")</f>
        <v xml:space="preserve">          4225 - SALES RETURN TAXABLE-TEST FORM</v>
      </c>
      <c r="C73" s="11"/>
      <c r="D73" s="3">
        <f>0</f>
        <v>0</v>
      </c>
      <c r="E73" s="3"/>
      <c r="F73" s="22"/>
      <c r="G73" s="3"/>
      <c r="H73" s="3">
        <f>-4.08</f>
        <v>-4.08</v>
      </c>
      <c r="I73" s="3"/>
      <c r="J73" s="22"/>
      <c r="K73" s="3"/>
      <c r="L73" s="3">
        <f t="shared" si="0"/>
        <v>4.08</v>
      </c>
      <c r="M73" s="3"/>
      <c r="N73" s="22">
        <f t="shared" si="1"/>
        <v>-1</v>
      </c>
      <c r="O73" s="11"/>
      <c r="P73" s="3">
        <f>0</f>
        <v>0</v>
      </c>
      <c r="Q73" s="3"/>
      <c r="R73" s="22"/>
      <c r="S73" s="3"/>
      <c r="T73" s="3">
        <f>-4.08</f>
        <v>-4.08</v>
      </c>
      <c r="U73" s="3"/>
      <c r="V73" s="22"/>
      <c r="W73" s="3"/>
      <c r="X73" s="3">
        <f t="shared" si="2"/>
        <v>4.08</v>
      </c>
      <c r="Y73" s="3"/>
      <c r="Z73" s="22">
        <f t="shared" si="3"/>
        <v>-1</v>
      </c>
    </row>
    <row r="74" spans="1:26" s="24" customFormat="1" hidden="1" outlineLevel="1" x14ac:dyDescent="0.25">
      <c r="A74" s="50"/>
      <c r="B74" s="11" t="str">
        <f>CONCATENATE("          ", "4226", " - ", "SALES RETURN TAXABLE-WRITING I")</f>
        <v xml:space="preserve">          4226 - SALES RETURN TAXABLE-WRITING I</v>
      </c>
      <c r="C74" s="11"/>
      <c r="D74" s="3">
        <f>-6.38</f>
        <v>-6.38</v>
      </c>
      <c r="E74" s="3"/>
      <c r="F74" s="22"/>
      <c r="G74" s="3"/>
      <c r="H74" s="3">
        <f>-63.93</f>
        <v>-63.93</v>
      </c>
      <c r="I74" s="3"/>
      <c r="J74" s="22"/>
      <c r="K74" s="3"/>
      <c r="L74" s="3">
        <f t="shared" si="0"/>
        <v>57.55</v>
      </c>
      <c r="M74" s="3"/>
      <c r="N74" s="22">
        <f t="shared" si="1"/>
        <v>-0.90020334741123098</v>
      </c>
      <c r="O74" s="11"/>
      <c r="P74" s="3">
        <f>-6.38</f>
        <v>-6.38</v>
      </c>
      <c r="Q74" s="3"/>
      <c r="R74" s="22"/>
      <c r="S74" s="3"/>
      <c r="T74" s="3">
        <f>-63.93</f>
        <v>-63.93</v>
      </c>
      <c r="U74" s="3"/>
      <c r="V74" s="22"/>
      <c r="W74" s="3"/>
      <c r="X74" s="3">
        <f t="shared" si="2"/>
        <v>57.55</v>
      </c>
      <c r="Y74" s="3"/>
      <c r="Z74" s="22">
        <f t="shared" si="3"/>
        <v>-0.90020334741123098</v>
      </c>
    </row>
    <row r="75" spans="1:26" s="24" customFormat="1" hidden="1" outlineLevel="1" x14ac:dyDescent="0.25">
      <c r="A75" s="50"/>
      <c r="B75" s="11" t="str">
        <f>CONCATENATE("          ", "4227", " - ", "SALES RETURN TAXABLE-SCHOOL SU")</f>
        <v xml:space="preserve">          4227 - SALES RETURN TAXABLE-SCHOOL SU</v>
      </c>
      <c r="C75" s="11"/>
      <c r="D75" s="3">
        <f>-56.77</f>
        <v>-56.77</v>
      </c>
      <c r="E75" s="3"/>
      <c r="F75" s="22"/>
      <c r="G75" s="3"/>
      <c r="H75" s="3">
        <f>-165.44</f>
        <v>-165.44</v>
      </c>
      <c r="I75" s="3"/>
      <c r="J75" s="22"/>
      <c r="K75" s="3"/>
      <c r="L75" s="3">
        <f t="shared" si="0"/>
        <v>108.66999999999999</v>
      </c>
      <c r="M75" s="3"/>
      <c r="N75" s="22">
        <f t="shared" si="1"/>
        <v>-0.65685444874274657</v>
      </c>
      <c r="O75" s="11"/>
      <c r="P75" s="3">
        <f>-56.77</f>
        <v>-56.77</v>
      </c>
      <c r="Q75" s="3"/>
      <c r="R75" s="22"/>
      <c r="S75" s="3"/>
      <c r="T75" s="3">
        <f>-165.44</f>
        <v>-165.44</v>
      </c>
      <c r="U75" s="3"/>
      <c r="V75" s="22"/>
      <c r="W75" s="3"/>
      <c r="X75" s="3">
        <f t="shared" si="2"/>
        <v>108.66999999999999</v>
      </c>
      <c r="Y75" s="3"/>
      <c r="Z75" s="22">
        <f t="shared" si="3"/>
        <v>-0.65685444874274657</v>
      </c>
    </row>
    <row r="76" spans="1:26" s="24" customFormat="1" hidden="1" outlineLevel="1" x14ac:dyDescent="0.25">
      <c r="A76" s="50"/>
      <c r="B76" s="11" t="str">
        <f>CONCATENATE("          ", "4228", " - ", "SALES RETURN TAXABLE-ART/TECH")</f>
        <v xml:space="preserve">          4228 - SALES RETURN TAXABLE-ART/TECH</v>
      </c>
      <c r="C76" s="11"/>
      <c r="D76" s="3">
        <f>0</f>
        <v>0</v>
      </c>
      <c r="E76" s="3"/>
      <c r="F76" s="22"/>
      <c r="G76" s="3"/>
      <c r="H76" s="3">
        <f>-10.37</f>
        <v>-10.37</v>
      </c>
      <c r="I76" s="3"/>
      <c r="J76" s="22"/>
      <c r="K76" s="3"/>
      <c r="L76" s="3">
        <f t="shared" si="0"/>
        <v>10.37</v>
      </c>
      <c r="M76" s="3"/>
      <c r="N76" s="22">
        <f t="shared" si="1"/>
        <v>-1</v>
      </c>
      <c r="O76" s="11"/>
      <c r="P76" s="3">
        <f>0</f>
        <v>0</v>
      </c>
      <c r="Q76" s="3"/>
      <c r="R76" s="22"/>
      <c r="S76" s="3"/>
      <c r="T76" s="3">
        <f>-10.37</f>
        <v>-10.37</v>
      </c>
      <c r="U76" s="3"/>
      <c r="V76" s="22"/>
      <c r="W76" s="3"/>
      <c r="X76" s="3">
        <f t="shared" si="2"/>
        <v>10.37</v>
      </c>
      <c r="Y76" s="3"/>
      <c r="Z76" s="22">
        <f t="shared" si="3"/>
        <v>-1</v>
      </c>
    </row>
    <row r="77" spans="1:26" s="24" customFormat="1" hidden="1" outlineLevel="1" x14ac:dyDescent="0.25">
      <c r="A77" s="50"/>
      <c r="B77" s="11" t="str">
        <f>CONCATENATE("          ", "4240", " - ", "SALES RETURN TAXABLE-LOGO CLOT")</f>
        <v xml:space="preserve">          4240 - SALES RETURN TAXABLE-LOGO CLOT</v>
      </c>
      <c r="C77" s="11"/>
      <c r="D77" s="3">
        <f>-3368.1</f>
        <v>-3368.1</v>
      </c>
      <c r="E77" s="3"/>
      <c r="F77" s="22"/>
      <c r="G77" s="3"/>
      <c r="H77" s="3">
        <f>-4446.84</f>
        <v>-4446.84</v>
      </c>
      <c r="I77" s="3"/>
      <c r="J77" s="22"/>
      <c r="K77" s="3"/>
      <c r="L77" s="3">
        <f t="shared" si="0"/>
        <v>1078.7400000000002</v>
      </c>
      <c r="M77" s="3"/>
      <c r="N77" s="22">
        <f t="shared" si="1"/>
        <v>-0.24258574628275364</v>
      </c>
      <c r="O77" s="11"/>
      <c r="P77" s="3">
        <f>-3368.1</f>
        <v>-3368.1</v>
      </c>
      <c r="Q77" s="3"/>
      <c r="R77" s="22"/>
      <c r="S77" s="3"/>
      <c r="T77" s="3">
        <f>-4446.84</f>
        <v>-4446.84</v>
      </c>
      <c r="U77" s="3"/>
      <c r="V77" s="22"/>
      <c r="W77" s="3"/>
      <c r="X77" s="3">
        <f t="shared" si="2"/>
        <v>1078.7400000000002</v>
      </c>
      <c r="Y77" s="3"/>
      <c r="Z77" s="22">
        <f t="shared" si="3"/>
        <v>-0.24258574628275364</v>
      </c>
    </row>
    <row r="78" spans="1:26" s="24" customFormat="1" hidden="1" outlineLevel="1" x14ac:dyDescent="0.25">
      <c r="A78" s="50"/>
      <c r="B78" s="11" t="str">
        <f>CONCATENATE("          ", "4241", " - ", "SALES RETURN TAXABLE-LOGO GIFT")</f>
        <v xml:space="preserve">          4241 - SALES RETURN TAXABLE-LOGO GIFT</v>
      </c>
      <c r="C78" s="11"/>
      <c r="D78" s="3">
        <f>-341.98</f>
        <v>-341.98</v>
      </c>
      <c r="E78" s="3"/>
      <c r="F78" s="22"/>
      <c r="G78" s="3"/>
      <c r="H78" s="3">
        <f>-718.9</f>
        <v>-718.9</v>
      </c>
      <c r="I78" s="3"/>
      <c r="J78" s="22"/>
      <c r="K78" s="3"/>
      <c r="L78" s="3">
        <f t="shared" si="0"/>
        <v>376.91999999999996</v>
      </c>
      <c r="M78" s="3"/>
      <c r="N78" s="22">
        <f t="shared" si="1"/>
        <v>-0.52430101544025587</v>
      </c>
      <c r="O78" s="11"/>
      <c r="P78" s="3">
        <f>-341.98</f>
        <v>-341.98</v>
      </c>
      <c r="Q78" s="3"/>
      <c r="R78" s="22"/>
      <c r="S78" s="3"/>
      <c r="T78" s="3">
        <f>-718.9</f>
        <v>-718.9</v>
      </c>
      <c r="U78" s="3"/>
      <c r="V78" s="22"/>
      <c r="W78" s="3"/>
      <c r="X78" s="3">
        <f t="shared" si="2"/>
        <v>376.91999999999996</v>
      </c>
      <c r="Y78" s="3"/>
      <c r="Z78" s="22">
        <f t="shared" si="3"/>
        <v>-0.52430101544025587</v>
      </c>
    </row>
    <row r="79" spans="1:26" s="24" customFormat="1" hidden="1" outlineLevel="1" x14ac:dyDescent="0.25">
      <c r="A79" s="50"/>
      <c r="B79" s="11" t="str">
        <f>CONCATENATE("          ", "4242", " - ", "SALES RETURN TAXABLE-EVERYDAY")</f>
        <v xml:space="preserve">          4242 - SALES RETURN TAXABLE-EVERYDAY</v>
      </c>
      <c r="C79" s="11"/>
      <c r="D79" s="3">
        <f>-178.96</f>
        <v>-178.96</v>
      </c>
      <c r="E79" s="3"/>
      <c r="F79" s="22"/>
      <c r="G79" s="3"/>
      <c r="H79" s="3">
        <f>-373.98</f>
        <v>-373.98</v>
      </c>
      <c r="I79" s="3"/>
      <c r="J79" s="22"/>
      <c r="K79" s="3"/>
      <c r="L79" s="3">
        <f t="shared" si="0"/>
        <v>195.02</v>
      </c>
      <c r="M79" s="3"/>
      <c r="N79" s="22">
        <f t="shared" si="1"/>
        <v>-0.52147173645649503</v>
      </c>
      <c r="O79" s="11"/>
      <c r="P79" s="3">
        <f>-178.96</f>
        <v>-178.96</v>
      </c>
      <c r="Q79" s="3"/>
      <c r="R79" s="22"/>
      <c r="S79" s="3"/>
      <c r="T79" s="3">
        <f>-373.98</f>
        <v>-373.98</v>
      </c>
      <c r="U79" s="3"/>
      <c r="V79" s="22"/>
      <c r="W79" s="3"/>
      <c r="X79" s="3">
        <f t="shared" si="2"/>
        <v>195.02</v>
      </c>
      <c r="Y79" s="3"/>
      <c r="Z79" s="22">
        <f t="shared" si="3"/>
        <v>-0.52147173645649503</v>
      </c>
    </row>
    <row r="80" spans="1:26" s="24" customFormat="1" hidden="1" outlineLevel="1" x14ac:dyDescent="0.25">
      <c r="A80" s="50"/>
      <c r="B80" s="11" t="str">
        <f>CONCATENATE("          ", "4244", " - ", "SALES RETURN TAXABLE-ACCESSORI")</f>
        <v xml:space="preserve">          4244 - SALES RETURN TAXABLE-ACCESSORI</v>
      </c>
      <c r="C80" s="11"/>
      <c r="D80" s="3">
        <f>0</f>
        <v>0</v>
      </c>
      <c r="E80" s="3"/>
      <c r="F80" s="22"/>
      <c r="G80" s="3"/>
      <c r="H80" s="3">
        <f>-106.79</f>
        <v>-106.79</v>
      </c>
      <c r="I80" s="3"/>
      <c r="J80" s="22"/>
      <c r="K80" s="3"/>
      <c r="L80" s="3">
        <f t="shared" si="0"/>
        <v>106.79</v>
      </c>
      <c r="M80" s="3"/>
      <c r="N80" s="22">
        <f t="shared" si="1"/>
        <v>-1</v>
      </c>
      <c r="O80" s="11"/>
      <c r="P80" s="3">
        <f>0</f>
        <v>0</v>
      </c>
      <c r="Q80" s="3"/>
      <c r="R80" s="22"/>
      <c r="S80" s="3"/>
      <c r="T80" s="3">
        <f>-106.79</f>
        <v>-106.79</v>
      </c>
      <c r="U80" s="3"/>
      <c r="V80" s="22"/>
      <c r="W80" s="3"/>
      <c r="X80" s="3">
        <f t="shared" si="2"/>
        <v>106.79</v>
      </c>
      <c r="Y80" s="3"/>
      <c r="Z80" s="22">
        <f t="shared" si="3"/>
        <v>-1</v>
      </c>
    </row>
    <row r="81" spans="1:26" s="24" customFormat="1" hidden="1" outlineLevel="1" x14ac:dyDescent="0.25">
      <c r="A81" s="50"/>
      <c r="B81" s="11" t="str">
        <f>CONCATENATE("          ", "4245", " - ", "SALES RETURN TAXABLE-SPECIAL O")</f>
        <v xml:space="preserve">          4245 - SALES RETURN TAXABLE-SPECIAL O</v>
      </c>
      <c r="C81" s="11"/>
      <c r="D81" s="3">
        <f>-1121</f>
        <v>-1121</v>
      </c>
      <c r="E81" s="3"/>
      <c r="F81" s="22"/>
      <c r="G81" s="3"/>
      <c r="H81" s="3">
        <f>0</f>
        <v>0</v>
      </c>
      <c r="I81" s="3"/>
      <c r="J81" s="22"/>
      <c r="K81" s="3"/>
      <c r="L81" s="3">
        <f t="shared" si="0"/>
        <v>-1121</v>
      </c>
      <c r="M81" s="3"/>
      <c r="N81" s="22">
        <f t="shared" si="1"/>
        <v>0</v>
      </c>
      <c r="O81" s="11"/>
      <c r="P81" s="3">
        <f>-1121</f>
        <v>-1121</v>
      </c>
      <c r="Q81" s="3"/>
      <c r="R81" s="22"/>
      <c r="S81" s="3"/>
      <c r="T81" s="3">
        <f>0</f>
        <v>0</v>
      </c>
      <c r="U81" s="3"/>
      <c r="V81" s="22"/>
      <c r="W81" s="3"/>
      <c r="X81" s="3">
        <f t="shared" si="2"/>
        <v>-1121</v>
      </c>
      <c r="Y81" s="3"/>
      <c r="Z81" s="22">
        <f t="shared" si="3"/>
        <v>0</v>
      </c>
    </row>
    <row r="82" spans="1:26" s="24" customFormat="1" hidden="1" outlineLevel="1" x14ac:dyDescent="0.25">
      <c r="A82" s="50"/>
      <c r="B82" s="11" t="str">
        <f>CONCATENATE("          ", "4292", " - ", "SALES RETURN TAXABLE-GRAD MERC")</f>
        <v xml:space="preserve">          4292 - SALES RETURN TAXABLE-GRAD MERC</v>
      </c>
      <c r="C82" s="11"/>
      <c r="D82" s="3">
        <f t="shared" ref="D82:D83" si="16">0</f>
        <v>0</v>
      </c>
      <c r="E82" s="3"/>
      <c r="F82" s="22"/>
      <c r="G82" s="3"/>
      <c r="H82" s="3">
        <f>-9.95</f>
        <v>-9.9499999999999993</v>
      </c>
      <c r="I82" s="3"/>
      <c r="J82" s="22"/>
      <c r="K82" s="3"/>
      <c r="L82" s="3">
        <f t="shared" si="0"/>
        <v>9.9499999999999993</v>
      </c>
      <c r="M82" s="3"/>
      <c r="N82" s="22">
        <f t="shared" si="1"/>
        <v>-1</v>
      </c>
      <c r="O82" s="11"/>
      <c r="P82" s="3">
        <f t="shared" ref="P82:P83" si="17">0</f>
        <v>0</v>
      </c>
      <c r="Q82" s="3"/>
      <c r="R82" s="22"/>
      <c r="S82" s="3"/>
      <c r="T82" s="3">
        <f>-9.95</f>
        <v>-9.9499999999999993</v>
      </c>
      <c r="U82" s="3"/>
      <c r="V82" s="22"/>
      <c r="W82" s="3"/>
      <c r="X82" s="3">
        <f t="shared" si="2"/>
        <v>9.9499999999999993</v>
      </c>
      <c r="Y82" s="3"/>
      <c r="Z82" s="22">
        <f t="shared" si="3"/>
        <v>-1</v>
      </c>
    </row>
    <row r="83" spans="1:26" s="24" customFormat="1" hidden="1" outlineLevel="1" x14ac:dyDescent="0.25">
      <c r="A83" s="50"/>
      <c r="B83" s="11" t="str">
        <f>CONCATENATE("          ", "4301", " - ", "SALES RETURN NON TAXABLE-NEW T")</f>
        <v xml:space="preserve">          4301 - SALES RETURN NON TAXABLE-NEW T</v>
      </c>
      <c r="C83" s="11"/>
      <c r="D83" s="3">
        <f t="shared" si="16"/>
        <v>0</v>
      </c>
      <c r="E83" s="3"/>
      <c r="F83" s="22"/>
      <c r="G83" s="3"/>
      <c r="H83" s="3">
        <f>-254.59</f>
        <v>-254.59</v>
      </c>
      <c r="I83" s="3"/>
      <c r="J83" s="22"/>
      <c r="K83" s="3"/>
      <c r="L83" s="3">
        <f t="shared" si="0"/>
        <v>254.59</v>
      </c>
      <c r="M83" s="3"/>
      <c r="N83" s="22">
        <f t="shared" si="1"/>
        <v>-1</v>
      </c>
      <c r="O83" s="11"/>
      <c r="P83" s="3">
        <f t="shared" si="17"/>
        <v>0</v>
      </c>
      <c r="Q83" s="3"/>
      <c r="R83" s="22"/>
      <c r="S83" s="3"/>
      <c r="T83" s="3">
        <f>-254.59</f>
        <v>-254.59</v>
      </c>
      <c r="U83" s="3"/>
      <c r="V83" s="22"/>
      <c r="W83" s="3"/>
      <c r="X83" s="3">
        <f t="shared" si="2"/>
        <v>254.59</v>
      </c>
      <c r="Y83" s="3"/>
      <c r="Z83" s="22">
        <f t="shared" si="3"/>
        <v>-1</v>
      </c>
    </row>
    <row r="84" spans="1:26" s="24" customFormat="1" hidden="1" outlineLevel="1" x14ac:dyDescent="0.25">
      <c r="A84" s="50"/>
      <c r="B84" s="11" t="str">
        <f>CONCATENATE("          ", "4302", " - ", "SALES RETURN NON TAXABLE-TEXT")</f>
        <v xml:space="preserve">          4302 - SALES RETURN NON TAXABLE-TEXT</v>
      </c>
      <c r="C84" s="11"/>
      <c r="D84" s="3">
        <f>-63.67</f>
        <v>-63.67</v>
      </c>
      <c r="E84" s="3"/>
      <c r="F84" s="22"/>
      <c r="G84" s="3"/>
      <c r="H84" s="3">
        <f t="shared" ref="H84:H85" si="18">0</f>
        <v>0</v>
      </c>
      <c r="I84" s="3"/>
      <c r="J84" s="22"/>
      <c r="K84" s="3"/>
      <c r="L84" s="3">
        <f t="shared" si="0"/>
        <v>-63.67</v>
      </c>
      <c r="M84" s="3"/>
      <c r="N84" s="22">
        <f t="shared" si="1"/>
        <v>0</v>
      </c>
      <c r="O84" s="11"/>
      <c r="P84" s="3">
        <f>-63.67</f>
        <v>-63.67</v>
      </c>
      <c r="Q84" s="3"/>
      <c r="R84" s="22"/>
      <c r="S84" s="3"/>
      <c r="T84" s="3">
        <f t="shared" ref="T84:T85" si="19">0</f>
        <v>0</v>
      </c>
      <c r="U84" s="3"/>
      <c r="V84" s="22"/>
      <c r="W84" s="3"/>
      <c r="X84" s="3">
        <f t="shared" si="2"/>
        <v>-63.67</v>
      </c>
      <c r="Y84" s="3"/>
      <c r="Z84" s="22">
        <f t="shared" si="3"/>
        <v>0</v>
      </c>
    </row>
    <row r="85" spans="1:26" s="24" customFormat="1" hidden="1" outlineLevel="1" x14ac:dyDescent="0.25">
      <c r="A85" s="50"/>
      <c r="B85" s="11" t="str">
        <f>CONCATENATE("          ", "4304", " - ", "SALES RETURN NON TAXABLE-DIGIT")</f>
        <v xml:space="preserve">          4304 - SALES RETURN NON TAXABLE-DIGIT</v>
      </c>
      <c r="C85" s="11"/>
      <c r="D85" s="3">
        <f>-452.05</f>
        <v>-452.05</v>
      </c>
      <c r="E85" s="3"/>
      <c r="F85" s="22"/>
      <c r="G85" s="3"/>
      <c r="H85" s="3">
        <f t="shared" si="18"/>
        <v>0</v>
      </c>
      <c r="I85" s="3"/>
      <c r="J85" s="22"/>
      <c r="K85" s="3"/>
      <c r="L85" s="3">
        <f t="shared" si="0"/>
        <v>-452.05</v>
      </c>
      <c r="M85" s="3"/>
      <c r="N85" s="22">
        <f t="shared" si="1"/>
        <v>0</v>
      </c>
      <c r="O85" s="11"/>
      <c r="P85" s="3">
        <f>-452.05</f>
        <v>-452.05</v>
      </c>
      <c r="Q85" s="3"/>
      <c r="R85" s="22"/>
      <c r="S85" s="3"/>
      <c r="T85" s="3">
        <f t="shared" si="19"/>
        <v>0</v>
      </c>
      <c r="U85" s="3"/>
      <c r="V85" s="22"/>
      <c r="W85" s="3"/>
      <c r="X85" s="3">
        <f t="shared" si="2"/>
        <v>-452.05</v>
      </c>
      <c r="Y85" s="3"/>
      <c r="Z85" s="22">
        <f t="shared" si="3"/>
        <v>0</v>
      </c>
    </row>
    <row r="86" spans="1:26" s="24" customFormat="1" hidden="1" outlineLevel="1" x14ac:dyDescent="0.25">
      <c r="A86" s="50"/>
      <c r="B86" s="11" t="str">
        <f>CONCATENATE("          ", "4311", " - ", "SALES RETURN NON TAXABLE-NO VA")</f>
        <v xml:space="preserve">          4311 - SALES RETURN NON TAXABLE-NO VA</v>
      </c>
      <c r="C86" s="11"/>
      <c r="D86" s="3">
        <f>0</f>
        <v>0</v>
      </c>
      <c r="E86" s="3"/>
      <c r="F86" s="22"/>
      <c r="G86" s="3"/>
      <c r="H86" s="3">
        <f>-31.98</f>
        <v>-31.98</v>
      </c>
      <c r="I86" s="3"/>
      <c r="J86" s="22"/>
      <c r="K86" s="3"/>
      <c r="L86" s="3">
        <f t="shared" si="0"/>
        <v>31.98</v>
      </c>
      <c r="M86" s="3"/>
      <c r="N86" s="22">
        <f t="shared" si="1"/>
        <v>-1</v>
      </c>
      <c r="O86" s="11"/>
      <c r="P86" s="3">
        <f>0</f>
        <v>0</v>
      </c>
      <c r="Q86" s="3"/>
      <c r="R86" s="22"/>
      <c r="S86" s="3"/>
      <c r="T86" s="3">
        <f>-31.98</f>
        <v>-31.98</v>
      </c>
      <c r="U86" s="3"/>
      <c r="V86" s="22"/>
      <c r="W86" s="3"/>
      <c r="X86" s="3">
        <f t="shared" si="2"/>
        <v>31.98</v>
      </c>
      <c r="Y86" s="3"/>
      <c r="Z86" s="22">
        <f t="shared" si="3"/>
        <v>-1</v>
      </c>
    </row>
    <row r="87" spans="1:26" s="24" customFormat="1" hidden="1" outlineLevel="1" x14ac:dyDescent="0.25">
      <c r="A87" s="50"/>
      <c r="B87" s="11" t="str">
        <f>CONCATENATE("          ", "4340", " - ", "SALES RETURN NON TAXABLE-LOGO")</f>
        <v xml:space="preserve">          4340 - SALES RETURN NON TAXABLE-LOGO</v>
      </c>
      <c r="C87" s="11"/>
      <c r="D87" s="3">
        <f>-434.24</f>
        <v>-434.24</v>
      </c>
      <c r="E87" s="3"/>
      <c r="F87" s="22"/>
      <c r="G87" s="3"/>
      <c r="H87" s="3">
        <f>-223.55</f>
        <v>-223.55</v>
      </c>
      <c r="I87" s="3"/>
      <c r="J87" s="22"/>
      <c r="K87" s="3"/>
      <c r="L87" s="3">
        <f t="shared" si="0"/>
        <v>-210.69</v>
      </c>
      <c r="M87" s="3"/>
      <c r="N87" s="22">
        <f t="shared" si="1"/>
        <v>0.94247371952583314</v>
      </c>
      <c r="O87" s="11"/>
      <c r="P87" s="3">
        <f>-434.24</f>
        <v>-434.24</v>
      </c>
      <c r="Q87" s="3"/>
      <c r="R87" s="22"/>
      <c r="S87" s="3"/>
      <c r="T87" s="3">
        <f>-223.55</f>
        <v>-223.55</v>
      </c>
      <c r="U87" s="3"/>
      <c r="V87" s="22"/>
      <c r="W87" s="3"/>
      <c r="X87" s="3">
        <f t="shared" si="2"/>
        <v>-210.69</v>
      </c>
      <c r="Y87" s="3"/>
      <c r="Z87" s="22">
        <f t="shared" si="3"/>
        <v>0.94247371952583314</v>
      </c>
    </row>
    <row r="88" spans="1:26" s="24" customFormat="1" hidden="1" outlineLevel="1" x14ac:dyDescent="0.25">
      <c r="A88" s="50"/>
      <c r="B88" s="11" t="str">
        <f>CONCATENATE("          ", "4341", " - ", "SALES RETURN NON TAXABLE-LOGO")</f>
        <v xml:space="preserve">          4341 - SALES RETURN NON TAXABLE-LOGO</v>
      </c>
      <c r="C88" s="11"/>
      <c r="D88" s="3">
        <f>-16.95</f>
        <v>-16.95</v>
      </c>
      <c r="E88" s="3"/>
      <c r="F88" s="22"/>
      <c r="G88" s="3"/>
      <c r="H88" s="3">
        <f t="shared" ref="H88:H89" si="20">0</f>
        <v>0</v>
      </c>
      <c r="I88" s="3"/>
      <c r="J88" s="22"/>
      <c r="K88" s="3"/>
      <c r="L88" s="3">
        <f t="shared" si="0"/>
        <v>-16.95</v>
      </c>
      <c r="M88" s="3"/>
      <c r="N88" s="22">
        <f t="shared" si="1"/>
        <v>0</v>
      </c>
      <c r="O88" s="11"/>
      <c r="P88" s="3">
        <f>-16.95</f>
        <v>-16.95</v>
      </c>
      <c r="Q88" s="3"/>
      <c r="R88" s="22"/>
      <c r="S88" s="3"/>
      <c r="T88" s="3">
        <f t="shared" ref="T88:T89" si="21">0</f>
        <v>0</v>
      </c>
      <c r="U88" s="3"/>
      <c r="V88" s="22"/>
      <c r="W88" s="3"/>
      <c r="X88" s="3">
        <f t="shared" si="2"/>
        <v>-16.95</v>
      </c>
      <c r="Y88" s="3"/>
      <c r="Z88" s="22">
        <f t="shared" si="3"/>
        <v>0</v>
      </c>
    </row>
    <row r="89" spans="1:26" s="24" customFormat="1" hidden="1" outlineLevel="1" x14ac:dyDescent="0.25">
      <c r="A89" s="50"/>
      <c r="B89" s="11" t="str">
        <f>CONCATENATE("          ", "4342", " - ", "SALES RETURN NON TAXABLE-EVERY")</f>
        <v xml:space="preserve">          4342 - SALES RETURN NON TAXABLE-EVERY</v>
      </c>
      <c r="C89" s="11"/>
      <c r="D89" s="3">
        <f>-79.85</f>
        <v>-79.849999999999994</v>
      </c>
      <c r="E89" s="3"/>
      <c r="F89" s="22"/>
      <c r="G89" s="3"/>
      <c r="H89" s="3">
        <f t="shared" si="20"/>
        <v>0</v>
      </c>
      <c r="I89" s="3"/>
      <c r="J89" s="22"/>
      <c r="K89" s="3"/>
      <c r="L89" s="3">
        <f t="shared" si="0"/>
        <v>-79.849999999999994</v>
      </c>
      <c r="M89" s="3"/>
      <c r="N89" s="22">
        <f t="shared" si="1"/>
        <v>0</v>
      </c>
      <c r="O89" s="11"/>
      <c r="P89" s="3">
        <f>-79.85</f>
        <v>-79.849999999999994</v>
      </c>
      <c r="Q89" s="3"/>
      <c r="R89" s="22"/>
      <c r="S89" s="3"/>
      <c r="T89" s="3">
        <f t="shared" si="21"/>
        <v>0</v>
      </c>
      <c r="U89" s="3"/>
      <c r="V89" s="22"/>
      <c r="W89" s="3"/>
      <c r="X89" s="3">
        <f t="shared" si="2"/>
        <v>-79.849999999999994</v>
      </c>
      <c r="Y89" s="3"/>
      <c r="Z89" s="22">
        <f t="shared" si="3"/>
        <v>0</v>
      </c>
    </row>
    <row r="90" spans="1:26" x14ac:dyDescent="0.25">
      <c r="A90" s="9"/>
      <c r="B90" s="10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3" customFormat="1" collapsed="1" x14ac:dyDescent="0.25">
      <c r="A91" s="10"/>
      <c r="B91" s="25" t="s">
        <v>8</v>
      </c>
      <c r="C91" s="10"/>
      <c r="D91" s="4">
        <f>SUM(OSRRefD16x_0)</f>
        <v>141168.40000000002</v>
      </c>
      <c r="E91" s="4"/>
      <c r="F91" s="12">
        <f t="shared" ref="F91:F129" si="22">IF(D$12=0,0,D91/D$12)</f>
        <v>0.62006458987843027</v>
      </c>
      <c r="G91" s="4"/>
      <c r="H91" s="4">
        <f>SUM(OSRRefH16x_0)</f>
        <v>219188.74999999991</v>
      </c>
      <c r="I91" s="4"/>
      <c r="J91" s="12">
        <f t="shared" ref="J91:J129" si="23">IF(H$12=0,0,H91/H$12)</f>
        <v>0.53361324959589851</v>
      </c>
      <c r="K91" s="4"/>
      <c r="L91" s="4">
        <f t="shared" ref="L91:L129" si="24">+D91-H91</f>
        <v>-78020.349999999889</v>
      </c>
      <c r="M91" s="4"/>
      <c r="N91" s="12">
        <f t="shared" ref="N91:N129" si="25">IF(H91=0,0,L91/H91)</f>
        <v>-0.35595052209568201</v>
      </c>
      <c r="O91" s="10"/>
      <c r="P91" s="4">
        <f>SUM(OSRRefP16x_0)</f>
        <v>141168.40000000002</v>
      </c>
      <c r="Q91" s="4"/>
      <c r="R91" s="12">
        <f t="shared" ref="R91:R129" si="26">IF(P$12=0,0,P91/P$12)</f>
        <v>0.62006458987843027</v>
      </c>
      <c r="S91" s="4"/>
      <c r="T91" s="4">
        <f>SUM(OSRRefT16x_0)</f>
        <v>219188.74999999991</v>
      </c>
      <c r="U91" s="4"/>
      <c r="V91" s="12">
        <f t="shared" ref="V91:V129" si="27">IF(T$12=0,0,T91/T$12)</f>
        <v>0.53361324959589851</v>
      </c>
      <c r="W91" s="4"/>
      <c r="X91" s="4">
        <f t="shared" ref="X91:X129" si="28">+P91-T91</f>
        <v>-78020.349999999889</v>
      </c>
      <c r="Y91" s="4"/>
      <c r="Z91" s="12">
        <f t="shared" ref="Z91:Z129" si="29">IF(T91=0,0,X91/T91)</f>
        <v>-0.35595052209568201</v>
      </c>
    </row>
    <row r="92" spans="1:26" s="24" customFormat="1" hidden="1" outlineLevel="1" x14ac:dyDescent="0.25">
      <c r="A92" s="50"/>
      <c r="B92" s="11" t="str">
        <f>CONCATENATE("          ", "5001", " - ", "PURCHASES @ COST-NEW TEXT")</f>
        <v xml:space="preserve">          5001 - PURCHASES @ COST-NEW TEXT</v>
      </c>
      <c r="C92" s="11"/>
      <c r="D92" s="3">
        <v>153110.63</v>
      </c>
      <c r="E92" s="3"/>
      <c r="F92" s="22">
        <f t="shared" si="22"/>
        <v>0.67251934566785532</v>
      </c>
      <c r="G92" s="3"/>
      <c r="H92" s="3">
        <v>343994.56</v>
      </c>
      <c r="I92" s="3"/>
      <c r="J92" s="22">
        <f t="shared" si="23"/>
        <v>0.83745199060130293</v>
      </c>
      <c r="K92" s="3"/>
      <c r="L92" s="3">
        <f t="shared" si="24"/>
        <v>-190883.93</v>
      </c>
      <c r="M92" s="3"/>
      <c r="N92" s="22">
        <f t="shared" si="25"/>
        <v>-0.5549039205736277</v>
      </c>
      <c r="O92" s="11"/>
      <c r="P92" s="3">
        <v>153110.63</v>
      </c>
      <c r="Q92" s="3"/>
      <c r="R92" s="22">
        <f t="shared" si="26"/>
        <v>0.67251934566785532</v>
      </c>
      <c r="S92" s="3"/>
      <c r="T92" s="3">
        <v>343994.56</v>
      </c>
      <c r="U92" s="3"/>
      <c r="V92" s="22">
        <f t="shared" si="27"/>
        <v>0.83745199060130293</v>
      </c>
      <c r="W92" s="3"/>
      <c r="X92" s="3">
        <f t="shared" si="28"/>
        <v>-190883.93</v>
      </c>
      <c r="Y92" s="3"/>
      <c r="Z92" s="22">
        <f t="shared" si="29"/>
        <v>-0.5549039205736277</v>
      </c>
    </row>
    <row r="93" spans="1:26" s="24" customFormat="1" hidden="1" outlineLevel="1" x14ac:dyDescent="0.25">
      <c r="A93" s="50"/>
      <c r="B93" s="11" t="str">
        <f>CONCATENATE("          ", "5002", " - ", "PURCHASES @ COST-USED TEXT")</f>
        <v xml:space="preserve">          5002 - PURCHASES @ COST-USED TEXT</v>
      </c>
      <c r="C93" s="11"/>
      <c r="D93" s="3">
        <v>60324.850000000006</v>
      </c>
      <c r="E93" s="3"/>
      <c r="F93" s="22">
        <f t="shared" si="22"/>
        <v>0.26496937965385897</v>
      </c>
      <c r="G93" s="3"/>
      <c r="H93" s="3">
        <v>110293.25</v>
      </c>
      <c r="I93" s="3"/>
      <c r="J93" s="22">
        <f t="shared" si="23"/>
        <v>0.2685080303664894</v>
      </c>
      <c r="K93" s="3"/>
      <c r="L93" s="3">
        <f t="shared" si="24"/>
        <v>-49968.399999999994</v>
      </c>
      <c r="M93" s="3"/>
      <c r="N93" s="22">
        <f t="shared" si="25"/>
        <v>-0.45305039066307318</v>
      </c>
      <c r="O93" s="11"/>
      <c r="P93" s="3">
        <v>60324.850000000006</v>
      </c>
      <c r="Q93" s="3"/>
      <c r="R93" s="22">
        <f t="shared" si="26"/>
        <v>0.26496937965385897</v>
      </c>
      <c r="S93" s="3"/>
      <c r="T93" s="3">
        <v>110293.25</v>
      </c>
      <c r="U93" s="3"/>
      <c r="V93" s="22">
        <f t="shared" si="27"/>
        <v>0.2685080303664894</v>
      </c>
      <c r="W93" s="3"/>
      <c r="X93" s="3">
        <f t="shared" si="28"/>
        <v>-49968.399999999994</v>
      </c>
      <c r="Y93" s="3"/>
      <c r="Z93" s="22">
        <f t="shared" si="29"/>
        <v>-0.45305039066307318</v>
      </c>
    </row>
    <row r="94" spans="1:26" s="24" customFormat="1" hidden="1" outlineLevel="1" x14ac:dyDescent="0.25">
      <c r="A94" s="50"/>
      <c r="B94" s="11" t="str">
        <f>CONCATENATE("          ", "5003", " - ", "PURCHASES @ COST-RENTAL TEXT")</f>
        <v xml:space="preserve">          5003 - PURCHASES @ COST-RENTAL TEXT</v>
      </c>
      <c r="C94" s="11"/>
      <c r="D94" s="3">
        <v>-11926.64</v>
      </c>
      <c r="E94" s="3"/>
      <c r="F94" s="22">
        <f t="shared" si="22"/>
        <v>-5.2386278658876066E-2</v>
      </c>
      <c r="G94" s="3"/>
      <c r="H94" s="3">
        <v>38295.800000000003</v>
      </c>
      <c r="I94" s="3"/>
      <c r="J94" s="22">
        <f t="shared" si="23"/>
        <v>9.3230817201496965E-2</v>
      </c>
      <c r="K94" s="3"/>
      <c r="L94" s="3">
        <f t="shared" si="24"/>
        <v>-50222.44</v>
      </c>
      <c r="M94" s="3"/>
      <c r="N94" s="22">
        <f t="shared" si="25"/>
        <v>-1.311434674298487</v>
      </c>
      <c r="O94" s="11"/>
      <c r="P94" s="3">
        <v>-11926.64</v>
      </c>
      <c r="Q94" s="3"/>
      <c r="R94" s="22">
        <f t="shared" si="26"/>
        <v>-5.2386278658876066E-2</v>
      </c>
      <c r="S94" s="3"/>
      <c r="T94" s="3">
        <v>38295.800000000003</v>
      </c>
      <c r="U94" s="3"/>
      <c r="V94" s="22">
        <f t="shared" si="27"/>
        <v>9.3230817201496965E-2</v>
      </c>
      <c r="W94" s="3"/>
      <c r="X94" s="3">
        <f t="shared" si="28"/>
        <v>-50222.44</v>
      </c>
      <c r="Y94" s="3"/>
      <c r="Z94" s="22">
        <f t="shared" si="29"/>
        <v>-1.311434674298487</v>
      </c>
    </row>
    <row r="95" spans="1:26" s="24" customFormat="1" hidden="1" outlineLevel="1" x14ac:dyDescent="0.25">
      <c r="A95" s="50"/>
      <c r="B95" s="11" t="str">
        <f>CONCATENATE("          ", "5004", " - ", "PURCHASES @ COST-DIGITAL TEXT")</f>
        <v xml:space="preserve">          5004 - PURCHASES @ COST-DIGITAL TEXT</v>
      </c>
      <c r="C95" s="11"/>
      <c r="D95" s="3">
        <v>4925.4799999999996</v>
      </c>
      <c r="E95" s="3"/>
      <c r="F95" s="22">
        <f t="shared" si="22"/>
        <v>2.163455657324451E-2</v>
      </c>
      <c r="G95" s="3"/>
      <c r="H95" s="3">
        <v>133958.57</v>
      </c>
      <c r="I95" s="3"/>
      <c r="J95" s="22">
        <f t="shared" si="23"/>
        <v>0.3261210616371491</v>
      </c>
      <c r="K95" s="3"/>
      <c r="L95" s="3">
        <f t="shared" si="24"/>
        <v>-129033.09000000001</v>
      </c>
      <c r="M95" s="3"/>
      <c r="N95" s="22">
        <f t="shared" si="25"/>
        <v>-0.96323131845913257</v>
      </c>
      <c r="O95" s="11"/>
      <c r="P95" s="3">
        <v>4925.4799999999996</v>
      </c>
      <c r="Q95" s="3"/>
      <c r="R95" s="22">
        <f t="shared" si="26"/>
        <v>2.163455657324451E-2</v>
      </c>
      <c r="S95" s="3"/>
      <c r="T95" s="3">
        <v>133958.57</v>
      </c>
      <c r="U95" s="3"/>
      <c r="V95" s="22">
        <f t="shared" si="27"/>
        <v>0.3261210616371491</v>
      </c>
      <c r="W95" s="3"/>
      <c r="X95" s="3">
        <f t="shared" si="28"/>
        <v>-129033.09000000001</v>
      </c>
      <c r="Y95" s="3"/>
      <c r="Z95" s="22">
        <f t="shared" si="29"/>
        <v>-0.96323131845913257</v>
      </c>
    </row>
    <row r="96" spans="1:26" s="24" customFormat="1" hidden="1" outlineLevel="1" x14ac:dyDescent="0.25">
      <c r="A96" s="50"/>
      <c r="B96" s="11" t="str">
        <f>CONCATENATE("          ", "5011", " - ", "PURCHASES @ COST-NO VALUE TEXT")</f>
        <v xml:space="preserve">          5011 - PURCHASES @ COST-NO VALUE TEXT</v>
      </c>
      <c r="C96" s="11"/>
      <c r="D96" s="3"/>
      <c r="E96" s="3"/>
      <c r="F96" s="22">
        <f t="shared" si="22"/>
        <v>0</v>
      </c>
      <c r="G96" s="3"/>
      <c r="H96" s="3">
        <v>288</v>
      </c>
      <c r="I96" s="3"/>
      <c r="J96" s="22">
        <f t="shared" si="23"/>
        <v>7.0113368447796167E-4</v>
      </c>
      <c r="K96" s="3"/>
      <c r="L96" s="3">
        <f t="shared" si="24"/>
        <v>-288</v>
      </c>
      <c r="M96" s="3"/>
      <c r="N96" s="22">
        <f t="shared" si="25"/>
        <v>-1</v>
      </c>
      <c r="O96" s="11"/>
      <c r="P96" s="3"/>
      <c r="Q96" s="3"/>
      <c r="R96" s="22">
        <f t="shared" si="26"/>
        <v>0</v>
      </c>
      <c r="S96" s="3"/>
      <c r="T96" s="3">
        <v>288</v>
      </c>
      <c r="U96" s="3"/>
      <c r="V96" s="22">
        <f t="shared" si="27"/>
        <v>7.0113368447796167E-4</v>
      </c>
      <c r="W96" s="3"/>
      <c r="X96" s="3">
        <f t="shared" si="28"/>
        <v>-288</v>
      </c>
      <c r="Y96" s="3"/>
      <c r="Z96" s="22">
        <f t="shared" si="29"/>
        <v>-1</v>
      </c>
    </row>
    <row r="97" spans="1:26" s="24" customFormat="1" hidden="1" outlineLevel="1" x14ac:dyDescent="0.25">
      <c r="A97" s="50"/>
      <c r="B97" s="11" t="str">
        <f>CONCATENATE("          ", "5013", " - ", "PURCHASES @ COST-TRADE BOOKS")</f>
        <v xml:space="preserve">          5013 - PURCHASES @ COST-TRADE BOOKS</v>
      </c>
      <c r="C97" s="11"/>
      <c r="D97" s="3">
        <v>108.54</v>
      </c>
      <c r="E97" s="3"/>
      <c r="F97" s="22">
        <f t="shared" si="22"/>
        <v>4.7674841243086142E-4</v>
      </c>
      <c r="G97" s="3"/>
      <c r="H97" s="3">
        <v>204.9</v>
      </c>
      <c r="I97" s="3"/>
      <c r="J97" s="22">
        <f t="shared" si="23"/>
        <v>4.988274026025498E-4</v>
      </c>
      <c r="K97" s="3"/>
      <c r="L97" s="3">
        <f t="shared" si="24"/>
        <v>-96.36</v>
      </c>
      <c r="M97" s="3"/>
      <c r="N97" s="22">
        <f t="shared" si="25"/>
        <v>-0.47027818448023423</v>
      </c>
      <c r="O97" s="11"/>
      <c r="P97" s="3">
        <v>108.54</v>
      </c>
      <c r="Q97" s="3"/>
      <c r="R97" s="22">
        <f t="shared" si="26"/>
        <v>4.7674841243086142E-4</v>
      </c>
      <c r="S97" s="3"/>
      <c r="T97" s="3">
        <v>204.9</v>
      </c>
      <c r="U97" s="3"/>
      <c r="V97" s="22">
        <f t="shared" si="27"/>
        <v>4.988274026025498E-4</v>
      </c>
      <c r="W97" s="3"/>
      <c r="X97" s="3">
        <f t="shared" si="28"/>
        <v>-96.36</v>
      </c>
      <c r="Y97" s="3"/>
      <c r="Z97" s="22">
        <f t="shared" si="29"/>
        <v>-0.47027818448023423</v>
      </c>
    </row>
    <row r="98" spans="1:26" s="24" customFormat="1" hidden="1" outlineLevel="1" x14ac:dyDescent="0.25">
      <c r="A98" s="50"/>
      <c r="B98" s="11" t="str">
        <f>CONCATENATE("          ", "5014", " - ", "PURCHASES @ COST-REMAINDERS")</f>
        <v xml:space="preserve">          5014 - PURCHASES @ COST-REMAINDERS</v>
      </c>
      <c r="C98" s="11"/>
      <c r="D98" s="3">
        <v>-12.51</v>
      </c>
      <c r="E98" s="3"/>
      <c r="F98" s="22">
        <f t="shared" si="22"/>
        <v>-5.494861469974273E-5</v>
      </c>
      <c r="G98" s="3"/>
      <c r="H98" s="3">
        <v>100.48</v>
      </c>
      <c r="I98" s="3"/>
      <c r="J98" s="22">
        <f t="shared" si="23"/>
        <v>2.4461775214008885E-4</v>
      </c>
      <c r="K98" s="3"/>
      <c r="L98" s="3">
        <f t="shared" si="24"/>
        <v>-112.99000000000001</v>
      </c>
      <c r="M98" s="3"/>
      <c r="N98" s="22">
        <f t="shared" si="25"/>
        <v>-1.1245023885350318</v>
      </c>
      <c r="O98" s="11"/>
      <c r="P98" s="3">
        <v>-12.51</v>
      </c>
      <c r="Q98" s="3"/>
      <c r="R98" s="22">
        <f t="shared" si="26"/>
        <v>-5.494861469974273E-5</v>
      </c>
      <c r="S98" s="3"/>
      <c r="T98" s="3">
        <v>100.48</v>
      </c>
      <c r="U98" s="3"/>
      <c r="V98" s="22">
        <f t="shared" si="27"/>
        <v>2.4461775214008885E-4</v>
      </c>
      <c r="W98" s="3"/>
      <c r="X98" s="3">
        <f t="shared" si="28"/>
        <v>-112.99000000000001</v>
      </c>
      <c r="Y98" s="3"/>
      <c r="Z98" s="22">
        <f t="shared" si="29"/>
        <v>-1.1245023885350318</v>
      </c>
    </row>
    <row r="99" spans="1:26" s="24" customFormat="1" hidden="1" outlineLevel="1" x14ac:dyDescent="0.25">
      <c r="A99" s="50"/>
      <c r="B99" s="11" t="str">
        <f>CONCATENATE("          ", "5018", " - ", "PURCHASES @ COST-STUDY GUIDES")</f>
        <v xml:space="preserve">          5018 - PURCHASES @ COST-STUDY GUIDES</v>
      </c>
      <c r="C99" s="11"/>
      <c r="D99" s="3"/>
      <c r="E99" s="3"/>
      <c r="F99" s="22">
        <f t="shared" si="22"/>
        <v>0</v>
      </c>
      <c r="G99" s="3"/>
      <c r="H99" s="3">
        <v>503.93</v>
      </c>
      <c r="I99" s="3"/>
      <c r="J99" s="22">
        <f t="shared" si="23"/>
        <v>1.2268135333992334E-3</v>
      </c>
      <c r="K99" s="3"/>
      <c r="L99" s="3">
        <f t="shared" si="24"/>
        <v>-503.93</v>
      </c>
      <c r="M99" s="3"/>
      <c r="N99" s="22">
        <f t="shared" si="25"/>
        <v>-1</v>
      </c>
      <c r="O99" s="11"/>
      <c r="P99" s="3"/>
      <c r="Q99" s="3"/>
      <c r="R99" s="22">
        <f t="shared" si="26"/>
        <v>0</v>
      </c>
      <c r="S99" s="3"/>
      <c r="T99" s="3">
        <v>503.93</v>
      </c>
      <c r="U99" s="3"/>
      <c r="V99" s="22">
        <f t="shared" si="27"/>
        <v>1.2268135333992334E-3</v>
      </c>
      <c r="W99" s="3"/>
      <c r="X99" s="3">
        <f t="shared" si="28"/>
        <v>-503.93</v>
      </c>
      <c r="Y99" s="3"/>
      <c r="Z99" s="22">
        <f t="shared" si="29"/>
        <v>-1</v>
      </c>
    </row>
    <row r="100" spans="1:26" s="24" customFormat="1" hidden="1" outlineLevel="1" x14ac:dyDescent="0.25">
      <c r="A100" s="50"/>
      <c r="B100" s="11" t="str">
        <f>CONCATENATE("          ", "5025", " - ", "PURCHASES @ COST-TEST FORMS")</f>
        <v xml:space="preserve">          5025 - PURCHASES @ COST-TEST FORMS</v>
      </c>
      <c r="C100" s="11"/>
      <c r="D100" s="3"/>
      <c r="E100" s="3"/>
      <c r="F100" s="22">
        <f t="shared" si="22"/>
        <v>0</v>
      </c>
      <c r="G100" s="3"/>
      <c r="H100" s="3">
        <v>879.12</v>
      </c>
      <c r="I100" s="3"/>
      <c r="J100" s="22">
        <f t="shared" si="23"/>
        <v>2.140210571868978E-3</v>
      </c>
      <c r="K100" s="3"/>
      <c r="L100" s="3">
        <f t="shared" si="24"/>
        <v>-879.12</v>
      </c>
      <c r="M100" s="3"/>
      <c r="N100" s="22">
        <f t="shared" si="25"/>
        <v>-1</v>
      </c>
      <c r="O100" s="11"/>
      <c r="P100" s="3"/>
      <c r="Q100" s="3"/>
      <c r="R100" s="22">
        <f t="shared" si="26"/>
        <v>0</v>
      </c>
      <c r="S100" s="3"/>
      <c r="T100" s="3">
        <v>879.12</v>
      </c>
      <c r="U100" s="3"/>
      <c r="V100" s="22">
        <f t="shared" si="27"/>
        <v>2.140210571868978E-3</v>
      </c>
      <c r="W100" s="3"/>
      <c r="X100" s="3">
        <f t="shared" si="28"/>
        <v>-879.12</v>
      </c>
      <c r="Y100" s="3"/>
      <c r="Z100" s="22">
        <f t="shared" si="29"/>
        <v>-1</v>
      </c>
    </row>
    <row r="101" spans="1:26" s="24" customFormat="1" hidden="1" outlineLevel="1" x14ac:dyDescent="0.25">
      <c r="A101" s="50"/>
      <c r="B101" s="11" t="str">
        <f>CONCATENATE("          ", "5026", " - ", "PURCHASES @ COST-WRITING INSTR")</f>
        <v xml:space="preserve">          5026 - PURCHASES @ COST-WRITING INSTR</v>
      </c>
      <c r="C101" s="11"/>
      <c r="D101" s="3"/>
      <c r="E101" s="3"/>
      <c r="F101" s="22">
        <f t="shared" si="22"/>
        <v>0</v>
      </c>
      <c r="G101" s="3"/>
      <c r="H101" s="3">
        <v>10331.040000000001</v>
      </c>
      <c r="I101" s="3"/>
      <c r="J101" s="22">
        <f t="shared" si="23"/>
        <v>2.5150833818365283E-2</v>
      </c>
      <c r="K101" s="3"/>
      <c r="L101" s="3">
        <f t="shared" si="24"/>
        <v>-10331.040000000001</v>
      </c>
      <c r="M101" s="3"/>
      <c r="N101" s="22">
        <f t="shared" si="25"/>
        <v>-1</v>
      </c>
      <c r="O101" s="11"/>
      <c r="P101" s="3"/>
      <c r="Q101" s="3"/>
      <c r="R101" s="22">
        <f t="shared" si="26"/>
        <v>0</v>
      </c>
      <c r="S101" s="3"/>
      <c r="T101" s="3">
        <v>10331.040000000001</v>
      </c>
      <c r="U101" s="3"/>
      <c r="V101" s="22">
        <f t="shared" si="27"/>
        <v>2.5150833818365283E-2</v>
      </c>
      <c r="W101" s="3"/>
      <c r="X101" s="3">
        <f t="shared" si="28"/>
        <v>-10331.040000000001</v>
      </c>
      <c r="Y101" s="3"/>
      <c r="Z101" s="22">
        <f t="shared" si="29"/>
        <v>-1</v>
      </c>
    </row>
    <row r="102" spans="1:26" s="24" customFormat="1" hidden="1" outlineLevel="1" x14ac:dyDescent="0.25">
      <c r="A102" s="50"/>
      <c r="B102" s="11" t="str">
        <f>CONCATENATE("          ", "5027", " - ", "PURCHASES @ COST-SCHOOL SUPPLI")</f>
        <v xml:space="preserve">          5027 - PURCHASES @ COST-SCHOOL SUPPLI</v>
      </c>
      <c r="C102" s="11"/>
      <c r="D102" s="3">
        <v>8503.4</v>
      </c>
      <c r="E102" s="3"/>
      <c r="F102" s="22">
        <f t="shared" si="22"/>
        <v>3.7350123919887478E-2</v>
      </c>
      <c r="G102" s="3"/>
      <c r="H102" s="3">
        <v>50115.47</v>
      </c>
      <c r="I102" s="3"/>
      <c r="J102" s="22">
        <f t="shared" si="23"/>
        <v>0.1220057087862665</v>
      </c>
      <c r="K102" s="3"/>
      <c r="L102" s="3">
        <f t="shared" si="24"/>
        <v>-41612.07</v>
      </c>
      <c r="M102" s="3"/>
      <c r="N102" s="22">
        <f t="shared" si="25"/>
        <v>-0.83032385010057774</v>
      </c>
      <c r="O102" s="11"/>
      <c r="P102" s="3">
        <v>8503.4</v>
      </c>
      <c r="Q102" s="3"/>
      <c r="R102" s="22">
        <f t="shared" si="26"/>
        <v>3.7350123919887478E-2</v>
      </c>
      <c r="S102" s="3"/>
      <c r="T102" s="3">
        <v>50115.47</v>
      </c>
      <c r="U102" s="3"/>
      <c r="V102" s="22">
        <f t="shared" si="27"/>
        <v>0.1220057087862665</v>
      </c>
      <c r="W102" s="3"/>
      <c r="X102" s="3">
        <f t="shared" si="28"/>
        <v>-41612.07</v>
      </c>
      <c r="Y102" s="3"/>
      <c r="Z102" s="22">
        <f t="shared" si="29"/>
        <v>-0.83032385010057774</v>
      </c>
    </row>
    <row r="103" spans="1:26" s="24" customFormat="1" hidden="1" outlineLevel="1" x14ac:dyDescent="0.25">
      <c r="A103" s="50"/>
      <c r="B103" s="11" t="str">
        <f>CONCATENATE("          ", "5028", " - ", "PURCHASES @ COST-ART/TECH")</f>
        <v xml:space="preserve">          5028 - PURCHASES @ COST-ART/TECH</v>
      </c>
      <c r="C103" s="11"/>
      <c r="D103" s="3"/>
      <c r="E103" s="3"/>
      <c r="F103" s="22">
        <f t="shared" si="22"/>
        <v>0</v>
      </c>
      <c r="G103" s="3"/>
      <c r="H103" s="3">
        <v>28027.649999999998</v>
      </c>
      <c r="I103" s="3"/>
      <c r="J103" s="22">
        <f t="shared" si="23"/>
        <v>6.8233088582495632E-2</v>
      </c>
      <c r="K103" s="3"/>
      <c r="L103" s="3">
        <f t="shared" si="24"/>
        <v>-28027.649999999998</v>
      </c>
      <c r="M103" s="3"/>
      <c r="N103" s="22">
        <f t="shared" si="25"/>
        <v>-1</v>
      </c>
      <c r="O103" s="11"/>
      <c r="P103" s="3"/>
      <c r="Q103" s="3"/>
      <c r="R103" s="22">
        <f t="shared" si="26"/>
        <v>0</v>
      </c>
      <c r="S103" s="3"/>
      <c r="T103" s="3">
        <v>28027.649999999998</v>
      </c>
      <c r="U103" s="3"/>
      <c r="V103" s="22">
        <f t="shared" si="27"/>
        <v>6.8233088582495632E-2</v>
      </c>
      <c r="W103" s="3"/>
      <c r="X103" s="3">
        <f t="shared" si="28"/>
        <v>-28027.649999999998</v>
      </c>
      <c r="Y103" s="3"/>
      <c r="Z103" s="22">
        <f t="shared" si="29"/>
        <v>-1</v>
      </c>
    </row>
    <row r="104" spans="1:26" s="24" customFormat="1" hidden="1" outlineLevel="1" x14ac:dyDescent="0.25">
      <c r="A104" s="50"/>
      <c r="B104" s="11" t="str">
        <f>CONCATENATE("          ", "5032", " - ", "PURCHASES @ COST-JUICE")</f>
        <v xml:space="preserve">          5032 - PURCHASES @ COST-JUICE</v>
      </c>
      <c r="C104" s="11"/>
      <c r="D104" s="3"/>
      <c r="E104" s="3"/>
      <c r="F104" s="22">
        <f t="shared" si="22"/>
        <v>0</v>
      </c>
      <c r="G104" s="3"/>
      <c r="H104" s="3">
        <v>114.42</v>
      </c>
      <c r="I104" s="3"/>
      <c r="J104" s="22">
        <f t="shared" si="23"/>
        <v>2.7855457006239017E-4</v>
      </c>
      <c r="K104" s="3"/>
      <c r="L104" s="3">
        <f t="shared" si="24"/>
        <v>-114.42</v>
      </c>
      <c r="M104" s="3"/>
      <c r="N104" s="22">
        <f t="shared" si="25"/>
        <v>-1</v>
      </c>
      <c r="O104" s="11"/>
      <c r="P104" s="3"/>
      <c r="Q104" s="3"/>
      <c r="R104" s="22">
        <f t="shared" si="26"/>
        <v>0</v>
      </c>
      <c r="S104" s="3"/>
      <c r="T104" s="3">
        <v>114.42</v>
      </c>
      <c r="U104" s="3"/>
      <c r="V104" s="22">
        <f t="shared" si="27"/>
        <v>2.7855457006239017E-4</v>
      </c>
      <c r="W104" s="3"/>
      <c r="X104" s="3">
        <f t="shared" si="28"/>
        <v>-114.42</v>
      </c>
      <c r="Y104" s="3"/>
      <c r="Z104" s="22">
        <f t="shared" si="29"/>
        <v>-1</v>
      </c>
    </row>
    <row r="105" spans="1:26" s="24" customFormat="1" hidden="1" outlineLevel="1" x14ac:dyDescent="0.25">
      <c r="A105" s="50"/>
      <c r="B105" s="11" t="str">
        <f>CONCATENATE("          ", "5034", " - ", "PURCHASES @ COST-SODA")</f>
        <v xml:space="preserve">          5034 - PURCHASES @ COST-SODA</v>
      </c>
      <c r="C105" s="11"/>
      <c r="D105" s="3"/>
      <c r="E105" s="3"/>
      <c r="F105" s="22">
        <f t="shared" si="22"/>
        <v>0</v>
      </c>
      <c r="G105" s="3"/>
      <c r="H105" s="3">
        <v>-61.54</v>
      </c>
      <c r="I105" s="3"/>
      <c r="J105" s="22">
        <f t="shared" si="23"/>
        <v>-1.4981863521796443E-4</v>
      </c>
      <c r="K105" s="3"/>
      <c r="L105" s="3">
        <f t="shared" si="24"/>
        <v>61.54</v>
      </c>
      <c r="M105" s="3"/>
      <c r="N105" s="22">
        <f t="shared" si="25"/>
        <v>-1</v>
      </c>
      <c r="O105" s="11"/>
      <c r="P105" s="3"/>
      <c r="Q105" s="3"/>
      <c r="R105" s="22">
        <f t="shared" si="26"/>
        <v>0</v>
      </c>
      <c r="S105" s="3"/>
      <c r="T105" s="3">
        <v>-61.54</v>
      </c>
      <c r="U105" s="3"/>
      <c r="V105" s="22">
        <f t="shared" si="27"/>
        <v>-1.4981863521796443E-4</v>
      </c>
      <c r="W105" s="3"/>
      <c r="X105" s="3">
        <f t="shared" si="28"/>
        <v>61.54</v>
      </c>
      <c r="Y105" s="3"/>
      <c r="Z105" s="22">
        <f t="shared" si="29"/>
        <v>-1</v>
      </c>
    </row>
    <row r="106" spans="1:26" s="24" customFormat="1" hidden="1" outlineLevel="1" x14ac:dyDescent="0.25">
      <c r="A106" s="50"/>
      <c r="B106" s="11" t="str">
        <f>CONCATENATE("          ", "5037", " - ", "PURCHASES @ COST-WATER")</f>
        <v xml:space="preserve">          5037 - PURCHASES @ COST-WATER</v>
      </c>
      <c r="C106" s="11"/>
      <c r="D106" s="3"/>
      <c r="E106" s="3"/>
      <c r="F106" s="22">
        <f t="shared" si="22"/>
        <v>0</v>
      </c>
      <c r="G106" s="3"/>
      <c r="H106" s="3">
        <v>33.58</v>
      </c>
      <c r="I106" s="3"/>
      <c r="J106" s="22">
        <f t="shared" si="23"/>
        <v>8.1750240016562325E-5</v>
      </c>
      <c r="K106" s="3"/>
      <c r="L106" s="3">
        <f t="shared" si="24"/>
        <v>-33.58</v>
      </c>
      <c r="M106" s="3"/>
      <c r="N106" s="22">
        <f t="shared" si="25"/>
        <v>-1</v>
      </c>
      <c r="O106" s="11"/>
      <c r="P106" s="3"/>
      <c r="Q106" s="3"/>
      <c r="R106" s="22">
        <f t="shared" si="26"/>
        <v>0</v>
      </c>
      <c r="S106" s="3"/>
      <c r="T106" s="3">
        <v>33.58</v>
      </c>
      <c r="U106" s="3"/>
      <c r="V106" s="22">
        <f t="shared" si="27"/>
        <v>8.1750240016562325E-5</v>
      </c>
      <c r="W106" s="3"/>
      <c r="X106" s="3">
        <f t="shared" si="28"/>
        <v>-33.58</v>
      </c>
      <c r="Y106" s="3"/>
      <c r="Z106" s="22">
        <f t="shared" si="29"/>
        <v>-1</v>
      </c>
    </row>
    <row r="107" spans="1:26" s="24" customFormat="1" hidden="1" outlineLevel="1" x14ac:dyDescent="0.25">
      <c r="A107" s="50"/>
      <c r="B107" s="11" t="str">
        <f>CONCATENATE("          ", "5040", " - ", "PURCHASES @ COST-LOGO CLOTHING")</f>
        <v xml:space="preserve">          5040 - PURCHASES @ COST-LOGO CLOTHING</v>
      </c>
      <c r="C107" s="11"/>
      <c r="D107" s="3">
        <v>1723.07</v>
      </c>
      <c r="E107" s="3"/>
      <c r="F107" s="22">
        <f t="shared" si="22"/>
        <v>7.5683700664017353E-3</v>
      </c>
      <c r="G107" s="3"/>
      <c r="H107" s="3">
        <v>78921.570000000007</v>
      </c>
      <c r="I107" s="3"/>
      <c r="J107" s="22">
        <f t="shared" si="23"/>
        <v>0.19213392763501863</v>
      </c>
      <c r="K107" s="3"/>
      <c r="L107" s="3">
        <f t="shared" si="24"/>
        <v>-77198.5</v>
      </c>
      <c r="M107" s="3"/>
      <c r="N107" s="22">
        <f t="shared" si="25"/>
        <v>-0.97816731218094111</v>
      </c>
      <c r="O107" s="11"/>
      <c r="P107" s="3">
        <v>1723.07</v>
      </c>
      <c r="Q107" s="3"/>
      <c r="R107" s="22">
        <f t="shared" si="26"/>
        <v>7.5683700664017353E-3</v>
      </c>
      <c r="S107" s="3"/>
      <c r="T107" s="3">
        <v>78921.570000000007</v>
      </c>
      <c r="U107" s="3"/>
      <c r="V107" s="22">
        <f t="shared" si="27"/>
        <v>0.19213392763501863</v>
      </c>
      <c r="W107" s="3"/>
      <c r="X107" s="3">
        <f t="shared" si="28"/>
        <v>-77198.5</v>
      </c>
      <c r="Y107" s="3"/>
      <c r="Z107" s="22">
        <f t="shared" si="29"/>
        <v>-0.97816731218094111</v>
      </c>
    </row>
    <row r="108" spans="1:26" s="24" customFormat="1" hidden="1" outlineLevel="1" x14ac:dyDescent="0.25">
      <c r="A108" s="50"/>
      <c r="B108" s="11" t="str">
        <f>CONCATENATE("          ", "5041", " - ", "PURCHASES @ COST-LOGO GIFTS")</f>
        <v xml:space="preserve">          5041 - PURCHASES @ COST-LOGO GIFTS</v>
      </c>
      <c r="C108" s="11"/>
      <c r="D108" s="3">
        <v>-713.75</v>
      </c>
      <c r="E108" s="3"/>
      <c r="F108" s="22">
        <f t="shared" si="22"/>
        <v>-3.1350578530728516E-3</v>
      </c>
      <c r="G108" s="3"/>
      <c r="H108" s="3">
        <v>11950.27</v>
      </c>
      <c r="I108" s="3"/>
      <c r="J108" s="22">
        <f t="shared" si="23"/>
        <v>2.9092836234744623E-2</v>
      </c>
      <c r="K108" s="3"/>
      <c r="L108" s="3">
        <f t="shared" si="24"/>
        <v>-12664.02</v>
      </c>
      <c r="M108" s="3"/>
      <c r="N108" s="22">
        <f t="shared" si="25"/>
        <v>-1.0597266839996085</v>
      </c>
      <c r="O108" s="11"/>
      <c r="P108" s="3">
        <v>-713.75</v>
      </c>
      <c r="Q108" s="3"/>
      <c r="R108" s="22">
        <f t="shared" si="26"/>
        <v>-3.1350578530728516E-3</v>
      </c>
      <c r="S108" s="3"/>
      <c r="T108" s="3">
        <v>11950.27</v>
      </c>
      <c r="U108" s="3"/>
      <c r="V108" s="22">
        <f t="shared" si="27"/>
        <v>2.9092836234744623E-2</v>
      </c>
      <c r="W108" s="3"/>
      <c r="X108" s="3">
        <f t="shared" si="28"/>
        <v>-12664.02</v>
      </c>
      <c r="Y108" s="3"/>
      <c r="Z108" s="22">
        <f t="shared" si="29"/>
        <v>-1.0597266839996085</v>
      </c>
    </row>
    <row r="109" spans="1:26" s="24" customFormat="1" hidden="1" outlineLevel="1" x14ac:dyDescent="0.25">
      <c r="A109" s="50"/>
      <c r="B109" s="11" t="str">
        <f>CONCATENATE("          ", "5042", " - ", "PURCHASES @ COST-EVERYDAY GIFT")</f>
        <v xml:space="preserve">          5042 - PURCHASES @ COST-EVERYDAY GIFT</v>
      </c>
      <c r="C109" s="11"/>
      <c r="D109" s="3">
        <v>236.16</v>
      </c>
      <c r="E109" s="3"/>
      <c r="F109" s="22">
        <f t="shared" si="22"/>
        <v>1.0373033451232009E-3</v>
      </c>
      <c r="G109" s="3"/>
      <c r="H109" s="3">
        <v>7752.36</v>
      </c>
      <c r="I109" s="3"/>
      <c r="J109" s="22">
        <f t="shared" si="23"/>
        <v>1.8873058090970733E-2</v>
      </c>
      <c r="K109" s="3"/>
      <c r="L109" s="3">
        <f t="shared" si="24"/>
        <v>-7516.2</v>
      </c>
      <c r="M109" s="3"/>
      <c r="N109" s="22">
        <f t="shared" si="25"/>
        <v>-0.96953701840471807</v>
      </c>
      <c r="O109" s="11"/>
      <c r="P109" s="3">
        <v>236.16</v>
      </c>
      <c r="Q109" s="3"/>
      <c r="R109" s="22">
        <f t="shared" si="26"/>
        <v>1.0373033451232009E-3</v>
      </c>
      <c r="S109" s="3"/>
      <c r="T109" s="3">
        <v>7752.36</v>
      </c>
      <c r="U109" s="3"/>
      <c r="V109" s="22">
        <f t="shared" si="27"/>
        <v>1.8873058090970733E-2</v>
      </c>
      <c r="W109" s="3"/>
      <c r="X109" s="3">
        <f t="shared" si="28"/>
        <v>-7516.2</v>
      </c>
      <c r="Y109" s="3"/>
      <c r="Z109" s="22">
        <f t="shared" si="29"/>
        <v>-0.96953701840471807</v>
      </c>
    </row>
    <row r="110" spans="1:26" s="24" customFormat="1" hidden="1" outlineLevel="1" x14ac:dyDescent="0.25">
      <c r="A110" s="50"/>
      <c r="B110" s="11" t="str">
        <f>CONCATENATE("          ", "5043", " - ", "PURCHASES @ COST-CARDS")</f>
        <v xml:space="preserve">          5043 - PURCHASES @ COST-CARDS</v>
      </c>
      <c r="C110" s="11"/>
      <c r="D110" s="3">
        <v>308.7</v>
      </c>
      <c r="E110" s="3"/>
      <c r="F110" s="22">
        <f t="shared" si="22"/>
        <v>1.355926247626745E-3</v>
      </c>
      <c r="G110" s="3"/>
      <c r="H110" s="3">
        <v>498.26</v>
      </c>
      <c r="I110" s="3"/>
      <c r="J110" s="22">
        <f t="shared" si="23"/>
        <v>1.2130099639860734E-3</v>
      </c>
      <c r="K110" s="3"/>
      <c r="L110" s="3">
        <f t="shared" si="24"/>
        <v>-189.56</v>
      </c>
      <c r="M110" s="3"/>
      <c r="N110" s="22">
        <f t="shared" si="25"/>
        <v>-0.38044394492835065</v>
      </c>
      <c r="O110" s="11"/>
      <c r="P110" s="3">
        <v>308.7</v>
      </c>
      <c r="Q110" s="3"/>
      <c r="R110" s="22">
        <f t="shared" si="26"/>
        <v>1.355926247626745E-3</v>
      </c>
      <c r="S110" s="3"/>
      <c r="T110" s="3">
        <v>498.26</v>
      </c>
      <c r="U110" s="3"/>
      <c r="V110" s="22">
        <f t="shared" si="27"/>
        <v>1.2130099639860734E-3</v>
      </c>
      <c r="W110" s="3"/>
      <c r="X110" s="3">
        <f t="shared" si="28"/>
        <v>-189.56</v>
      </c>
      <c r="Y110" s="3"/>
      <c r="Z110" s="22">
        <f t="shared" si="29"/>
        <v>-0.38044394492835065</v>
      </c>
    </row>
    <row r="111" spans="1:26" s="24" customFormat="1" hidden="1" outlineLevel="1" x14ac:dyDescent="0.25">
      <c r="A111" s="50"/>
      <c r="B111" s="11" t="str">
        <f>CONCATENATE("          ", "5044", " - ", "PURCHASES @ COST-ACCESSORIES")</f>
        <v xml:space="preserve">          5044 - PURCHASES @ COST-ACCESSORIES</v>
      </c>
      <c r="C111" s="11"/>
      <c r="D111" s="3"/>
      <c r="E111" s="3"/>
      <c r="F111" s="22">
        <f t="shared" si="22"/>
        <v>0</v>
      </c>
      <c r="G111" s="3"/>
      <c r="H111" s="3">
        <v>4839</v>
      </c>
      <c r="I111" s="3"/>
      <c r="J111" s="22">
        <f t="shared" si="23"/>
        <v>1.1780506594405752E-2</v>
      </c>
      <c r="K111" s="3"/>
      <c r="L111" s="3">
        <f t="shared" si="24"/>
        <v>-4839</v>
      </c>
      <c r="M111" s="3"/>
      <c r="N111" s="22">
        <f t="shared" si="25"/>
        <v>-1</v>
      </c>
      <c r="O111" s="11"/>
      <c r="P111" s="3"/>
      <c r="Q111" s="3"/>
      <c r="R111" s="22">
        <f t="shared" si="26"/>
        <v>0</v>
      </c>
      <c r="S111" s="3"/>
      <c r="T111" s="3">
        <v>4839</v>
      </c>
      <c r="U111" s="3"/>
      <c r="V111" s="22">
        <f t="shared" si="27"/>
        <v>1.1780506594405752E-2</v>
      </c>
      <c r="W111" s="3"/>
      <c r="X111" s="3">
        <f t="shared" si="28"/>
        <v>-4839</v>
      </c>
      <c r="Y111" s="3"/>
      <c r="Z111" s="22">
        <f t="shared" si="29"/>
        <v>-1</v>
      </c>
    </row>
    <row r="112" spans="1:26" s="24" customFormat="1" hidden="1" outlineLevel="1" x14ac:dyDescent="0.25">
      <c r="A112" s="50"/>
      <c r="B112" s="11" t="str">
        <f>CONCATENATE("          ", "5045", " - ", "PURCHASES @ COST-SPECIAL ORDER")</f>
        <v xml:space="preserve">          5045 - PURCHASES @ COST-SPECIAL ORDER</v>
      </c>
      <c r="C112" s="11"/>
      <c r="D112" s="3">
        <v>2756.21</v>
      </c>
      <c r="E112" s="3"/>
      <c r="F112" s="22">
        <f t="shared" si="22"/>
        <v>1.2106308658799194E-2</v>
      </c>
      <c r="G112" s="3"/>
      <c r="H112" s="3">
        <v>15992.849999999999</v>
      </c>
      <c r="I112" s="3"/>
      <c r="J112" s="22">
        <f t="shared" si="23"/>
        <v>3.8934464742372804E-2</v>
      </c>
      <c r="K112" s="3"/>
      <c r="L112" s="3">
        <f t="shared" si="24"/>
        <v>-13236.64</v>
      </c>
      <c r="M112" s="3"/>
      <c r="N112" s="22">
        <f t="shared" si="25"/>
        <v>-0.82765986050016105</v>
      </c>
      <c r="O112" s="11"/>
      <c r="P112" s="3">
        <v>2756.21</v>
      </c>
      <c r="Q112" s="3"/>
      <c r="R112" s="22">
        <f t="shared" si="26"/>
        <v>1.2106308658799194E-2</v>
      </c>
      <c r="S112" s="3"/>
      <c r="T112" s="3">
        <v>15992.849999999999</v>
      </c>
      <c r="U112" s="3"/>
      <c r="V112" s="22">
        <f t="shared" si="27"/>
        <v>3.8934464742372804E-2</v>
      </c>
      <c r="W112" s="3"/>
      <c r="X112" s="3">
        <f t="shared" si="28"/>
        <v>-13236.64</v>
      </c>
      <c r="Y112" s="3"/>
      <c r="Z112" s="22">
        <f t="shared" si="29"/>
        <v>-0.82765986050016105</v>
      </c>
    </row>
    <row r="113" spans="1:26" s="24" customFormat="1" hidden="1" outlineLevel="1" x14ac:dyDescent="0.25">
      <c r="A113" s="50"/>
      <c r="B113" s="11" t="str">
        <f>CONCATENATE("          ", "5053", " - ", "PURCHASES @ COST-FOOD")</f>
        <v xml:space="preserve">          5053 - PURCHASES @ COST-FOOD</v>
      </c>
      <c r="C113" s="11"/>
      <c r="D113" s="3">
        <v>-226.87</v>
      </c>
      <c r="E113" s="3"/>
      <c r="F113" s="22">
        <f t="shared" si="22"/>
        <v>-9.9649817881140162E-4</v>
      </c>
      <c r="G113" s="3"/>
      <c r="H113" s="3">
        <v>41557.07</v>
      </c>
      <c r="I113" s="3"/>
      <c r="J113" s="22">
        <f t="shared" si="23"/>
        <v>0.10117035279586307</v>
      </c>
      <c r="K113" s="3"/>
      <c r="L113" s="3">
        <f t="shared" si="24"/>
        <v>-41783.94</v>
      </c>
      <c r="M113" s="3"/>
      <c r="N113" s="22">
        <f t="shared" si="25"/>
        <v>-1.0054592395469653</v>
      </c>
      <c r="O113" s="11"/>
      <c r="P113" s="3">
        <v>-226.87</v>
      </c>
      <c r="Q113" s="3"/>
      <c r="R113" s="22">
        <f t="shared" si="26"/>
        <v>-9.9649817881140162E-4</v>
      </c>
      <c r="S113" s="3"/>
      <c r="T113" s="3">
        <v>41557.07</v>
      </c>
      <c r="U113" s="3"/>
      <c r="V113" s="22">
        <f t="shared" si="27"/>
        <v>0.10117035279586307</v>
      </c>
      <c r="W113" s="3"/>
      <c r="X113" s="3">
        <f t="shared" si="28"/>
        <v>-41783.94</v>
      </c>
      <c r="Y113" s="3"/>
      <c r="Z113" s="22">
        <f t="shared" si="29"/>
        <v>-1.0054592395469653</v>
      </c>
    </row>
    <row r="114" spans="1:26" s="24" customFormat="1" hidden="1" outlineLevel="1" x14ac:dyDescent="0.25">
      <c r="A114" s="50"/>
      <c r="B114" s="11" t="str">
        <f>CONCATENATE("          ", "5059", " - ", "PURCHASES @ COST-FOOD")</f>
        <v xml:space="preserve">          5059 - PURCHASES @ COST-FOOD</v>
      </c>
      <c r="C114" s="11"/>
      <c r="D114" s="3"/>
      <c r="E114" s="3"/>
      <c r="F114" s="22">
        <f t="shared" si="22"/>
        <v>0</v>
      </c>
      <c r="G114" s="3"/>
      <c r="H114" s="3">
        <v>-16290.750000000002</v>
      </c>
      <c r="I114" s="3"/>
      <c r="J114" s="22">
        <f t="shared" si="23"/>
        <v>-3.9659699897254708E-2</v>
      </c>
      <c r="K114" s="3"/>
      <c r="L114" s="3">
        <f t="shared" si="24"/>
        <v>16290.750000000002</v>
      </c>
      <c r="M114" s="3"/>
      <c r="N114" s="22">
        <f t="shared" si="25"/>
        <v>-1</v>
      </c>
      <c r="O114" s="11"/>
      <c r="P114" s="3"/>
      <c r="Q114" s="3"/>
      <c r="R114" s="22">
        <f t="shared" si="26"/>
        <v>0</v>
      </c>
      <c r="S114" s="3"/>
      <c r="T114" s="3">
        <v>-16290.750000000002</v>
      </c>
      <c r="U114" s="3"/>
      <c r="V114" s="22">
        <f t="shared" si="27"/>
        <v>-3.9659699897254708E-2</v>
      </c>
      <c r="W114" s="3"/>
      <c r="X114" s="3">
        <f t="shared" si="28"/>
        <v>16290.750000000002</v>
      </c>
      <c r="Y114" s="3"/>
      <c r="Z114" s="22">
        <f t="shared" si="29"/>
        <v>-1</v>
      </c>
    </row>
    <row r="115" spans="1:26" s="24" customFormat="1" hidden="1" outlineLevel="1" x14ac:dyDescent="0.25">
      <c r="A115" s="50"/>
      <c r="B115" s="11" t="str">
        <f>CONCATENATE("          ", "5092", " - ", "PURCHASES @ COST-GRAD MERCH")</f>
        <v xml:space="preserve">          5092 - PURCHASES @ COST-GRAD MERCH</v>
      </c>
      <c r="C115" s="11"/>
      <c r="D115" s="3"/>
      <c r="E115" s="3"/>
      <c r="F115" s="22">
        <f t="shared" si="22"/>
        <v>0</v>
      </c>
      <c r="G115" s="3"/>
      <c r="H115" s="3">
        <v>1228.5999999999999</v>
      </c>
      <c r="I115" s="3"/>
      <c r="J115" s="22">
        <f t="shared" si="23"/>
        <v>2.9910168220473043E-3</v>
      </c>
      <c r="K115" s="3"/>
      <c r="L115" s="3">
        <f t="shared" si="24"/>
        <v>-1228.5999999999999</v>
      </c>
      <c r="M115" s="3"/>
      <c r="N115" s="22">
        <f t="shared" si="25"/>
        <v>-1</v>
      </c>
      <c r="O115" s="11"/>
      <c r="P115" s="3"/>
      <c r="Q115" s="3"/>
      <c r="R115" s="22">
        <f t="shared" si="26"/>
        <v>0</v>
      </c>
      <c r="S115" s="3"/>
      <c r="T115" s="3">
        <v>1228.5999999999999</v>
      </c>
      <c r="U115" s="3"/>
      <c r="V115" s="22">
        <f t="shared" si="27"/>
        <v>2.9910168220473043E-3</v>
      </c>
      <c r="W115" s="3"/>
      <c r="X115" s="3">
        <f t="shared" si="28"/>
        <v>-1228.5999999999999</v>
      </c>
      <c r="Y115" s="3"/>
      <c r="Z115" s="22">
        <f t="shared" si="29"/>
        <v>-1</v>
      </c>
    </row>
    <row r="116" spans="1:26" s="24" customFormat="1" hidden="1" outlineLevel="1" x14ac:dyDescent="0.25">
      <c r="A116" s="50"/>
      <c r="B116" s="11" t="str">
        <f>CONCATENATE("          ", "5095", " - ", "PURCHASES @ COST-CUSTOMER SERV")</f>
        <v xml:space="preserve">          5095 - PURCHASES @ COST-CUSTOMER SERV</v>
      </c>
      <c r="C116" s="11"/>
      <c r="D116" s="3"/>
      <c r="E116" s="3"/>
      <c r="F116" s="22">
        <f t="shared" si="22"/>
        <v>0</v>
      </c>
      <c r="G116" s="3"/>
      <c r="H116" s="3">
        <v>0</v>
      </c>
      <c r="I116" s="3"/>
      <c r="J116" s="22">
        <f t="shared" si="23"/>
        <v>0</v>
      </c>
      <c r="K116" s="3"/>
      <c r="L116" s="3">
        <f t="shared" si="24"/>
        <v>0</v>
      </c>
      <c r="M116" s="3"/>
      <c r="N116" s="22">
        <f t="shared" si="25"/>
        <v>0</v>
      </c>
      <c r="O116" s="11"/>
      <c r="P116" s="3"/>
      <c r="Q116" s="3"/>
      <c r="R116" s="22">
        <f t="shared" si="26"/>
        <v>0</v>
      </c>
      <c r="S116" s="3"/>
      <c r="T116" s="3">
        <v>0</v>
      </c>
      <c r="U116" s="3"/>
      <c r="V116" s="22">
        <f t="shared" si="27"/>
        <v>0</v>
      </c>
      <c r="W116" s="3"/>
      <c r="X116" s="3">
        <f t="shared" si="28"/>
        <v>0</v>
      </c>
      <c r="Y116" s="3"/>
      <c r="Z116" s="22">
        <f t="shared" si="29"/>
        <v>0</v>
      </c>
    </row>
    <row r="117" spans="1:26" s="24" customFormat="1" hidden="1" outlineLevel="1" x14ac:dyDescent="0.25">
      <c r="A117" s="50"/>
      <c r="B117" s="11" t="str">
        <f>CONCATENATE("          ", "5200", " - ", "PURCHASES OFFSET")</f>
        <v xml:space="preserve">          5200 - PURCHASES OFFSET</v>
      </c>
      <c r="C117" s="11"/>
      <c r="D117" s="3">
        <v>-215765.28</v>
      </c>
      <c r="E117" s="3"/>
      <c r="F117" s="22">
        <f t="shared" si="22"/>
        <v>-0.94772208123917712</v>
      </c>
      <c r="G117" s="3"/>
      <c r="H117" s="3">
        <v>-828869</v>
      </c>
      <c r="I117" s="3"/>
      <c r="J117" s="22">
        <f t="shared" si="23"/>
        <v>-2.0178749163873735</v>
      </c>
      <c r="K117" s="3"/>
      <c r="L117" s="3">
        <f t="shared" si="24"/>
        <v>613103.72</v>
      </c>
      <c r="M117" s="3"/>
      <c r="N117" s="22">
        <f t="shared" si="25"/>
        <v>-0.73968711581685398</v>
      </c>
      <c r="O117" s="11"/>
      <c r="P117" s="3">
        <v>-215765.28</v>
      </c>
      <c r="Q117" s="3"/>
      <c r="R117" s="22">
        <f t="shared" si="26"/>
        <v>-0.94772208123917712</v>
      </c>
      <c r="S117" s="3"/>
      <c r="T117" s="3">
        <v>-828869</v>
      </c>
      <c r="U117" s="3"/>
      <c r="V117" s="22">
        <f t="shared" si="27"/>
        <v>-2.0178749163873735</v>
      </c>
      <c r="W117" s="3"/>
      <c r="X117" s="3">
        <f t="shared" si="28"/>
        <v>613103.72</v>
      </c>
      <c r="Y117" s="3"/>
      <c r="Z117" s="22">
        <f t="shared" si="29"/>
        <v>-0.73968711581685398</v>
      </c>
    </row>
    <row r="118" spans="1:26" s="24" customFormat="1" hidden="1" outlineLevel="1" x14ac:dyDescent="0.25">
      <c r="A118" s="50"/>
      <c r="B118" s="11" t="str">
        <f>CONCATENATE("          ", "5300", " - ", "COG$ OFFSET")</f>
        <v xml:space="preserve">          5300 - COG$ OFFSET</v>
      </c>
      <c r="C118" s="11"/>
      <c r="D118" s="3">
        <v>135628</v>
      </c>
      <c r="E118" s="3"/>
      <c r="F118" s="22">
        <f t="shared" si="22"/>
        <v>0.59572907390061602</v>
      </c>
      <c r="G118" s="3"/>
      <c r="H118" s="3">
        <v>181170</v>
      </c>
      <c r="I118" s="3"/>
      <c r="J118" s="22">
        <f t="shared" si="23"/>
        <v>0.44105690839191775</v>
      </c>
      <c r="K118" s="3"/>
      <c r="L118" s="3">
        <f t="shared" si="24"/>
        <v>-45542</v>
      </c>
      <c r="M118" s="3"/>
      <c r="N118" s="22">
        <f t="shared" si="25"/>
        <v>-0.2513771595738809</v>
      </c>
      <c r="O118" s="11"/>
      <c r="P118" s="3">
        <v>135628</v>
      </c>
      <c r="Q118" s="3"/>
      <c r="R118" s="22">
        <f t="shared" si="26"/>
        <v>0.59572907390061602</v>
      </c>
      <c r="S118" s="3"/>
      <c r="T118" s="3">
        <v>181170</v>
      </c>
      <c r="U118" s="3"/>
      <c r="V118" s="22">
        <f t="shared" si="27"/>
        <v>0.44105690839191775</v>
      </c>
      <c r="W118" s="3"/>
      <c r="X118" s="3">
        <f t="shared" si="28"/>
        <v>-45542</v>
      </c>
      <c r="Y118" s="3"/>
      <c r="Z118" s="22">
        <f t="shared" si="29"/>
        <v>-0.2513771595738809</v>
      </c>
    </row>
    <row r="119" spans="1:26" s="24" customFormat="1" hidden="1" outlineLevel="1" x14ac:dyDescent="0.25">
      <c r="A119" s="50"/>
      <c r="B119" s="11" t="str">
        <f>CONCATENATE("          ", "5500", " - ", "FREIGHT-IN")</f>
        <v xml:space="preserve">          5500 - FREIGHT-IN</v>
      </c>
      <c r="C119" s="11"/>
      <c r="D119" s="3"/>
      <c r="E119" s="3"/>
      <c r="F119" s="22">
        <f t="shared" si="22"/>
        <v>0</v>
      </c>
      <c r="G119" s="3"/>
      <c r="H119" s="3">
        <v>49</v>
      </c>
      <c r="I119" s="3"/>
      <c r="J119" s="22">
        <f t="shared" si="23"/>
        <v>1.1929010603965319E-4</v>
      </c>
      <c r="K119" s="3"/>
      <c r="L119" s="3">
        <f t="shared" si="24"/>
        <v>-49</v>
      </c>
      <c r="M119" s="3"/>
      <c r="N119" s="22">
        <f t="shared" si="25"/>
        <v>-1</v>
      </c>
      <c r="O119" s="11"/>
      <c r="P119" s="3"/>
      <c r="Q119" s="3"/>
      <c r="R119" s="22">
        <f t="shared" si="26"/>
        <v>0</v>
      </c>
      <c r="S119" s="3"/>
      <c r="T119" s="3">
        <v>49</v>
      </c>
      <c r="U119" s="3"/>
      <c r="V119" s="22">
        <f t="shared" si="27"/>
        <v>1.1929010603965319E-4</v>
      </c>
      <c r="W119" s="3"/>
      <c r="X119" s="3">
        <f t="shared" si="28"/>
        <v>-49</v>
      </c>
      <c r="Y119" s="3"/>
      <c r="Z119" s="22">
        <f t="shared" si="29"/>
        <v>-1</v>
      </c>
    </row>
    <row r="120" spans="1:26" s="24" customFormat="1" hidden="1" outlineLevel="1" x14ac:dyDescent="0.25">
      <c r="A120" s="50"/>
      <c r="B120" s="11" t="str">
        <f>CONCATENATE("          ", "5501", " - ", "FREIGHT-IN-NEW TEXT")</f>
        <v xml:space="preserve">          5501 - FREIGHT-IN-NEW TEXT</v>
      </c>
      <c r="C120" s="11"/>
      <c r="D120" s="3">
        <v>802.72</v>
      </c>
      <c r="E120" s="3"/>
      <c r="F120" s="22">
        <f t="shared" si="22"/>
        <v>3.5258474813571134E-3</v>
      </c>
      <c r="G120" s="3"/>
      <c r="H120" s="3">
        <v>1716.08</v>
      </c>
      <c r="I120" s="3"/>
      <c r="J120" s="22">
        <f t="shared" si="23"/>
        <v>4.1777829627046544E-3</v>
      </c>
      <c r="K120" s="3"/>
      <c r="L120" s="3">
        <f t="shared" si="24"/>
        <v>-913.3599999999999</v>
      </c>
      <c r="M120" s="3"/>
      <c r="N120" s="22">
        <f t="shared" si="25"/>
        <v>-0.53223625938184693</v>
      </c>
      <c r="O120" s="11"/>
      <c r="P120" s="3">
        <v>802.72</v>
      </c>
      <c r="Q120" s="3"/>
      <c r="R120" s="22">
        <f t="shared" si="26"/>
        <v>3.5258474813571134E-3</v>
      </c>
      <c r="S120" s="3"/>
      <c r="T120" s="3">
        <v>1716.08</v>
      </c>
      <c r="U120" s="3"/>
      <c r="V120" s="22">
        <f t="shared" si="27"/>
        <v>4.1777829627046544E-3</v>
      </c>
      <c r="W120" s="3"/>
      <c r="X120" s="3">
        <f t="shared" si="28"/>
        <v>-913.3599999999999</v>
      </c>
      <c r="Y120" s="3"/>
      <c r="Z120" s="22">
        <f t="shared" si="29"/>
        <v>-0.53223625938184693</v>
      </c>
    </row>
    <row r="121" spans="1:26" s="24" customFormat="1" hidden="1" outlineLevel="1" x14ac:dyDescent="0.25">
      <c r="A121" s="50"/>
      <c r="B121" s="11" t="str">
        <f>CONCATENATE("          ", "5502", " - ", "FREIGHT-IN-USED TEXT")</f>
        <v xml:space="preserve">          5502 - FREIGHT-IN-USED TEXT</v>
      </c>
      <c r="C121" s="11"/>
      <c r="D121" s="3">
        <v>47.89</v>
      </c>
      <c r="E121" s="3"/>
      <c r="F121" s="22">
        <f t="shared" si="22"/>
        <v>2.1035085195608949E-4</v>
      </c>
      <c r="G121" s="3"/>
      <c r="H121" s="3">
        <v>277.49</v>
      </c>
      <c r="I121" s="3"/>
      <c r="J121" s="22">
        <f t="shared" si="23"/>
        <v>6.7554717397843602E-4</v>
      </c>
      <c r="K121" s="3"/>
      <c r="L121" s="3">
        <f t="shared" si="24"/>
        <v>-229.60000000000002</v>
      </c>
      <c r="M121" s="3"/>
      <c r="N121" s="22">
        <f t="shared" si="25"/>
        <v>-0.82741720422357568</v>
      </c>
      <c r="O121" s="11"/>
      <c r="P121" s="3">
        <v>47.89</v>
      </c>
      <c r="Q121" s="3"/>
      <c r="R121" s="22">
        <f t="shared" si="26"/>
        <v>2.1035085195608949E-4</v>
      </c>
      <c r="S121" s="3"/>
      <c r="T121" s="3">
        <v>277.49</v>
      </c>
      <c r="U121" s="3"/>
      <c r="V121" s="22">
        <f t="shared" si="27"/>
        <v>6.7554717397843602E-4</v>
      </c>
      <c r="W121" s="3"/>
      <c r="X121" s="3">
        <f t="shared" si="28"/>
        <v>-229.60000000000002</v>
      </c>
      <c r="Y121" s="3"/>
      <c r="Z121" s="22">
        <f t="shared" si="29"/>
        <v>-0.82741720422357568</v>
      </c>
    </row>
    <row r="122" spans="1:26" s="24" customFormat="1" hidden="1" outlineLevel="1" x14ac:dyDescent="0.25">
      <c r="A122" s="50"/>
      <c r="B122" s="11" t="str">
        <f>CONCATENATE("          ", "5526", " - ", "FREIGHT-IN-WRITING INSTRUMENTS")</f>
        <v xml:space="preserve">          5526 - FREIGHT-IN-WRITING INSTRUMENTS</v>
      </c>
      <c r="C122" s="11"/>
      <c r="D122" s="3"/>
      <c r="E122" s="3"/>
      <c r="F122" s="22">
        <f t="shared" si="22"/>
        <v>0</v>
      </c>
      <c r="G122" s="3"/>
      <c r="H122" s="3">
        <v>39.11</v>
      </c>
      <c r="I122" s="3"/>
      <c r="J122" s="22">
        <f t="shared" si="23"/>
        <v>9.5212980555323199E-5</v>
      </c>
      <c r="K122" s="3"/>
      <c r="L122" s="3">
        <f t="shared" si="24"/>
        <v>-39.11</v>
      </c>
      <c r="M122" s="3"/>
      <c r="N122" s="22">
        <f t="shared" si="25"/>
        <v>-1</v>
      </c>
      <c r="O122" s="11"/>
      <c r="P122" s="3"/>
      <c r="Q122" s="3"/>
      <c r="R122" s="22">
        <f t="shared" si="26"/>
        <v>0</v>
      </c>
      <c r="S122" s="3"/>
      <c r="T122" s="3">
        <v>39.11</v>
      </c>
      <c r="U122" s="3"/>
      <c r="V122" s="22">
        <f t="shared" si="27"/>
        <v>9.5212980555323199E-5</v>
      </c>
      <c r="W122" s="3"/>
      <c r="X122" s="3">
        <f t="shared" si="28"/>
        <v>-39.11</v>
      </c>
      <c r="Y122" s="3"/>
      <c r="Z122" s="22">
        <f t="shared" si="29"/>
        <v>-1</v>
      </c>
    </row>
    <row r="123" spans="1:26" s="24" customFormat="1" hidden="1" outlineLevel="1" x14ac:dyDescent="0.25">
      <c r="A123" s="50"/>
      <c r="B123" s="11" t="str">
        <f>CONCATENATE("          ", "5527", " - ", "FREIGHT-IN-SCHOOL SUPPLIES")</f>
        <v xml:space="preserve">          5527 - FREIGHT-IN-SCHOOL SUPPLIES</v>
      </c>
      <c r="C123" s="11"/>
      <c r="D123" s="3"/>
      <c r="E123" s="3"/>
      <c r="F123" s="22">
        <f t="shared" si="22"/>
        <v>0</v>
      </c>
      <c r="G123" s="3"/>
      <c r="H123" s="3">
        <v>250.02</v>
      </c>
      <c r="I123" s="3"/>
      <c r="J123" s="22">
        <f t="shared" si="23"/>
        <v>6.0867167983743046E-4</v>
      </c>
      <c r="K123" s="3"/>
      <c r="L123" s="3">
        <f t="shared" si="24"/>
        <v>-250.02</v>
      </c>
      <c r="M123" s="3"/>
      <c r="N123" s="22">
        <f t="shared" si="25"/>
        <v>-1</v>
      </c>
      <c r="O123" s="11"/>
      <c r="P123" s="3"/>
      <c r="Q123" s="3"/>
      <c r="R123" s="22">
        <f t="shared" si="26"/>
        <v>0</v>
      </c>
      <c r="S123" s="3"/>
      <c r="T123" s="3">
        <v>250.02</v>
      </c>
      <c r="U123" s="3"/>
      <c r="V123" s="22">
        <f t="shared" si="27"/>
        <v>6.0867167983743046E-4</v>
      </c>
      <c r="W123" s="3"/>
      <c r="X123" s="3">
        <f t="shared" si="28"/>
        <v>-250.02</v>
      </c>
      <c r="Y123" s="3"/>
      <c r="Z123" s="22">
        <f t="shared" si="29"/>
        <v>-1</v>
      </c>
    </row>
    <row r="124" spans="1:26" s="24" customFormat="1" hidden="1" outlineLevel="1" x14ac:dyDescent="0.25">
      <c r="A124" s="50"/>
      <c r="B124" s="11" t="str">
        <f>CONCATENATE("          ", "5528", " - ", "FREIGHT-IN-ART/TECH")</f>
        <v xml:space="preserve">          5528 - FREIGHT-IN-ART/TECH</v>
      </c>
      <c r="C124" s="11"/>
      <c r="D124" s="3">
        <v>38.049999999999997</v>
      </c>
      <c r="E124" s="3"/>
      <c r="F124" s="22">
        <f t="shared" si="22"/>
        <v>1.6712987924262277E-4</v>
      </c>
      <c r="G124" s="3"/>
      <c r="H124" s="3">
        <v>44.35</v>
      </c>
      <c r="I124" s="3"/>
      <c r="J124" s="22">
        <f t="shared" si="23"/>
        <v>1.0796971842568611E-4</v>
      </c>
      <c r="K124" s="3"/>
      <c r="L124" s="3">
        <f t="shared" si="24"/>
        <v>-6.3000000000000043</v>
      </c>
      <c r="M124" s="3"/>
      <c r="N124" s="22">
        <f t="shared" si="25"/>
        <v>-0.14205186020293131</v>
      </c>
      <c r="O124" s="11"/>
      <c r="P124" s="3">
        <v>38.049999999999997</v>
      </c>
      <c r="Q124" s="3"/>
      <c r="R124" s="22">
        <f t="shared" si="26"/>
        <v>1.6712987924262277E-4</v>
      </c>
      <c r="S124" s="3"/>
      <c r="T124" s="3">
        <v>44.35</v>
      </c>
      <c r="U124" s="3"/>
      <c r="V124" s="22">
        <f t="shared" si="27"/>
        <v>1.0796971842568611E-4</v>
      </c>
      <c r="W124" s="3"/>
      <c r="X124" s="3">
        <f t="shared" si="28"/>
        <v>-6.3000000000000043</v>
      </c>
      <c r="Y124" s="3"/>
      <c r="Z124" s="22">
        <f t="shared" si="29"/>
        <v>-0.14205186020293131</v>
      </c>
    </row>
    <row r="125" spans="1:26" s="24" customFormat="1" hidden="1" outlineLevel="1" x14ac:dyDescent="0.25">
      <c r="A125" s="50"/>
      <c r="B125" s="11" t="str">
        <f>CONCATENATE("          ", "5540", " - ", "FREIGHT-IN-LOGO CLOTHING")</f>
        <v xml:space="preserve">          5540 - FREIGHT-IN-LOGO CLOTHING</v>
      </c>
      <c r="C125" s="11"/>
      <c r="D125" s="3">
        <v>909.83</v>
      </c>
      <c r="E125" s="3"/>
      <c r="F125" s="22">
        <f t="shared" si="22"/>
        <v>3.9963147971436392E-3</v>
      </c>
      <c r="G125" s="3"/>
      <c r="H125" s="3">
        <v>395.22</v>
      </c>
      <c r="I125" s="3"/>
      <c r="J125" s="22">
        <f t="shared" si="23"/>
        <v>9.6215991242840288E-4</v>
      </c>
      <c r="K125" s="3"/>
      <c r="L125" s="3">
        <f t="shared" si="24"/>
        <v>514.61</v>
      </c>
      <c r="M125" s="3"/>
      <c r="N125" s="22">
        <f t="shared" si="25"/>
        <v>1.3020849147310358</v>
      </c>
      <c r="O125" s="11"/>
      <c r="P125" s="3">
        <v>909.83</v>
      </c>
      <c r="Q125" s="3"/>
      <c r="R125" s="22">
        <f t="shared" si="26"/>
        <v>3.9963147971436392E-3</v>
      </c>
      <c r="S125" s="3"/>
      <c r="T125" s="3">
        <v>395.22</v>
      </c>
      <c r="U125" s="3"/>
      <c r="V125" s="22">
        <f t="shared" si="27"/>
        <v>9.6215991242840288E-4</v>
      </c>
      <c r="W125" s="3"/>
      <c r="X125" s="3">
        <f t="shared" si="28"/>
        <v>514.61</v>
      </c>
      <c r="Y125" s="3"/>
      <c r="Z125" s="22">
        <f t="shared" si="29"/>
        <v>1.3020849147310358</v>
      </c>
    </row>
    <row r="126" spans="1:26" s="24" customFormat="1" hidden="1" outlineLevel="1" x14ac:dyDescent="0.25">
      <c r="A126" s="50"/>
      <c r="B126" s="11" t="str">
        <f>CONCATENATE("          ", "5541", " - ", "FREIGHT-IN-LOGO GIFTS")</f>
        <v xml:space="preserve">          5541 - FREIGHT-IN-LOGO GIFTS</v>
      </c>
      <c r="C126" s="11"/>
      <c r="D126" s="3">
        <v>83.58</v>
      </c>
      <c r="E126" s="3"/>
      <c r="F126" s="22">
        <f t="shared" si="22"/>
        <v>3.6711472554792148E-4</v>
      </c>
      <c r="G126" s="3"/>
      <c r="H126" s="3">
        <v>314.49</v>
      </c>
      <c r="I126" s="3"/>
      <c r="J126" s="22">
        <f t="shared" si="23"/>
        <v>7.6562337649817422E-4</v>
      </c>
      <c r="K126" s="3"/>
      <c r="L126" s="3">
        <f t="shared" si="24"/>
        <v>-230.91000000000003</v>
      </c>
      <c r="M126" s="3"/>
      <c r="N126" s="22">
        <f t="shared" si="25"/>
        <v>-0.73423638271487179</v>
      </c>
      <c r="O126" s="11"/>
      <c r="P126" s="3">
        <v>83.58</v>
      </c>
      <c r="Q126" s="3"/>
      <c r="R126" s="22">
        <f t="shared" si="26"/>
        <v>3.6711472554792148E-4</v>
      </c>
      <c r="S126" s="3"/>
      <c r="T126" s="3">
        <v>314.49</v>
      </c>
      <c r="U126" s="3"/>
      <c r="V126" s="22">
        <f t="shared" si="27"/>
        <v>7.6562337649817422E-4</v>
      </c>
      <c r="W126" s="3"/>
      <c r="X126" s="3">
        <f t="shared" si="28"/>
        <v>-230.91000000000003</v>
      </c>
      <c r="Y126" s="3"/>
      <c r="Z126" s="22">
        <f t="shared" si="29"/>
        <v>-0.73423638271487179</v>
      </c>
    </row>
    <row r="127" spans="1:26" s="24" customFormat="1" hidden="1" outlineLevel="1" x14ac:dyDescent="0.25">
      <c r="A127" s="50"/>
      <c r="B127" s="11" t="str">
        <f>CONCATENATE("          ", "5542", " - ", "FREIGHT-IN-EVERYDAY GIFTS")</f>
        <v xml:space="preserve">          5542 - FREIGHT-IN-EVERYDAY GIFTS</v>
      </c>
      <c r="C127" s="11"/>
      <c r="D127" s="3">
        <v>5.94</v>
      </c>
      <c r="E127" s="3"/>
      <c r="F127" s="22">
        <f t="shared" si="22"/>
        <v>2.6090709138007341E-5</v>
      </c>
      <c r="G127" s="3"/>
      <c r="H127" s="3">
        <v>29.72</v>
      </c>
      <c r="I127" s="3"/>
      <c r="J127" s="22">
        <f t="shared" si="23"/>
        <v>7.2353101050989655E-5</v>
      </c>
      <c r="K127" s="3"/>
      <c r="L127" s="3">
        <f t="shared" si="24"/>
        <v>-23.779999999999998</v>
      </c>
      <c r="M127" s="3"/>
      <c r="N127" s="22">
        <f t="shared" si="25"/>
        <v>-0.80013458950201877</v>
      </c>
      <c r="O127" s="11"/>
      <c r="P127" s="3">
        <v>5.94</v>
      </c>
      <c r="Q127" s="3"/>
      <c r="R127" s="22">
        <f t="shared" si="26"/>
        <v>2.6090709138007341E-5</v>
      </c>
      <c r="S127" s="3"/>
      <c r="T127" s="3">
        <v>29.72</v>
      </c>
      <c r="U127" s="3"/>
      <c r="V127" s="22">
        <f t="shared" si="27"/>
        <v>7.2353101050989655E-5</v>
      </c>
      <c r="W127" s="3"/>
      <c r="X127" s="3">
        <f t="shared" si="28"/>
        <v>-23.779999999999998</v>
      </c>
      <c r="Y127" s="3"/>
      <c r="Z127" s="22">
        <f t="shared" si="29"/>
        <v>-0.80013458950201877</v>
      </c>
    </row>
    <row r="128" spans="1:26" s="24" customFormat="1" hidden="1" outlineLevel="1" x14ac:dyDescent="0.25">
      <c r="A128" s="50"/>
      <c r="B128" s="11" t="str">
        <f>CONCATENATE("          ", "5544", " - ", "FREIGHT-IN-ACCESSORIES")</f>
        <v xml:space="preserve">          5544 - FREIGHT-IN-ACCESSORIES</v>
      </c>
      <c r="C128" s="11"/>
      <c r="D128" s="3"/>
      <c r="E128" s="3"/>
      <c r="F128" s="22">
        <f t="shared" si="22"/>
        <v>0</v>
      </c>
      <c r="G128" s="3"/>
      <c r="H128" s="3">
        <v>16.73</v>
      </c>
      <c r="I128" s="3"/>
      <c r="J128" s="22">
        <f t="shared" si="23"/>
        <v>4.0729050490681591E-5</v>
      </c>
      <c r="K128" s="3"/>
      <c r="L128" s="3">
        <f t="shared" si="24"/>
        <v>-16.73</v>
      </c>
      <c r="M128" s="3"/>
      <c r="N128" s="22">
        <f t="shared" si="25"/>
        <v>-1</v>
      </c>
      <c r="O128" s="11"/>
      <c r="P128" s="3"/>
      <c r="Q128" s="3"/>
      <c r="R128" s="22">
        <f t="shared" si="26"/>
        <v>0</v>
      </c>
      <c r="S128" s="3"/>
      <c r="T128" s="3">
        <v>16.73</v>
      </c>
      <c r="U128" s="3"/>
      <c r="V128" s="22">
        <f t="shared" si="27"/>
        <v>4.0729050490681591E-5</v>
      </c>
      <c r="W128" s="3"/>
      <c r="X128" s="3">
        <f t="shared" si="28"/>
        <v>-16.73</v>
      </c>
      <c r="Y128" s="3"/>
      <c r="Z128" s="22">
        <f t="shared" si="29"/>
        <v>-1</v>
      </c>
    </row>
    <row r="129" spans="1:26" s="24" customFormat="1" hidden="1" outlineLevel="1" x14ac:dyDescent="0.25">
      <c r="A129" s="50"/>
      <c r="B129" s="11" t="str">
        <f>CONCATENATE("          ", "5545", " - ", "FREIGHT-IN-SPECIAL ORDERS")</f>
        <v xml:space="preserve">          5545 - FREIGHT-IN-SPECIAL ORDERS</v>
      </c>
      <c r="C129" s="11"/>
      <c r="D129" s="3">
        <v>300.39999999999998</v>
      </c>
      <c r="E129" s="3"/>
      <c r="F129" s="22">
        <f t="shared" si="22"/>
        <v>1.3194695328379469E-3</v>
      </c>
      <c r="G129" s="3"/>
      <c r="H129" s="3">
        <v>227.08</v>
      </c>
      <c r="I129" s="3"/>
      <c r="J129" s="22">
        <f t="shared" si="23"/>
        <v>5.5282443427519289E-4</v>
      </c>
      <c r="K129" s="3"/>
      <c r="L129" s="3">
        <f t="shared" si="24"/>
        <v>73.319999999999965</v>
      </c>
      <c r="M129" s="3"/>
      <c r="N129" s="22">
        <f t="shared" si="25"/>
        <v>0.32288180376959646</v>
      </c>
      <c r="O129" s="11"/>
      <c r="P129" s="3">
        <v>300.39999999999998</v>
      </c>
      <c r="Q129" s="3"/>
      <c r="R129" s="22">
        <f t="shared" si="26"/>
        <v>1.3194695328379469E-3</v>
      </c>
      <c r="S129" s="3"/>
      <c r="T129" s="3">
        <v>227.08</v>
      </c>
      <c r="U129" s="3"/>
      <c r="V129" s="22">
        <f t="shared" si="27"/>
        <v>5.5282443427519289E-4</v>
      </c>
      <c r="W129" s="3"/>
      <c r="X129" s="3">
        <f t="shared" si="28"/>
        <v>73.319999999999965</v>
      </c>
      <c r="Y129" s="3"/>
      <c r="Z129" s="22">
        <f t="shared" si="29"/>
        <v>0.32288180376959646</v>
      </c>
    </row>
    <row r="130" spans="1:26" x14ac:dyDescent="0.25">
      <c r="A130" s="9"/>
      <c r="B130" s="10"/>
      <c r="C130" s="10"/>
      <c r="D130" s="2"/>
      <c r="E130" s="2"/>
      <c r="F130" s="6"/>
      <c r="G130" s="2"/>
      <c r="H130" s="2"/>
      <c r="I130" s="2"/>
      <c r="J130" s="6"/>
      <c r="K130" s="2"/>
      <c r="L130" s="2"/>
      <c r="M130" s="2"/>
      <c r="N130" s="6"/>
      <c r="O130" s="10"/>
      <c r="P130" s="2"/>
      <c r="Q130" s="2"/>
      <c r="R130" s="6"/>
      <c r="S130" s="2"/>
      <c r="T130" s="2"/>
      <c r="U130" s="2"/>
      <c r="V130" s="6"/>
      <c r="W130" s="2"/>
      <c r="X130" s="2"/>
      <c r="Y130" s="2"/>
      <c r="Z130" s="6"/>
    </row>
    <row r="131" spans="1:26" s="23" customFormat="1" x14ac:dyDescent="0.25">
      <c r="A131" s="10"/>
      <c r="B131" s="26" t="s">
        <v>6</v>
      </c>
      <c r="C131" s="26"/>
      <c r="D131" s="19">
        <f>D12-D91</f>
        <v>86498.849999999919</v>
      </c>
      <c r="E131" s="13"/>
      <c r="F131" s="20">
        <f>IF(D$12=0,0,D131/D$12)</f>
        <v>0.37993541012156973</v>
      </c>
      <c r="G131" s="13"/>
      <c r="H131" s="19">
        <f>H12-H91</f>
        <v>191574.57000000009</v>
      </c>
      <c r="I131" s="13"/>
      <c r="J131" s="20">
        <f>IF(H$12=0,0,H131/H$12)</f>
        <v>0.46638675040410155</v>
      </c>
      <c r="K131" s="16"/>
      <c r="L131" s="19">
        <f>+D131-H131</f>
        <v>-105075.72000000018</v>
      </c>
      <c r="M131" s="16"/>
      <c r="N131" s="20">
        <f>IF(H131=0,0,L131/H131)</f>
        <v>-0.54848469710776393</v>
      </c>
      <c r="O131" s="25"/>
      <c r="P131" s="19">
        <f>P12-P91</f>
        <v>86498.849999999919</v>
      </c>
      <c r="Q131" s="13"/>
      <c r="R131" s="20">
        <f>IF(P$12=0,0,P131/P$12)</f>
        <v>0.37993541012156973</v>
      </c>
      <c r="S131" s="13"/>
      <c r="T131" s="19">
        <f>T12-T91</f>
        <v>191574.57000000009</v>
      </c>
      <c r="U131" s="13"/>
      <c r="V131" s="20">
        <f>IF(T$12=0,0,T131/T$12)</f>
        <v>0.46638675040410155</v>
      </c>
      <c r="W131" s="16"/>
      <c r="X131" s="19">
        <f>+P131-T131</f>
        <v>-105075.72000000018</v>
      </c>
      <c r="Y131" s="16"/>
      <c r="Z131" s="20">
        <f>IF(T131=0,0,X131/T131)</f>
        <v>-0.54848469710776393</v>
      </c>
    </row>
    <row r="132" spans="1:26" x14ac:dyDescent="0.25">
      <c r="A132" s="9"/>
      <c r="B132" s="10"/>
      <c r="C132" s="9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x14ac:dyDescent="0.25">
      <c r="A133" s="10"/>
      <c r="B133" s="25" t="s">
        <v>9</v>
      </c>
      <c r="C133" s="10"/>
      <c r="D133" s="21">
        <f>SUM(OSRRefD22x_0)</f>
        <v>353875.88</v>
      </c>
      <c r="E133" s="21"/>
      <c r="F133" s="34">
        <f t="shared" ref="F133:F144" si="30">IF(D$12=0,0,D133/D$12)</f>
        <v>1.554355665999392</v>
      </c>
      <c r="G133" s="21"/>
      <c r="H133" s="21">
        <f>SUM(OSRRefH22x_0)</f>
        <v>440488.96999999986</v>
      </c>
      <c r="I133" s="21"/>
      <c r="J133" s="34">
        <f t="shared" ref="J133:J144" si="31">IF(H$12=0,0,H133/H$12)</f>
        <v>1.0723668559305632</v>
      </c>
      <c r="K133" s="4"/>
      <c r="L133" s="21">
        <f t="shared" ref="L133:L144" si="32">+D133-H133</f>
        <v>-86613.089999999851</v>
      </c>
      <c r="M133" s="4"/>
      <c r="N133" s="34">
        <f t="shared" ref="N133:N144" si="33">IF(H133=0,0,L133/H133)</f>
        <v>-0.19662941843924009</v>
      </c>
      <c r="O133" s="10"/>
      <c r="P133" s="21">
        <f>SUM(OSRRefP22x_0)</f>
        <v>353875.88</v>
      </c>
      <c r="Q133" s="21"/>
      <c r="R133" s="34">
        <f t="shared" ref="R133:R144" si="34">IF(P$12=0,0,P133/P$12)</f>
        <v>1.554355665999392</v>
      </c>
      <c r="S133" s="21"/>
      <c r="T133" s="21">
        <f>SUM(OSRRefT22x_0)</f>
        <v>440488.96999999986</v>
      </c>
      <c r="U133" s="21"/>
      <c r="V133" s="34">
        <f t="shared" ref="V133:V144" si="35">IF(T$12=0,0,T133/T$12)</f>
        <v>1.0723668559305632</v>
      </c>
      <c r="W133" s="4"/>
      <c r="X133" s="21">
        <f t="shared" ref="X133:X144" si="36">+P133-T133</f>
        <v>-86613.089999999851</v>
      </c>
      <c r="Y133" s="4"/>
      <c r="Z133" s="34">
        <f t="shared" ref="Z133:Z144" si="37">IF(T133=0,0,X133/T133)</f>
        <v>-0.19662941843924009</v>
      </c>
    </row>
    <row r="134" spans="1:26" s="27" customFormat="1" outlineLevel="1" collapsed="1" x14ac:dyDescent="0.25">
      <c r="A134" s="28"/>
      <c r="B134" s="14" t="str">
        <f>CONCATENATE("     ","*Benefits                                         ")</f>
        <v xml:space="preserve">     *Benefits                                         </v>
      </c>
      <c r="C134" s="14"/>
      <c r="D134" s="1">
        <f>SUM(OSRRefD22_0x_0)</f>
        <v>49661.67</v>
      </c>
      <c r="E134" s="1"/>
      <c r="F134" s="5">
        <f t="shared" si="30"/>
        <v>0.21813269146089309</v>
      </c>
      <c r="G134" s="1"/>
      <c r="H134" s="1">
        <f>SUM(OSRRefH22_0x_0)</f>
        <v>69602.099999999991</v>
      </c>
      <c r="I134" s="1"/>
      <c r="J134" s="5">
        <f t="shared" si="31"/>
        <v>0.16944575284862337</v>
      </c>
      <c r="K134" s="1"/>
      <c r="L134" s="1">
        <f t="shared" si="32"/>
        <v>-19940.429999999993</v>
      </c>
      <c r="M134" s="1"/>
      <c r="N134" s="5">
        <f t="shared" si="33"/>
        <v>-0.28649178688574045</v>
      </c>
      <c r="O134" s="14"/>
      <c r="P134" s="1">
        <f>SUM(OSRRefP22_0x_0)</f>
        <v>49661.67</v>
      </c>
      <c r="Q134" s="1"/>
      <c r="R134" s="5">
        <f t="shared" si="34"/>
        <v>0.21813269146089309</v>
      </c>
      <c r="S134" s="1"/>
      <c r="T134" s="1">
        <f>SUM(OSRRefT22_0x_0)</f>
        <v>69602.099999999991</v>
      </c>
      <c r="U134" s="1"/>
      <c r="V134" s="5">
        <f t="shared" si="35"/>
        <v>0.16944575284862337</v>
      </c>
      <c r="W134" s="1"/>
      <c r="X134" s="1">
        <f t="shared" si="36"/>
        <v>-19940.429999999993</v>
      </c>
      <c r="Y134" s="1"/>
      <c r="Z134" s="5">
        <f t="shared" si="37"/>
        <v>-0.28649178688574045</v>
      </c>
    </row>
    <row r="135" spans="1:26" s="24" customFormat="1" hidden="1" outlineLevel="2" x14ac:dyDescent="0.25">
      <c r="A135" s="29"/>
      <c r="B135" s="11" t="str">
        <f>CONCATENATE("          ", "6111", " - ", "F.I.C.A.")</f>
        <v xml:space="preserve">          6111 - F.I.C.A.</v>
      </c>
      <c r="C135" s="11"/>
      <c r="D135" s="8">
        <v>8428.1200000000008</v>
      </c>
      <c r="E135" s="3"/>
      <c r="F135" s="7">
        <f t="shared" si="30"/>
        <v>3.7019465909128357E-2</v>
      </c>
      <c r="G135" s="3"/>
      <c r="H135" s="8">
        <v>13044.05</v>
      </c>
      <c r="I135" s="3"/>
      <c r="J135" s="7">
        <f t="shared" si="31"/>
        <v>3.175563485074568E-2</v>
      </c>
      <c r="K135" s="3"/>
      <c r="L135" s="8">
        <f t="shared" si="32"/>
        <v>-4615.9299999999985</v>
      </c>
      <c r="M135" s="3"/>
      <c r="N135" s="7">
        <f t="shared" si="33"/>
        <v>-0.35387245525737776</v>
      </c>
      <c r="O135" s="11"/>
      <c r="P135" s="8">
        <v>8428.1200000000008</v>
      </c>
      <c r="Q135" s="3"/>
      <c r="R135" s="7">
        <f t="shared" si="34"/>
        <v>3.7019465909128357E-2</v>
      </c>
      <c r="S135" s="3"/>
      <c r="T135" s="8">
        <v>13044.05</v>
      </c>
      <c r="U135" s="3"/>
      <c r="V135" s="7">
        <f t="shared" si="35"/>
        <v>3.175563485074568E-2</v>
      </c>
      <c r="W135" s="3"/>
      <c r="X135" s="8">
        <f t="shared" si="36"/>
        <v>-4615.9299999999985</v>
      </c>
      <c r="Y135" s="3"/>
      <c r="Z135" s="7">
        <f t="shared" si="37"/>
        <v>-0.35387245525737776</v>
      </c>
    </row>
    <row r="136" spans="1:26" s="24" customFormat="1" hidden="1" outlineLevel="2" x14ac:dyDescent="0.25">
      <c r="A136" s="29"/>
      <c r="B136" s="11" t="str">
        <f>CONCATENATE("          ", "6112", " - ", "COMPENSATION INSURANCE")</f>
        <v xml:space="preserve">          6112 - COMPENSATION INSURANCE</v>
      </c>
      <c r="C136" s="11"/>
      <c r="D136" s="8">
        <v>1948.81</v>
      </c>
      <c r="E136" s="3"/>
      <c r="F136" s="7">
        <f t="shared" si="30"/>
        <v>8.5599048611515287E-3</v>
      </c>
      <c r="G136" s="3"/>
      <c r="H136" s="8">
        <v>2663.93</v>
      </c>
      <c r="I136" s="3"/>
      <c r="J136" s="7">
        <f t="shared" si="31"/>
        <v>6.4853161669839454E-3</v>
      </c>
      <c r="K136" s="3"/>
      <c r="L136" s="8">
        <f t="shared" si="32"/>
        <v>-715.11999999999989</v>
      </c>
      <c r="M136" s="3"/>
      <c r="N136" s="7">
        <f t="shared" si="33"/>
        <v>-0.26844549218635622</v>
      </c>
      <c r="O136" s="11"/>
      <c r="P136" s="8">
        <v>1948.81</v>
      </c>
      <c r="Q136" s="3"/>
      <c r="R136" s="7">
        <f t="shared" si="34"/>
        <v>8.5599048611515287E-3</v>
      </c>
      <c r="S136" s="3"/>
      <c r="T136" s="8">
        <v>2663.93</v>
      </c>
      <c r="U136" s="3"/>
      <c r="V136" s="7">
        <f t="shared" si="35"/>
        <v>6.4853161669839454E-3</v>
      </c>
      <c r="W136" s="3"/>
      <c r="X136" s="8">
        <f t="shared" si="36"/>
        <v>-715.11999999999989</v>
      </c>
      <c r="Y136" s="3"/>
      <c r="Z136" s="7">
        <f t="shared" si="37"/>
        <v>-0.26844549218635622</v>
      </c>
    </row>
    <row r="137" spans="1:26" s="24" customFormat="1" hidden="1" outlineLevel="2" x14ac:dyDescent="0.25">
      <c r="A137" s="29"/>
      <c r="B137" s="11" t="str">
        <f>CONCATENATE("          ", "6113", " - ", "GROUP INSURANCE")</f>
        <v xml:space="preserve">          6113 - GROUP INSURANCE</v>
      </c>
      <c r="C137" s="11"/>
      <c r="D137" s="8">
        <v>18089.25</v>
      </c>
      <c r="E137" s="3"/>
      <c r="F137" s="7">
        <f t="shared" si="30"/>
        <v>7.945477445702008E-2</v>
      </c>
      <c r="G137" s="3"/>
      <c r="H137" s="8">
        <v>25376.27</v>
      </c>
      <c r="I137" s="3"/>
      <c r="J137" s="7">
        <f t="shared" si="31"/>
        <v>6.1778325289609595E-2</v>
      </c>
      <c r="K137" s="3"/>
      <c r="L137" s="8">
        <f t="shared" si="32"/>
        <v>-7287.02</v>
      </c>
      <c r="M137" s="3"/>
      <c r="N137" s="7">
        <f t="shared" si="33"/>
        <v>-0.28715882988319402</v>
      </c>
      <c r="O137" s="11"/>
      <c r="P137" s="8">
        <v>18089.25</v>
      </c>
      <c r="Q137" s="3"/>
      <c r="R137" s="7">
        <f t="shared" si="34"/>
        <v>7.945477445702008E-2</v>
      </c>
      <c r="S137" s="3"/>
      <c r="T137" s="8">
        <v>25376.27</v>
      </c>
      <c r="U137" s="3"/>
      <c r="V137" s="7">
        <f t="shared" si="35"/>
        <v>6.1778325289609595E-2</v>
      </c>
      <c r="W137" s="3"/>
      <c r="X137" s="8">
        <f t="shared" si="36"/>
        <v>-7287.02</v>
      </c>
      <c r="Y137" s="3"/>
      <c r="Z137" s="7">
        <f t="shared" si="37"/>
        <v>-0.28715882988319402</v>
      </c>
    </row>
    <row r="138" spans="1:26" s="24" customFormat="1" hidden="1" outlineLevel="2" x14ac:dyDescent="0.25">
      <c r="A138" s="29"/>
      <c r="B138" s="11" t="str">
        <f>CONCATENATE("          ", "6114", " - ", "STATE UNEMPLOYMENT INSURANCE")</f>
        <v xml:space="preserve">          6114 - STATE UNEMPLOYMENT INSURANCE</v>
      </c>
      <c r="C138" s="11"/>
      <c r="D138" s="8">
        <v>298.95</v>
      </c>
      <c r="E138" s="3"/>
      <c r="F138" s="7">
        <f t="shared" si="30"/>
        <v>1.3131005886880965E-3</v>
      </c>
      <c r="G138" s="3"/>
      <c r="H138" s="8">
        <v>445.47</v>
      </c>
      <c r="I138" s="3"/>
      <c r="J138" s="7">
        <f t="shared" si="31"/>
        <v>1.0844931334180472E-3</v>
      </c>
      <c r="K138" s="3"/>
      <c r="L138" s="8">
        <f t="shared" si="32"/>
        <v>-146.52000000000004</v>
      </c>
      <c r="M138" s="3"/>
      <c r="N138" s="7">
        <f t="shared" si="33"/>
        <v>-0.32891103778032199</v>
      </c>
      <c r="O138" s="11"/>
      <c r="P138" s="8">
        <v>298.95</v>
      </c>
      <c r="Q138" s="3"/>
      <c r="R138" s="7">
        <f t="shared" si="34"/>
        <v>1.3131005886880965E-3</v>
      </c>
      <c r="S138" s="3"/>
      <c r="T138" s="8">
        <v>445.47</v>
      </c>
      <c r="U138" s="3"/>
      <c r="V138" s="7">
        <f t="shared" si="35"/>
        <v>1.0844931334180472E-3</v>
      </c>
      <c r="W138" s="3"/>
      <c r="X138" s="8">
        <f t="shared" si="36"/>
        <v>-146.52000000000004</v>
      </c>
      <c r="Y138" s="3"/>
      <c r="Z138" s="7">
        <f t="shared" si="37"/>
        <v>-0.32891103778032199</v>
      </c>
    </row>
    <row r="139" spans="1:26" s="24" customFormat="1" hidden="1" outlineLevel="2" x14ac:dyDescent="0.25">
      <c r="A139" s="29"/>
      <c r="B139" s="11" t="str">
        <f>CONCATENATE("          ", "6115", " - ", "P.E.R.S.")</f>
        <v xml:space="preserve">          6115 - P.E.R.S.</v>
      </c>
      <c r="C139" s="11"/>
      <c r="D139" s="8">
        <v>10020.82</v>
      </c>
      <c r="E139" s="3"/>
      <c r="F139" s="7">
        <f t="shared" si="30"/>
        <v>4.401520201082941E-2</v>
      </c>
      <c r="G139" s="3"/>
      <c r="H139" s="8">
        <v>7612.39</v>
      </c>
      <c r="I139" s="3"/>
      <c r="J139" s="7">
        <f t="shared" si="31"/>
        <v>1.8532302251330523E-2</v>
      </c>
      <c r="K139" s="3"/>
      <c r="L139" s="8">
        <f t="shared" si="32"/>
        <v>2408.4299999999994</v>
      </c>
      <c r="M139" s="3"/>
      <c r="N139" s="7">
        <f t="shared" si="33"/>
        <v>0.31638289683003618</v>
      </c>
      <c r="O139" s="11"/>
      <c r="P139" s="8">
        <v>10020.82</v>
      </c>
      <c r="Q139" s="3"/>
      <c r="R139" s="7">
        <f t="shared" si="34"/>
        <v>4.401520201082941E-2</v>
      </c>
      <c r="S139" s="3"/>
      <c r="T139" s="8">
        <v>7612.39</v>
      </c>
      <c r="U139" s="3"/>
      <c r="V139" s="7">
        <f t="shared" si="35"/>
        <v>1.8532302251330523E-2</v>
      </c>
      <c r="W139" s="3"/>
      <c r="X139" s="8">
        <f t="shared" si="36"/>
        <v>2408.4299999999994</v>
      </c>
      <c r="Y139" s="3"/>
      <c r="Z139" s="7">
        <f t="shared" si="37"/>
        <v>0.31638289683003618</v>
      </c>
    </row>
    <row r="140" spans="1:26" s="24" customFormat="1" hidden="1" outlineLevel="2" x14ac:dyDescent="0.25">
      <c r="A140" s="29"/>
      <c r="B140" s="11" t="str">
        <f>CONCATENATE("          ", "6116", " - ", "EDUCATIONAL BENEFITS")</f>
        <v xml:space="preserve">          6116 - EDUCATIONAL BENEFITS</v>
      </c>
      <c r="C140" s="11"/>
      <c r="D140" s="8">
        <v>0</v>
      </c>
      <c r="E140" s="3"/>
      <c r="F140" s="7">
        <f t="shared" si="30"/>
        <v>0</v>
      </c>
      <c r="G140" s="3"/>
      <c r="H140" s="8"/>
      <c r="I140" s="3"/>
      <c r="J140" s="7">
        <f t="shared" si="31"/>
        <v>0</v>
      </c>
      <c r="K140" s="3"/>
      <c r="L140" s="8">
        <f t="shared" si="32"/>
        <v>0</v>
      </c>
      <c r="M140" s="3"/>
      <c r="N140" s="7">
        <f t="shared" si="33"/>
        <v>0</v>
      </c>
      <c r="O140" s="11"/>
      <c r="P140" s="8">
        <v>0</v>
      </c>
      <c r="Q140" s="3"/>
      <c r="R140" s="7">
        <f t="shared" si="34"/>
        <v>0</v>
      </c>
      <c r="S140" s="3"/>
      <c r="T140" s="8"/>
      <c r="U140" s="3"/>
      <c r="V140" s="7">
        <f t="shared" si="35"/>
        <v>0</v>
      </c>
      <c r="W140" s="3"/>
      <c r="X140" s="8">
        <f t="shared" si="36"/>
        <v>0</v>
      </c>
      <c r="Y140" s="3"/>
      <c r="Z140" s="7">
        <f t="shared" si="37"/>
        <v>0</v>
      </c>
    </row>
    <row r="141" spans="1:26" s="24" customFormat="1" hidden="1" outlineLevel="2" x14ac:dyDescent="0.25">
      <c r="A141" s="29"/>
      <c r="B141" s="11" t="str">
        <f>CONCATENATE("          ", "6117", " - ", "RETIREMENT STAFF HOURLY")</f>
        <v xml:space="preserve">          6117 - RETIREMENT STAFF HOURLY</v>
      </c>
      <c r="C141" s="11"/>
      <c r="D141" s="8">
        <v>333.14</v>
      </c>
      <c r="E141" s="3"/>
      <c r="F141" s="7">
        <f t="shared" si="30"/>
        <v>1.4632758993662904E-3</v>
      </c>
      <c r="G141" s="3"/>
      <c r="H141" s="8">
        <v>220.69</v>
      </c>
      <c r="I141" s="3"/>
      <c r="J141" s="7">
        <f t="shared" si="31"/>
        <v>5.3726803065083802E-4</v>
      </c>
      <c r="K141" s="3"/>
      <c r="L141" s="8">
        <f t="shared" si="32"/>
        <v>112.44999999999999</v>
      </c>
      <c r="M141" s="3"/>
      <c r="N141" s="7">
        <f t="shared" si="33"/>
        <v>0.50953826634645882</v>
      </c>
      <c r="O141" s="11"/>
      <c r="P141" s="8">
        <v>333.14</v>
      </c>
      <c r="Q141" s="3"/>
      <c r="R141" s="7">
        <f t="shared" si="34"/>
        <v>1.4632758993662904E-3</v>
      </c>
      <c r="S141" s="3"/>
      <c r="T141" s="8">
        <v>220.69</v>
      </c>
      <c r="U141" s="3"/>
      <c r="V141" s="7">
        <f t="shared" si="35"/>
        <v>5.3726803065083802E-4</v>
      </c>
      <c r="W141" s="3"/>
      <c r="X141" s="8">
        <f t="shared" si="36"/>
        <v>112.44999999999999</v>
      </c>
      <c r="Y141" s="3"/>
      <c r="Z141" s="7">
        <f t="shared" si="37"/>
        <v>0.50953826634645882</v>
      </c>
    </row>
    <row r="142" spans="1:26" s="24" customFormat="1" hidden="1" outlineLevel="2" x14ac:dyDescent="0.25">
      <c r="A142" s="29"/>
      <c r="B142" s="11" t="str">
        <f>CONCATENATE("          ", "6118", " - ", "VACATION")</f>
        <v xml:space="preserve">          6118 - VACATION</v>
      </c>
      <c r="C142" s="11"/>
      <c r="D142" s="8">
        <v>5532.58</v>
      </c>
      <c r="E142" s="3"/>
      <c r="F142" s="7">
        <f t="shared" si="30"/>
        <v>2.4301167603157686E-2</v>
      </c>
      <c r="G142" s="3"/>
      <c r="H142" s="8">
        <v>8700.7800000000007</v>
      </c>
      <c r="I142" s="3"/>
      <c r="J142" s="7">
        <f t="shared" si="31"/>
        <v>2.118197895566722E-2</v>
      </c>
      <c r="K142" s="3"/>
      <c r="L142" s="8">
        <f t="shared" si="32"/>
        <v>-3168.2000000000007</v>
      </c>
      <c r="M142" s="3"/>
      <c r="N142" s="7">
        <f t="shared" si="33"/>
        <v>-0.36412827355708344</v>
      </c>
      <c r="O142" s="11"/>
      <c r="P142" s="8">
        <v>5532.58</v>
      </c>
      <c r="Q142" s="3"/>
      <c r="R142" s="7">
        <f t="shared" si="34"/>
        <v>2.4301167603157686E-2</v>
      </c>
      <c r="S142" s="3"/>
      <c r="T142" s="8">
        <v>8700.7800000000007</v>
      </c>
      <c r="U142" s="3"/>
      <c r="V142" s="7">
        <f t="shared" si="35"/>
        <v>2.118197895566722E-2</v>
      </c>
      <c r="W142" s="3"/>
      <c r="X142" s="8">
        <f t="shared" si="36"/>
        <v>-3168.2000000000007</v>
      </c>
      <c r="Y142" s="3"/>
      <c r="Z142" s="7">
        <f t="shared" si="37"/>
        <v>-0.36412827355708344</v>
      </c>
    </row>
    <row r="143" spans="1:26" s="24" customFormat="1" hidden="1" outlineLevel="2" x14ac:dyDescent="0.25">
      <c r="A143" s="29"/>
      <c r="B143" s="11" t="str">
        <f>CONCATENATE("          ", "6119", " - ", "SICK LEAVE")</f>
        <v xml:space="preserve">          6119 - SICK LEAVE</v>
      </c>
      <c r="C143" s="11"/>
      <c r="D143" s="8">
        <v>3988.6</v>
      </c>
      <c r="E143" s="3"/>
      <c r="F143" s="7">
        <f t="shared" si="30"/>
        <v>1.7519428024891596E-2</v>
      </c>
      <c r="G143" s="3"/>
      <c r="H143" s="8">
        <v>9243.6200000000008</v>
      </c>
      <c r="I143" s="3"/>
      <c r="J143" s="7">
        <f t="shared" si="31"/>
        <v>2.2503518571229779E-2</v>
      </c>
      <c r="K143" s="3"/>
      <c r="L143" s="8">
        <f t="shared" si="32"/>
        <v>-5255.02</v>
      </c>
      <c r="M143" s="3"/>
      <c r="N143" s="7">
        <f t="shared" si="33"/>
        <v>-0.56850238326543068</v>
      </c>
      <c r="O143" s="11"/>
      <c r="P143" s="8">
        <v>3988.6</v>
      </c>
      <c r="Q143" s="3"/>
      <c r="R143" s="7">
        <f t="shared" si="34"/>
        <v>1.7519428024891596E-2</v>
      </c>
      <c r="S143" s="3"/>
      <c r="T143" s="8">
        <v>9243.6200000000008</v>
      </c>
      <c r="U143" s="3"/>
      <c r="V143" s="7">
        <f t="shared" si="35"/>
        <v>2.2503518571229779E-2</v>
      </c>
      <c r="W143" s="3"/>
      <c r="X143" s="8">
        <f t="shared" si="36"/>
        <v>-5255.02</v>
      </c>
      <c r="Y143" s="3"/>
      <c r="Z143" s="7">
        <f t="shared" si="37"/>
        <v>-0.56850238326543068</v>
      </c>
    </row>
    <row r="144" spans="1:26" s="24" customFormat="1" hidden="1" outlineLevel="2" x14ac:dyDescent="0.25">
      <c r="A144" s="29"/>
      <c r="B144" s="11" t="str">
        <f>CONCATENATE("          ", "6156", " - ", "EMPLOYEE MEALS")</f>
        <v xml:space="preserve">          6156 - EMPLOYEE MEALS</v>
      </c>
      <c r="C144" s="11"/>
      <c r="D144" s="8">
        <v>1021.4</v>
      </c>
      <c r="E144" s="3"/>
      <c r="F144" s="7">
        <f t="shared" si="30"/>
        <v>4.4863721066600495E-3</v>
      </c>
      <c r="G144" s="3"/>
      <c r="H144" s="8">
        <v>2294.9</v>
      </c>
      <c r="I144" s="3"/>
      <c r="J144" s="7">
        <f t="shared" si="31"/>
        <v>5.5869155989877574E-3</v>
      </c>
      <c r="K144" s="3"/>
      <c r="L144" s="8">
        <f t="shared" si="32"/>
        <v>-1273.5</v>
      </c>
      <c r="M144" s="3"/>
      <c r="N144" s="7">
        <f t="shared" si="33"/>
        <v>-0.55492614057257394</v>
      </c>
      <c r="O144" s="11"/>
      <c r="P144" s="8">
        <v>1021.4</v>
      </c>
      <c r="Q144" s="3"/>
      <c r="R144" s="7">
        <f t="shared" si="34"/>
        <v>4.4863721066600495E-3</v>
      </c>
      <c r="S144" s="3"/>
      <c r="T144" s="8">
        <v>2294.9</v>
      </c>
      <c r="U144" s="3"/>
      <c r="V144" s="7">
        <f t="shared" si="35"/>
        <v>5.5869155989877574E-3</v>
      </c>
      <c r="W144" s="3"/>
      <c r="X144" s="8">
        <f t="shared" si="36"/>
        <v>-1273.5</v>
      </c>
      <c r="Y144" s="3"/>
      <c r="Z144" s="7">
        <f t="shared" si="37"/>
        <v>-0.55492614057257394</v>
      </c>
    </row>
    <row r="145" spans="1:26" s="27" customFormat="1" outlineLevel="1" collapsed="1" x14ac:dyDescent="0.25">
      <c r="A145" s="28"/>
      <c r="B145" s="14" t="str">
        <f>CONCATENATE("     ","*Payroll                                          ")</f>
        <v xml:space="preserve">     *Payroll                                          </v>
      </c>
      <c r="C145" s="14"/>
      <c r="D145" s="1">
        <f>SUM(OSRRefD22_1x_0)</f>
        <v>131954.59000000003</v>
      </c>
      <c r="E145" s="1"/>
      <c r="F145" s="5">
        <f t="shared" ref="F145:F152" si="38">IF(D$12=0,0,D145/D$12)</f>
        <v>0.57959407863889101</v>
      </c>
      <c r="G145" s="1"/>
      <c r="H145" s="1">
        <f>SUM(OSRRefH22_1x_0)</f>
        <v>208066.32000000004</v>
      </c>
      <c r="I145" s="1"/>
      <c r="J145" s="5">
        <f t="shared" ref="J145:J152" si="39">IF(H$12=0,0,H145/H$12)</f>
        <v>0.50653578318531467</v>
      </c>
      <c r="K145" s="1"/>
      <c r="L145" s="1">
        <f t="shared" ref="L145:L152" si="40">+D145-H145</f>
        <v>-76111.73000000001</v>
      </c>
      <c r="M145" s="1"/>
      <c r="N145" s="5">
        <f t="shared" ref="N145:N152" si="41">IF(H145=0,0,L145/H145)</f>
        <v>-0.36580514328316088</v>
      </c>
      <c r="O145" s="14"/>
      <c r="P145" s="1">
        <f>SUM(OSRRefP22_1x_0)</f>
        <v>131954.59000000003</v>
      </c>
      <c r="Q145" s="1"/>
      <c r="R145" s="5">
        <f t="shared" ref="R145:R152" si="42">IF(P$12=0,0,P145/P$12)</f>
        <v>0.57959407863889101</v>
      </c>
      <c r="S145" s="1"/>
      <c r="T145" s="1">
        <f>SUM(OSRRefT22_1x_0)</f>
        <v>208066.32000000004</v>
      </c>
      <c r="U145" s="1"/>
      <c r="V145" s="5">
        <f t="shared" ref="V145:V152" si="43">IF(T$12=0,0,T145/T$12)</f>
        <v>0.50653578318531467</v>
      </c>
      <c r="W145" s="1"/>
      <c r="X145" s="1">
        <f t="shared" ref="X145:X152" si="44">+P145-T145</f>
        <v>-76111.73000000001</v>
      </c>
      <c r="Y145" s="1"/>
      <c r="Z145" s="5">
        <f t="shared" ref="Z145:Z152" si="45">IF(T145=0,0,X145/T145)</f>
        <v>-0.36580514328316088</v>
      </c>
    </row>
    <row r="146" spans="1:26" s="24" customFormat="1" hidden="1" outlineLevel="2" x14ac:dyDescent="0.25">
      <c r="A146" s="29"/>
      <c r="B146" s="11" t="str">
        <f>CONCATENATE("          ", "6001", " - ", "ADMINISTRATIVE SALARIES")</f>
        <v xml:space="preserve">          6001 - ADMINISTRATIVE SALARIES</v>
      </c>
      <c r="C146" s="11"/>
      <c r="D146" s="8">
        <v>4525.8500000000004</v>
      </c>
      <c r="E146" s="3"/>
      <c r="F146" s="7">
        <f t="shared" si="38"/>
        <v>1.9879231641793019E-2</v>
      </c>
      <c r="G146" s="3"/>
      <c r="H146" s="8">
        <v>12860.28</v>
      </c>
      <c r="I146" s="3"/>
      <c r="J146" s="7">
        <f t="shared" si="39"/>
        <v>3.130824826325778E-2</v>
      </c>
      <c r="K146" s="3"/>
      <c r="L146" s="8">
        <f t="shared" si="40"/>
        <v>-8334.43</v>
      </c>
      <c r="M146" s="3"/>
      <c r="N146" s="7">
        <f t="shared" si="41"/>
        <v>-0.64807531406781194</v>
      </c>
      <c r="O146" s="11"/>
      <c r="P146" s="8">
        <v>4525.8500000000004</v>
      </c>
      <c r="Q146" s="3"/>
      <c r="R146" s="7">
        <f t="shared" si="42"/>
        <v>1.9879231641793019E-2</v>
      </c>
      <c r="S146" s="3"/>
      <c r="T146" s="8">
        <v>12860.28</v>
      </c>
      <c r="U146" s="3"/>
      <c r="V146" s="7">
        <f t="shared" si="43"/>
        <v>3.130824826325778E-2</v>
      </c>
      <c r="W146" s="3"/>
      <c r="X146" s="8">
        <f t="shared" si="44"/>
        <v>-8334.43</v>
      </c>
      <c r="Y146" s="3"/>
      <c r="Z146" s="7">
        <f t="shared" si="45"/>
        <v>-0.64807531406781194</v>
      </c>
    </row>
    <row r="147" spans="1:26" s="24" customFormat="1" hidden="1" outlineLevel="2" x14ac:dyDescent="0.25">
      <c r="A147" s="29"/>
      <c r="B147" s="11" t="str">
        <f>CONCATENATE("          ", "6002", " - ", "STAFF SALARIES")</f>
        <v xml:space="preserve">          6002 - STAFF SALARIES</v>
      </c>
      <c r="C147" s="11"/>
      <c r="D147" s="8">
        <v>75913.430000000008</v>
      </c>
      <c r="E147" s="3"/>
      <c r="F147" s="7">
        <f t="shared" si="38"/>
        <v>0.33344027303004725</v>
      </c>
      <c r="G147" s="3"/>
      <c r="H147" s="8">
        <v>83411.650000000009</v>
      </c>
      <c r="I147" s="3"/>
      <c r="J147" s="7">
        <f t="shared" si="39"/>
        <v>0.20306499129474367</v>
      </c>
      <c r="K147" s="3"/>
      <c r="L147" s="8">
        <f t="shared" si="40"/>
        <v>-7498.2200000000012</v>
      </c>
      <c r="M147" s="3"/>
      <c r="N147" s="7">
        <f t="shared" si="41"/>
        <v>-8.9894157470808936E-2</v>
      </c>
      <c r="O147" s="11"/>
      <c r="P147" s="8">
        <v>75913.430000000008</v>
      </c>
      <c r="Q147" s="3"/>
      <c r="R147" s="7">
        <f t="shared" si="42"/>
        <v>0.33344027303004725</v>
      </c>
      <c r="S147" s="3"/>
      <c r="T147" s="8">
        <v>83411.650000000009</v>
      </c>
      <c r="U147" s="3"/>
      <c r="V147" s="7">
        <f t="shared" si="43"/>
        <v>0.20306499129474367</v>
      </c>
      <c r="W147" s="3"/>
      <c r="X147" s="8">
        <f t="shared" si="44"/>
        <v>-7498.2200000000012</v>
      </c>
      <c r="Y147" s="3"/>
      <c r="Z147" s="7">
        <f t="shared" si="45"/>
        <v>-8.9894157470808936E-2</v>
      </c>
    </row>
    <row r="148" spans="1:26" s="24" customFormat="1" hidden="1" outlineLevel="2" x14ac:dyDescent="0.25">
      <c r="A148" s="29"/>
      <c r="B148" s="11" t="str">
        <f>CONCATENATE("          ", "6004", " - ", "STAFF HOURLY")</f>
        <v xml:space="preserve">          6004 - STAFF HOURLY</v>
      </c>
      <c r="C148" s="11"/>
      <c r="D148" s="8">
        <v>15713.52</v>
      </c>
      <c r="E148" s="3"/>
      <c r="F148" s="7">
        <f t="shared" si="38"/>
        <v>6.9019676743141606E-2</v>
      </c>
      <c r="G148" s="3"/>
      <c r="H148" s="8">
        <v>2005.93</v>
      </c>
      <c r="I148" s="3"/>
      <c r="J148" s="7">
        <f t="shared" si="39"/>
        <v>4.8834204573086027E-3</v>
      </c>
      <c r="K148" s="3"/>
      <c r="L148" s="8">
        <f t="shared" si="40"/>
        <v>13707.59</v>
      </c>
      <c r="M148" s="3"/>
      <c r="N148" s="7">
        <f t="shared" si="41"/>
        <v>6.8335335729561848</v>
      </c>
      <c r="O148" s="11"/>
      <c r="P148" s="8">
        <v>15713.52</v>
      </c>
      <c r="Q148" s="3"/>
      <c r="R148" s="7">
        <f t="shared" si="42"/>
        <v>6.9019676743141606E-2</v>
      </c>
      <c r="S148" s="3"/>
      <c r="T148" s="8">
        <v>2005.93</v>
      </c>
      <c r="U148" s="3"/>
      <c r="V148" s="7">
        <f t="shared" si="43"/>
        <v>4.8834204573086027E-3</v>
      </c>
      <c r="W148" s="3"/>
      <c r="X148" s="8">
        <f t="shared" si="44"/>
        <v>13707.59</v>
      </c>
      <c r="Y148" s="3"/>
      <c r="Z148" s="7">
        <f t="shared" si="45"/>
        <v>6.8335335729561848</v>
      </c>
    </row>
    <row r="149" spans="1:26" s="24" customFormat="1" hidden="1" outlineLevel="2" x14ac:dyDescent="0.25">
      <c r="A149" s="29"/>
      <c r="B149" s="11" t="str">
        <f>CONCATENATE("          ", "6005", " - ", "TEMPORARY WAGES-HOURLY")</f>
        <v xml:space="preserve">          6005 - TEMPORARY WAGES-HOURLY</v>
      </c>
      <c r="C149" s="11"/>
      <c r="D149" s="8">
        <v>12385.55</v>
      </c>
      <c r="E149" s="3"/>
      <c r="F149" s="7">
        <f t="shared" si="38"/>
        <v>5.4401983596674544E-2</v>
      </c>
      <c r="G149" s="3"/>
      <c r="H149" s="8">
        <v>20836.05</v>
      </c>
      <c r="I149" s="3"/>
      <c r="J149" s="7">
        <f t="shared" si="39"/>
        <v>5.0725196203010532E-2</v>
      </c>
      <c r="K149" s="3"/>
      <c r="L149" s="8">
        <f t="shared" si="40"/>
        <v>-8450.5</v>
      </c>
      <c r="M149" s="3"/>
      <c r="N149" s="7">
        <f t="shared" si="41"/>
        <v>-0.40557111352679615</v>
      </c>
      <c r="O149" s="11"/>
      <c r="P149" s="8">
        <v>12385.55</v>
      </c>
      <c r="Q149" s="3"/>
      <c r="R149" s="7">
        <f t="shared" si="42"/>
        <v>5.4401983596674544E-2</v>
      </c>
      <c r="S149" s="3"/>
      <c r="T149" s="8">
        <v>20836.05</v>
      </c>
      <c r="U149" s="3"/>
      <c r="V149" s="7">
        <f t="shared" si="43"/>
        <v>5.0725196203010532E-2</v>
      </c>
      <c r="W149" s="3"/>
      <c r="X149" s="8">
        <f t="shared" si="44"/>
        <v>-8450.5</v>
      </c>
      <c r="Y149" s="3"/>
      <c r="Z149" s="7">
        <f t="shared" si="45"/>
        <v>-0.40557111352679615</v>
      </c>
    </row>
    <row r="150" spans="1:26" s="24" customFormat="1" hidden="1" outlineLevel="2" x14ac:dyDescent="0.25">
      <c r="A150" s="29"/>
      <c r="B150" s="11" t="str">
        <f>CONCATENATE("          ", "6006", " - ", "TEMPORARY PART TIME")</f>
        <v xml:space="preserve">          6006 - TEMPORARY PART TIME</v>
      </c>
      <c r="C150" s="11"/>
      <c r="D150" s="8">
        <v>2048.21</v>
      </c>
      <c r="E150" s="3"/>
      <c r="F150" s="7">
        <f t="shared" si="38"/>
        <v>8.9965069635619555E-3</v>
      </c>
      <c r="G150" s="3"/>
      <c r="H150" s="8">
        <v>3918.19</v>
      </c>
      <c r="I150" s="3"/>
      <c r="J150" s="7">
        <f t="shared" si="39"/>
        <v>9.5388020527246691E-3</v>
      </c>
      <c r="K150" s="3"/>
      <c r="L150" s="8">
        <f t="shared" si="40"/>
        <v>-1869.98</v>
      </c>
      <c r="M150" s="3"/>
      <c r="N150" s="7">
        <f t="shared" si="41"/>
        <v>-0.47725607997570307</v>
      </c>
      <c r="O150" s="11"/>
      <c r="P150" s="8">
        <v>2048.21</v>
      </c>
      <c r="Q150" s="3"/>
      <c r="R150" s="7">
        <f t="shared" si="42"/>
        <v>8.9965069635619555E-3</v>
      </c>
      <c r="S150" s="3"/>
      <c r="T150" s="8">
        <v>3918.19</v>
      </c>
      <c r="U150" s="3"/>
      <c r="V150" s="7">
        <f t="shared" si="43"/>
        <v>9.5388020527246691E-3</v>
      </c>
      <c r="W150" s="3"/>
      <c r="X150" s="8">
        <f t="shared" si="44"/>
        <v>-1869.98</v>
      </c>
      <c r="Y150" s="3"/>
      <c r="Z150" s="7">
        <f t="shared" si="45"/>
        <v>-0.47725607997570307</v>
      </c>
    </row>
    <row r="151" spans="1:26" s="24" customFormat="1" hidden="1" outlineLevel="2" x14ac:dyDescent="0.25">
      <c r="A151" s="29"/>
      <c r="B151" s="11" t="str">
        <f>CONCATENATE("          ", "6007", " - ", "STUDENT HOURLY")</f>
        <v xml:space="preserve">          6007 - STUDENT HOURLY</v>
      </c>
      <c r="C151" s="11"/>
      <c r="D151" s="8">
        <v>21368.030000000002</v>
      </c>
      <c r="E151" s="3"/>
      <c r="F151" s="7">
        <f t="shared" si="38"/>
        <v>9.3856406663672565E-2</v>
      </c>
      <c r="G151" s="3"/>
      <c r="H151" s="8">
        <v>82926.62000000001</v>
      </c>
      <c r="I151" s="3"/>
      <c r="J151" s="7">
        <f t="shared" si="39"/>
        <v>0.20188418965938831</v>
      </c>
      <c r="K151" s="3"/>
      <c r="L151" s="8">
        <f t="shared" si="40"/>
        <v>-61558.590000000011</v>
      </c>
      <c r="M151" s="3"/>
      <c r="N151" s="7">
        <f t="shared" si="41"/>
        <v>-0.7423260468110241</v>
      </c>
      <c r="O151" s="11"/>
      <c r="P151" s="8">
        <v>21368.030000000002</v>
      </c>
      <c r="Q151" s="3"/>
      <c r="R151" s="7">
        <f t="shared" si="42"/>
        <v>9.3856406663672565E-2</v>
      </c>
      <c r="S151" s="3"/>
      <c r="T151" s="8">
        <v>82926.62000000001</v>
      </c>
      <c r="U151" s="3"/>
      <c r="V151" s="7">
        <f t="shared" si="43"/>
        <v>0.20188418965938831</v>
      </c>
      <c r="W151" s="3"/>
      <c r="X151" s="8">
        <f t="shared" si="44"/>
        <v>-61558.590000000011</v>
      </c>
      <c r="Y151" s="3"/>
      <c r="Z151" s="7">
        <f t="shared" si="45"/>
        <v>-0.7423260468110241</v>
      </c>
    </row>
    <row r="152" spans="1:26" s="24" customFormat="1" hidden="1" outlineLevel="2" x14ac:dyDescent="0.25">
      <c r="A152" s="29"/>
      <c r="B152" s="11" t="str">
        <f>CONCATENATE("          ", "6008", " - ", "STUDENT HOURLY-FICA EXEMPT")</f>
        <v xml:space="preserve">          6008 - STUDENT HOURLY-FICA EXEMPT</v>
      </c>
      <c r="C152" s="11"/>
      <c r="D152" s="8"/>
      <c r="E152" s="3"/>
      <c r="F152" s="7">
        <f t="shared" si="38"/>
        <v>0</v>
      </c>
      <c r="G152" s="3"/>
      <c r="H152" s="8">
        <v>2107.6</v>
      </c>
      <c r="I152" s="3"/>
      <c r="J152" s="7">
        <f t="shared" si="39"/>
        <v>5.1309352548810829E-3</v>
      </c>
      <c r="K152" s="3"/>
      <c r="L152" s="8">
        <f t="shared" si="40"/>
        <v>-2107.6</v>
      </c>
      <c r="M152" s="3"/>
      <c r="N152" s="7">
        <f t="shared" si="41"/>
        <v>-1</v>
      </c>
      <c r="O152" s="11"/>
      <c r="P152" s="8"/>
      <c r="Q152" s="3"/>
      <c r="R152" s="7">
        <f t="shared" si="42"/>
        <v>0</v>
      </c>
      <c r="S152" s="3"/>
      <c r="T152" s="8">
        <v>2107.6</v>
      </c>
      <c r="U152" s="3"/>
      <c r="V152" s="7">
        <f t="shared" si="43"/>
        <v>5.1309352548810829E-3</v>
      </c>
      <c r="W152" s="3"/>
      <c r="X152" s="8">
        <f t="shared" si="44"/>
        <v>-2107.6</v>
      </c>
      <c r="Y152" s="3"/>
      <c r="Z152" s="7">
        <f t="shared" si="45"/>
        <v>-1</v>
      </c>
    </row>
    <row r="153" spans="1:26" s="27" customFormat="1" outlineLevel="1" collapsed="1" x14ac:dyDescent="0.25">
      <c r="A153" s="28"/>
      <c r="B153" s="14" t="str">
        <f>CONCATENATE("     ","Advertising/Promo                                 ")</f>
        <v xml:space="preserve">     Advertising/Promo                                 </v>
      </c>
      <c r="C153" s="14"/>
      <c r="D153" s="1">
        <f>SUM(OSRRefD22_2x_0)</f>
        <v>2590.83</v>
      </c>
      <c r="E153" s="1"/>
      <c r="F153" s="5">
        <f t="shared" ref="F153:F161" si="46">IF(D$12=0,0,D153/D$12)</f>
        <v>1.13798976356942E-2</v>
      </c>
      <c r="G153" s="1"/>
      <c r="H153" s="1">
        <f>SUM(OSRRefH22_2x_0)</f>
        <v>931.92</v>
      </c>
      <c r="I153" s="1"/>
      <c r="J153" s="5">
        <f t="shared" ref="J153:J161" si="47">IF(H$12=0,0,H153/H$12)</f>
        <v>2.268751747356604E-3</v>
      </c>
      <c r="K153" s="1"/>
      <c r="L153" s="1">
        <f t="shared" ref="L153:L161" si="48">+D153-H153</f>
        <v>1658.9099999999999</v>
      </c>
      <c r="M153" s="1"/>
      <c r="N153" s="5">
        <f t="shared" ref="N153:N161" si="49">IF(H153=0,0,L153/H153)</f>
        <v>1.780099150141643</v>
      </c>
      <c r="O153" s="14"/>
      <c r="P153" s="1">
        <f>SUM(OSRRefP22_2x_0)</f>
        <v>2590.83</v>
      </c>
      <c r="Q153" s="1"/>
      <c r="R153" s="5">
        <f t="shared" ref="R153:R161" si="50">IF(P$12=0,0,P153/P$12)</f>
        <v>1.13798976356942E-2</v>
      </c>
      <c r="S153" s="1"/>
      <c r="T153" s="1">
        <f>SUM(OSRRefT22_2x_0)</f>
        <v>931.92</v>
      </c>
      <c r="U153" s="1"/>
      <c r="V153" s="5">
        <f t="shared" ref="V153:V161" si="51">IF(T$12=0,0,T153/T$12)</f>
        <v>2.268751747356604E-3</v>
      </c>
      <c r="W153" s="1"/>
      <c r="X153" s="1">
        <f t="shared" ref="X153:X161" si="52">+P153-T153</f>
        <v>1658.9099999999999</v>
      </c>
      <c r="Y153" s="1"/>
      <c r="Z153" s="5">
        <f t="shared" ref="Z153:Z161" si="53">IF(T153=0,0,X153/T153)</f>
        <v>1.780099150141643</v>
      </c>
    </row>
    <row r="154" spans="1:26" s="24" customFormat="1" hidden="1" outlineLevel="2" x14ac:dyDescent="0.25">
      <c r="A154" s="29"/>
      <c r="B154" s="11" t="str">
        <f>CONCATENATE("          ", "6362", " - ", "ADVERTISING EXPENSE")</f>
        <v xml:space="preserve">          6362 - ADVERTISING EXPENSE</v>
      </c>
      <c r="C154" s="11"/>
      <c r="D154" s="8">
        <v>2590.83</v>
      </c>
      <c r="E154" s="3"/>
      <c r="F154" s="7">
        <f t="shared" si="46"/>
        <v>1.13798976356942E-2</v>
      </c>
      <c r="G154" s="3"/>
      <c r="H154" s="8">
        <v>931.92</v>
      </c>
      <c r="I154" s="3"/>
      <c r="J154" s="7">
        <f t="shared" si="47"/>
        <v>2.268751747356604E-3</v>
      </c>
      <c r="K154" s="3"/>
      <c r="L154" s="8">
        <f t="shared" si="48"/>
        <v>1658.9099999999999</v>
      </c>
      <c r="M154" s="3"/>
      <c r="N154" s="7">
        <f t="shared" si="49"/>
        <v>1.780099150141643</v>
      </c>
      <c r="O154" s="11"/>
      <c r="P154" s="8">
        <v>2590.83</v>
      </c>
      <c r="Q154" s="3"/>
      <c r="R154" s="7">
        <f t="shared" si="50"/>
        <v>1.13798976356942E-2</v>
      </c>
      <c r="S154" s="3"/>
      <c r="T154" s="8">
        <v>931.92</v>
      </c>
      <c r="U154" s="3"/>
      <c r="V154" s="7">
        <f t="shared" si="51"/>
        <v>2.268751747356604E-3</v>
      </c>
      <c r="W154" s="3"/>
      <c r="X154" s="8">
        <f t="shared" si="52"/>
        <v>1658.9099999999999</v>
      </c>
      <c r="Y154" s="3"/>
      <c r="Z154" s="7">
        <f t="shared" si="53"/>
        <v>1.780099150141643</v>
      </c>
    </row>
    <row r="155" spans="1:26" s="27" customFormat="1" outlineLevel="1" collapsed="1" x14ac:dyDescent="0.25">
      <c r="A155" s="28"/>
      <c r="B155" s="14" t="str">
        <f>CONCATENATE("     ","Bad Debts/Over/Short                              ")</f>
        <v xml:space="preserve">     Bad Debts/Over/Short                              </v>
      </c>
      <c r="C155" s="14"/>
      <c r="D155" s="1">
        <f>SUM(OSRRefD22_3x_0)</f>
        <v>4.9800000000000004</v>
      </c>
      <c r="E155" s="1"/>
      <c r="F155" s="5">
        <f t="shared" si="46"/>
        <v>2.1874028873278884E-5</v>
      </c>
      <c r="G155" s="1"/>
      <c r="H155" s="1">
        <f>SUM(OSRRefH22_3x_0)</f>
        <v>-20.88</v>
      </c>
      <c r="I155" s="1"/>
      <c r="J155" s="5">
        <f t="shared" si="47"/>
        <v>-5.0832192124652217E-5</v>
      </c>
      <c r="K155" s="1"/>
      <c r="L155" s="1">
        <f t="shared" si="48"/>
        <v>25.86</v>
      </c>
      <c r="M155" s="1"/>
      <c r="N155" s="5">
        <f t="shared" si="49"/>
        <v>-1.2385057471264369</v>
      </c>
      <c r="O155" s="14"/>
      <c r="P155" s="1">
        <f>SUM(OSRRefP22_3x_0)</f>
        <v>4.9800000000000004</v>
      </c>
      <c r="Q155" s="1"/>
      <c r="R155" s="5">
        <f t="shared" si="50"/>
        <v>2.1874028873278884E-5</v>
      </c>
      <c r="S155" s="1"/>
      <c r="T155" s="1">
        <f>SUM(OSRRefT22_3x_0)</f>
        <v>-20.88</v>
      </c>
      <c r="U155" s="1"/>
      <c r="V155" s="5">
        <f t="shared" si="51"/>
        <v>-5.0832192124652217E-5</v>
      </c>
      <c r="W155" s="1"/>
      <c r="X155" s="1">
        <f t="shared" si="52"/>
        <v>25.86</v>
      </c>
      <c r="Y155" s="1"/>
      <c r="Z155" s="5">
        <f t="shared" si="53"/>
        <v>-1.2385057471264369</v>
      </c>
    </row>
    <row r="156" spans="1:26" s="24" customFormat="1" hidden="1" outlineLevel="2" x14ac:dyDescent="0.25">
      <c r="A156" s="29"/>
      <c r="B156" s="11" t="str">
        <f>CONCATENATE("          ", "6272", " - ", "CASH (OVER/SHORT)")</f>
        <v xml:space="preserve">          6272 - CASH (OVER/SHORT)</v>
      </c>
      <c r="C156" s="11"/>
      <c r="D156" s="8">
        <v>4.9800000000000004</v>
      </c>
      <c r="E156" s="3"/>
      <c r="F156" s="7">
        <f t="shared" si="46"/>
        <v>2.1874028873278884E-5</v>
      </c>
      <c r="G156" s="3"/>
      <c r="H156" s="8">
        <v>-20.88</v>
      </c>
      <c r="I156" s="3"/>
      <c r="J156" s="7">
        <f t="shared" si="47"/>
        <v>-5.0832192124652217E-5</v>
      </c>
      <c r="K156" s="3"/>
      <c r="L156" s="8">
        <f t="shared" si="48"/>
        <v>25.86</v>
      </c>
      <c r="M156" s="3"/>
      <c r="N156" s="7">
        <f t="shared" si="49"/>
        <v>-1.2385057471264369</v>
      </c>
      <c r="O156" s="11"/>
      <c r="P156" s="8">
        <v>4.9800000000000004</v>
      </c>
      <c r="Q156" s="3"/>
      <c r="R156" s="7">
        <f t="shared" si="50"/>
        <v>2.1874028873278884E-5</v>
      </c>
      <c r="S156" s="3"/>
      <c r="T156" s="8">
        <v>-20.88</v>
      </c>
      <c r="U156" s="3"/>
      <c r="V156" s="7">
        <f t="shared" si="51"/>
        <v>-5.0832192124652217E-5</v>
      </c>
      <c r="W156" s="3"/>
      <c r="X156" s="8">
        <f t="shared" si="52"/>
        <v>25.86</v>
      </c>
      <c r="Y156" s="3"/>
      <c r="Z156" s="7">
        <f t="shared" si="53"/>
        <v>-1.2385057471264369</v>
      </c>
    </row>
    <row r="157" spans="1:26" s="27" customFormat="1" outlineLevel="1" collapsed="1" x14ac:dyDescent="0.25">
      <c r="A157" s="28"/>
      <c r="B157" s="14" t="str">
        <f>CONCATENATE("     ","Bank/card Fees                                    ")</f>
        <v xml:space="preserve">     Bank/card Fees                                    </v>
      </c>
      <c r="C157" s="14"/>
      <c r="D157" s="1">
        <f>SUM(OSRRefD22_4x_0)</f>
        <v>3177.21</v>
      </c>
      <c r="E157" s="1"/>
      <c r="F157" s="5">
        <f t="shared" si="46"/>
        <v>1.3955498649893653E-2</v>
      </c>
      <c r="G157" s="1"/>
      <c r="H157" s="1">
        <f>SUM(OSRRefH22_4x_0)</f>
        <v>7335.35</v>
      </c>
      <c r="I157" s="1"/>
      <c r="J157" s="5">
        <f t="shared" si="47"/>
        <v>1.7857850598734085E-2</v>
      </c>
      <c r="K157" s="1"/>
      <c r="L157" s="1">
        <f t="shared" si="48"/>
        <v>-4158.1400000000003</v>
      </c>
      <c r="M157" s="1"/>
      <c r="N157" s="5">
        <f t="shared" si="49"/>
        <v>-0.5668632035281207</v>
      </c>
      <c r="O157" s="14"/>
      <c r="P157" s="1">
        <f>SUM(OSRRefP22_4x_0)</f>
        <v>3177.21</v>
      </c>
      <c r="Q157" s="1"/>
      <c r="R157" s="5">
        <f t="shared" si="50"/>
        <v>1.3955498649893653E-2</v>
      </c>
      <c r="S157" s="1"/>
      <c r="T157" s="1">
        <f>SUM(OSRRefT22_4x_0)</f>
        <v>7335.35</v>
      </c>
      <c r="U157" s="1"/>
      <c r="V157" s="5">
        <f t="shared" si="51"/>
        <v>1.7857850598734085E-2</v>
      </c>
      <c r="W157" s="1"/>
      <c r="X157" s="1">
        <f t="shared" si="52"/>
        <v>-4158.1400000000003</v>
      </c>
      <c r="Y157" s="1"/>
      <c r="Z157" s="5">
        <f t="shared" si="53"/>
        <v>-0.5668632035281207</v>
      </c>
    </row>
    <row r="158" spans="1:26" s="24" customFormat="1" hidden="1" outlineLevel="2" x14ac:dyDescent="0.25">
      <c r="A158" s="29"/>
      <c r="B158" s="11" t="str">
        <f>CONCATENATE("          ", "6381", " - ", "BANK/CREDIT CARD FEES")</f>
        <v xml:space="preserve">          6381 - BANK/CREDIT CARD FEES</v>
      </c>
      <c r="C158" s="11"/>
      <c r="D158" s="8">
        <v>3177.21</v>
      </c>
      <c r="E158" s="3"/>
      <c r="F158" s="7">
        <f t="shared" si="46"/>
        <v>1.3955498649893653E-2</v>
      </c>
      <c r="G158" s="3"/>
      <c r="H158" s="8">
        <v>7335.35</v>
      </c>
      <c r="I158" s="3"/>
      <c r="J158" s="7">
        <f t="shared" si="47"/>
        <v>1.7857850598734085E-2</v>
      </c>
      <c r="K158" s="3"/>
      <c r="L158" s="8">
        <f t="shared" si="48"/>
        <v>-4158.1400000000003</v>
      </c>
      <c r="M158" s="3"/>
      <c r="N158" s="7">
        <f t="shared" si="49"/>
        <v>-0.5668632035281207</v>
      </c>
      <c r="O158" s="11"/>
      <c r="P158" s="8">
        <v>3177.21</v>
      </c>
      <c r="Q158" s="3"/>
      <c r="R158" s="7">
        <f t="shared" si="50"/>
        <v>1.3955498649893653E-2</v>
      </c>
      <c r="S158" s="3"/>
      <c r="T158" s="8">
        <v>7335.35</v>
      </c>
      <c r="U158" s="3"/>
      <c r="V158" s="7">
        <f t="shared" si="51"/>
        <v>1.7857850598734085E-2</v>
      </c>
      <c r="W158" s="3"/>
      <c r="X158" s="8">
        <f t="shared" si="52"/>
        <v>-4158.1400000000003</v>
      </c>
      <c r="Y158" s="3"/>
      <c r="Z158" s="7">
        <f t="shared" si="53"/>
        <v>-0.5668632035281207</v>
      </c>
    </row>
    <row r="159" spans="1:26" s="27" customFormat="1" outlineLevel="1" collapsed="1" x14ac:dyDescent="0.25">
      <c r="A159" s="28"/>
      <c r="B159" s="14" t="str">
        <f>CONCATENATE("     ","Depreciation                                      ")</f>
        <v xml:space="preserve">     Depreciation                                      </v>
      </c>
      <c r="C159" s="14"/>
      <c r="D159" s="1">
        <f>SUM(OSRRefD22_5x_0)</f>
        <v>39337.590000000004</v>
      </c>
      <c r="E159" s="1"/>
      <c r="F159" s="5">
        <f t="shared" si="46"/>
        <v>0.17278545772393708</v>
      </c>
      <c r="G159" s="1"/>
      <c r="H159" s="1">
        <f>SUM(OSRRefH22_5x_0)</f>
        <v>38010.910000000003</v>
      </c>
      <c r="I159" s="1"/>
      <c r="J159" s="5">
        <f t="shared" si="47"/>
        <v>9.2537254787014578E-2</v>
      </c>
      <c r="K159" s="1"/>
      <c r="L159" s="1">
        <f t="shared" si="48"/>
        <v>1326.6800000000003</v>
      </c>
      <c r="M159" s="1"/>
      <c r="N159" s="5">
        <f t="shared" si="49"/>
        <v>3.4902610855672755E-2</v>
      </c>
      <c r="O159" s="14"/>
      <c r="P159" s="1">
        <f>SUM(OSRRefP22_5x_0)</f>
        <v>39337.590000000004</v>
      </c>
      <c r="Q159" s="1"/>
      <c r="R159" s="5">
        <f t="shared" si="50"/>
        <v>0.17278545772393708</v>
      </c>
      <c r="S159" s="1"/>
      <c r="T159" s="1">
        <f>SUM(OSRRefT22_5x_0)</f>
        <v>38010.910000000003</v>
      </c>
      <c r="U159" s="1"/>
      <c r="V159" s="5">
        <f t="shared" si="51"/>
        <v>9.2537254787014578E-2</v>
      </c>
      <c r="W159" s="1"/>
      <c r="X159" s="1">
        <f t="shared" si="52"/>
        <v>1326.6800000000003</v>
      </c>
      <c r="Y159" s="1"/>
      <c r="Z159" s="5">
        <f t="shared" si="53"/>
        <v>3.4902610855672755E-2</v>
      </c>
    </row>
    <row r="160" spans="1:26" s="24" customFormat="1" hidden="1" outlineLevel="2" x14ac:dyDescent="0.25">
      <c r="A160" s="29"/>
      <c r="B160" s="11" t="str">
        <f>CONCATENATE("          ", "6321", " - ", "BUILDING DEPRECIATION")</f>
        <v xml:space="preserve">          6321 - BUILDING DEPRECIATION</v>
      </c>
      <c r="C160" s="11"/>
      <c r="D160" s="8">
        <v>21477.030000000002</v>
      </c>
      <c r="E160" s="3"/>
      <c r="F160" s="7">
        <f t="shared" si="46"/>
        <v>9.4335175568730278E-2</v>
      </c>
      <c r="G160" s="3"/>
      <c r="H160" s="8">
        <v>21477.030000000002</v>
      </c>
      <c r="I160" s="3"/>
      <c r="J160" s="7">
        <f t="shared" si="47"/>
        <v>5.2285656859526804E-2</v>
      </c>
      <c r="K160" s="3"/>
      <c r="L160" s="8">
        <f t="shared" si="48"/>
        <v>0</v>
      </c>
      <c r="M160" s="3"/>
      <c r="N160" s="7">
        <f t="shared" si="49"/>
        <v>0</v>
      </c>
      <c r="O160" s="11"/>
      <c r="P160" s="8">
        <v>21477.030000000002</v>
      </c>
      <c r="Q160" s="3"/>
      <c r="R160" s="7">
        <f t="shared" si="50"/>
        <v>9.4335175568730278E-2</v>
      </c>
      <c r="S160" s="3"/>
      <c r="T160" s="8">
        <v>21477.030000000002</v>
      </c>
      <c r="U160" s="3"/>
      <c r="V160" s="7">
        <f t="shared" si="51"/>
        <v>5.2285656859526804E-2</v>
      </c>
      <c r="W160" s="3"/>
      <c r="X160" s="8">
        <f t="shared" si="52"/>
        <v>0</v>
      </c>
      <c r="Y160" s="3"/>
      <c r="Z160" s="7">
        <f t="shared" si="53"/>
        <v>0</v>
      </c>
    </row>
    <row r="161" spans="1:26" s="24" customFormat="1" hidden="1" outlineLevel="2" x14ac:dyDescent="0.25">
      <c r="A161" s="29"/>
      <c r="B161" s="11" t="str">
        <f>CONCATENATE("          ", "6322", " - ", "EQUIPMENT DEPRECIATION EXPENSE")</f>
        <v xml:space="preserve">          6322 - EQUIPMENT DEPRECIATION EXPENSE</v>
      </c>
      <c r="C161" s="11"/>
      <c r="D161" s="8">
        <v>17860.560000000001</v>
      </c>
      <c r="E161" s="3"/>
      <c r="F161" s="7">
        <f t="shared" si="46"/>
        <v>7.8450282155206802E-2</v>
      </c>
      <c r="G161" s="3"/>
      <c r="H161" s="8">
        <v>16533.88</v>
      </c>
      <c r="I161" s="3"/>
      <c r="J161" s="7">
        <f t="shared" si="47"/>
        <v>4.0251597927487781E-2</v>
      </c>
      <c r="K161" s="3"/>
      <c r="L161" s="8">
        <f t="shared" si="48"/>
        <v>1326.6800000000003</v>
      </c>
      <c r="M161" s="3"/>
      <c r="N161" s="7">
        <f t="shared" si="49"/>
        <v>8.0240088835772383E-2</v>
      </c>
      <c r="O161" s="11"/>
      <c r="P161" s="8">
        <v>17860.560000000001</v>
      </c>
      <c r="Q161" s="3"/>
      <c r="R161" s="7">
        <f t="shared" si="50"/>
        <v>7.8450282155206802E-2</v>
      </c>
      <c r="S161" s="3"/>
      <c r="T161" s="8">
        <v>16533.88</v>
      </c>
      <c r="U161" s="3"/>
      <c r="V161" s="7">
        <f t="shared" si="51"/>
        <v>4.0251597927487781E-2</v>
      </c>
      <c r="W161" s="3"/>
      <c r="X161" s="8">
        <f t="shared" si="52"/>
        <v>1326.6800000000003</v>
      </c>
      <c r="Y161" s="3"/>
      <c r="Z161" s="7">
        <f t="shared" si="53"/>
        <v>8.0240088835772383E-2</v>
      </c>
    </row>
    <row r="162" spans="1:26" s="27" customFormat="1" outlineLevel="1" collapsed="1" x14ac:dyDescent="0.25">
      <c r="A162" s="28"/>
      <c r="B162" s="14" t="str">
        <f>CONCATENATE("     ","Discounts and Markdowns                           ")</f>
        <v xml:space="preserve">     Discounts and Markdowns                           </v>
      </c>
      <c r="C162" s="14"/>
      <c r="D162" s="1">
        <f>SUM(OSRRefD22_6x_0)</f>
        <v>0</v>
      </c>
      <c r="E162" s="1"/>
      <c r="F162" s="5">
        <f t="shared" ref="F162:F164" si="54">IF(D$12=0,0,D162/D$12)</f>
        <v>0</v>
      </c>
      <c r="G162" s="1"/>
      <c r="H162" s="1">
        <f>SUM(OSRRefH22_6x_0)</f>
        <v>24502.960000000003</v>
      </c>
      <c r="I162" s="1"/>
      <c r="J162" s="5">
        <f t="shared" ref="J162:J164" si="55">IF(H$12=0,0,H162/H$12)</f>
        <v>5.9652259116028186E-2</v>
      </c>
      <c r="K162" s="1"/>
      <c r="L162" s="1">
        <f t="shared" ref="L162:L164" si="56">+D162-H162</f>
        <v>-24502.960000000003</v>
      </c>
      <c r="M162" s="1"/>
      <c r="N162" s="5">
        <f t="shared" ref="N162:N164" si="57">IF(H162=0,0,L162/H162)</f>
        <v>-1</v>
      </c>
      <c r="O162" s="14"/>
      <c r="P162" s="1">
        <f>SUM(OSRRefP22_6x_0)</f>
        <v>0</v>
      </c>
      <c r="Q162" s="1"/>
      <c r="R162" s="5">
        <f t="shared" ref="R162:R164" si="58">IF(P$12=0,0,P162/P$12)</f>
        <v>0</v>
      </c>
      <c r="S162" s="1"/>
      <c r="T162" s="1">
        <f>SUM(OSRRefT22_6x_0)</f>
        <v>24502.960000000003</v>
      </c>
      <c r="U162" s="1"/>
      <c r="V162" s="5">
        <f t="shared" ref="V162:V164" si="59">IF(T$12=0,0,T162/T$12)</f>
        <v>5.9652259116028186E-2</v>
      </c>
      <c r="W162" s="1"/>
      <c r="X162" s="1">
        <f t="shared" ref="X162:X164" si="60">+P162-T162</f>
        <v>-24502.960000000003</v>
      </c>
      <c r="Y162" s="1"/>
      <c r="Z162" s="5">
        <f t="shared" ref="Z162:Z164" si="61">IF(T162=0,0,X162/T162)</f>
        <v>-1</v>
      </c>
    </row>
    <row r="163" spans="1:26" s="24" customFormat="1" hidden="1" outlineLevel="2" x14ac:dyDescent="0.25">
      <c r="A163" s="29"/>
      <c r="B163" s="11" t="str">
        <f>CONCATENATE("          ", "6382", " - ", "DISCOUNTS/MARK DOWNS")</f>
        <v xml:space="preserve">          6382 - DISCOUNTS/MARK DOWNS</v>
      </c>
      <c r="C163" s="11"/>
      <c r="D163" s="8"/>
      <c r="E163" s="3"/>
      <c r="F163" s="7">
        <f t="shared" si="54"/>
        <v>0</v>
      </c>
      <c r="G163" s="3"/>
      <c r="H163" s="8">
        <v>24946.670000000002</v>
      </c>
      <c r="I163" s="3"/>
      <c r="J163" s="7">
        <f t="shared" si="55"/>
        <v>6.0732467543596645E-2</v>
      </c>
      <c r="K163" s="3"/>
      <c r="L163" s="8">
        <f t="shared" si="56"/>
        <v>-24946.670000000002</v>
      </c>
      <c r="M163" s="3"/>
      <c r="N163" s="7">
        <f t="shared" si="57"/>
        <v>-1</v>
      </c>
      <c r="O163" s="11"/>
      <c r="P163" s="8"/>
      <c r="Q163" s="3"/>
      <c r="R163" s="7">
        <f t="shared" si="58"/>
        <v>0</v>
      </c>
      <c r="S163" s="3"/>
      <c r="T163" s="8">
        <v>24946.670000000002</v>
      </c>
      <c r="U163" s="3"/>
      <c r="V163" s="7">
        <f t="shared" si="59"/>
        <v>6.0732467543596645E-2</v>
      </c>
      <c r="W163" s="3"/>
      <c r="X163" s="8">
        <f t="shared" si="60"/>
        <v>-24946.670000000002</v>
      </c>
      <c r="Y163" s="3"/>
      <c r="Z163" s="7">
        <f t="shared" si="61"/>
        <v>-1</v>
      </c>
    </row>
    <row r="164" spans="1:26" s="24" customFormat="1" hidden="1" outlineLevel="2" x14ac:dyDescent="0.25">
      <c r="A164" s="29"/>
      <c r="B164" s="11" t="str">
        <f>CONCATENATE("          ", "9175", " - ", "EARNED DISCOUNTS")</f>
        <v xml:space="preserve">          9175 - EARNED DISCOUNTS</v>
      </c>
      <c r="C164" s="11"/>
      <c r="D164" s="8"/>
      <c r="E164" s="3"/>
      <c r="F164" s="7">
        <f t="shared" si="54"/>
        <v>0</v>
      </c>
      <c r="G164" s="3"/>
      <c r="H164" s="8">
        <v>-443.71</v>
      </c>
      <c r="I164" s="3"/>
      <c r="J164" s="7">
        <f t="shared" si="55"/>
        <v>-1.0802084275684596E-3</v>
      </c>
      <c r="K164" s="3"/>
      <c r="L164" s="8">
        <f t="shared" si="56"/>
        <v>443.71</v>
      </c>
      <c r="M164" s="3"/>
      <c r="N164" s="7">
        <f t="shared" si="57"/>
        <v>-1</v>
      </c>
      <c r="O164" s="11"/>
      <c r="P164" s="8"/>
      <c r="Q164" s="3"/>
      <c r="R164" s="7">
        <f t="shared" si="58"/>
        <v>0</v>
      </c>
      <c r="S164" s="3"/>
      <c r="T164" s="8">
        <v>-443.71</v>
      </c>
      <c r="U164" s="3"/>
      <c r="V164" s="7">
        <f t="shared" si="59"/>
        <v>-1.0802084275684596E-3</v>
      </c>
      <c r="W164" s="3"/>
      <c r="X164" s="8">
        <f t="shared" si="60"/>
        <v>443.71</v>
      </c>
      <c r="Y164" s="3"/>
      <c r="Z164" s="7">
        <f t="shared" si="61"/>
        <v>-1</v>
      </c>
    </row>
    <row r="165" spans="1:26" s="27" customFormat="1" outlineLevel="1" collapsed="1" x14ac:dyDescent="0.25">
      <c r="A165" s="28"/>
      <c r="B165" s="14" t="str">
        <f>CONCATENATE("     ","Donations                                         ")</f>
        <v xml:space="preserve">     Donations                                         </v>
      </c>
      <c r="C165" s="14"/>
      <c r="D165" s="1">
        <f>SUM(OSRRefD22_7x_0)</f>
        <v>0</v>
      </c>
      <c r="E165" s="1"/>
      <c r="F165" s="5">
        <f t="shared" ref="F165:F173" si="62">IF(D$12=0,0,D165/D$12)</f>
        <v>0</v>
      </c>
      <c r="G165" s="1"/>
      <c r="H165" s="1">
        <f>SUM(OSRRefH22_7x_0)</f>
        <v>925.42</v>
      </c>
      <c r="I165" s="1"/>
      <c r="J165" s="5">
        <f t="shared" ref="J165:J173" si="63">IF(H$12=0,0,H165/H$12)</f>
        <v>2.25292754961665E-3</v>
      </c>
      <c r="K165" s="1"/>
      <c r="L165" s="1">
        <f t="shared" ref="L165:L173" si="64">+D165-H165</f>
        <v>-925.42</v>
      </c>
      <c r="M165" s="1"/>
      <c r="N165" s="5">
        <f t="shared" ref="N165:N173" si="65">IF(H165=0,0,L165/H165)</f>
        <v>-1</v>
      </c>
      <c r="O165" s="14"/>
      <c r="P165" s="1">
        <f>SUM(OSRRefP22_7x_0)</f>
        <v>0</v>
      </c>
      <c r="Q165" s="1"/>
      <c r="R165" s="5">
        <f t="shared" ref="R165:R173" si="66">IF(P$12=0,0,P165/P$12)</f>
        <v>0</v>
      </c>
      <c r="S165" s="1"/>
      <c r="T165" s="1">
        <f>SUM(OSRRefT22_7x_0)</f>
        <v>925.42</v>
      </c>
      <c r="U165" s="1"/>
      <c r="V165" s="5">
        <f t="shared" ref="V165:V173" si="67">IF(T$12=0,0,T165/T$12)</f>
        <v>2.25292754961665E-3</v>
      </c>
      <c r="W165" s="1"/>
      <c r="X165" s="1">
        <f t="shared" ref="X165:X173" si="68">+P165-T165</f>
        <v>-925.42</v>
      </c>
      <c r="Y165" s="1"/>
      <c r="Z165" s="5">
        <f t="shared" ref="Z165:Z173" si="69">IF(T165=0,0,X165/T165)</f>
        <v>-1</v>
      </c>
    </row>
    <row r="166" spans="1:26" s="24" customFormat="1" hidden="1" outlineLevel="2" x14ac:dyDescent="0.25">
      <c r="A166" s="29"/>
      <c r="B166" s="11" t="str">
        <f>CONCATENATE("          ", "6399", " - ", "DONATION-ON CAMPUS")</f>
        <v xml:space="preserve">          6399 - DONATION-ON CAMPUS</v>
      </c>
      <c r="C166" s="11"/>
      <c r="D166" s="8"/>
      <c r="E166" s="3"/>
      <c r="F166" s="7">
        <f t="shared" si="62"/>
        <v>0</v>
      </c>
      <c r="G166" s="3"/>
      <c r="H166" s="8">
        <v>925.42</v>
      </c>
      <c r="I166" s="3"/>
      <c r="J166" s="7">
        <f t="shared" si="63"/>
        <v>2.25292754961665E-3</v>
      </c>
      <c r="K166" s="3"/>
      <c r="L166" s="8">
        <f t="shared" si="64"/>
        <v>-925.42</v>
      </c>
      <c r="M166" s="3"/>
      <c r="N166" s="7">
        <f t="shared" si="65"/>
        <v>-1</v>
      </c>
      <c r="O166" s="11"/>
      <c r="P166" s="8"/>
      <c r="Q166" s="3"/>
      <c r="R166" s="7">
        <f t="shared" si="66"/>
        <v>0</v>
      </c>
      <c r="S166" s="3"/>
      <c r="T166" s="8">
        <v>925.42</v>
      </c>
      <c r="U166" s="3"/>
      <c r="V166" s="7">
        <f t="shared" si="67"/>
        <v>2.25292754961665E-3</v>
      </c>
      <c r="W166" s="3"/>
      <c r="X166" s="8">
        <f t="shared" si="68"/>
        <v>-925.42</v>
      </c>
      <c r="Y166" s="3"/>
      <c r="Z166" s="7">
        <f t="shared" si="69"/>
        <v>-1</v>
      </c>
    </row>
    <row r="167" spans="1:26" s="27" customFormat="1" outlineLevel="1" collapsed="1" x14ac:dyDescent="0.25">
      <c r="A167" s="28"/>
      <c r="B167" s="14" t="str">
        <f>CONCATENATE("     ","Employees' Appreciation                           ")</f>
        <v xml:space="preserve">     Employees' Appreciation                           </v>
      </c>
      <c r="C167" s="14"/>
      <c r="D167" s="1">
        <f>SUM(OSRRefD22_8x_0)</f>
        <v>107.7</v>
      </c>
      <c r="E167" s="1"/>
      <c r="F167" s="5">
        <f t="shared" si="62"/>
        <v>4.7305881719922398E-4</v>
      </c>
      <c r="G167" s="1"/>
      <c r="H167" s="1">
        <f>SUM(OSRRefH22_8x_0)</f>
        <v>393.54</v>
      </c>
      <c r="I167" s="1"/>
      <c r="J167" s="5">
        <f t="shared" si="63"/>
        <v>9.5806996593561478E-4</v>
      </c>
      <c r="K167" s="1"/>
      <c r="L167" s="1">
        <f t="shared" si="64"/>
        <v>-285.84000000000003</v>
      </c>
      <c r="M167" s="1"/>
      <c r="N167" s="5">
        <f t="shared" si="65"/>
        <v>-0.72633023326726642</v>
      </c>
      <c r="O167" s="14"/>
      <c r="P167" s="1">
        <f>SUM(OSRRefP22_8x_0)</f>
        <v>107.7</v>
      </c>
      <c r="Q167" s="1"/>
      <c r="R167" s="5">
        <f t="shared" si="66"/>
        <v>4.7305881719922398E-4</v>
      </c>
      <c r="S167" s="1"/>
      <c r="T167" s="1">
        <f>SUM(OSRRefT22_8x_0)</f>
        <v>393.54</v>
      </c>
      <c r="U167" s="1"/>
      <c r="V167" s="5">
        <f t="shared" si="67"/>
        <v>9.5806996593561478E-4</v>
      </c>
      <c r="W167" s="1"/>
      <c r="X167" s="1">
        <f t="shared" si="68"/>
        <v>-285.84000000000003</v>
      </c>
      <c r="Y167" s="1"/>
      <c r="Z167" s="5">
        <f t="shared" si="69"/>
        <v>-0.72633023326726642</v>
      </c>
    </row>
    <row r="168" spans="1:26" s="24" customFormat="1" hidden="1" outlineLevel="2" x14ac:dyDescent="0.25">
      <c r="A168" s="29"/>
      <c r="B168" s="11" t="str">
        <f>CONCATENATE("          ", "6277", " - ", "EMPLOYEE APPRECIATION")</f>
        <v xml:space="preserve">          6277 - EMPLOYEE APPRECIATION</v>
      </c>
      <c r="C168" s="11"/>
      <c r="D168" s="8">
        <v>107.7</v>
      </c>
      <c r="E168" s="3"/>
      <c r="F168" s="7">
        <f t="shared" si="62"/>
        <v>4.7305881719922398E-4</v>
      </c>
      <c r="G168" s="3"/>
      <c r="H168" s="8">
        <v>393.54</v>
      </c>
      <c r="I168" s="3"/>
      <c r="J168" s="7">
        <f t="shared" si="63"/>
        <v>9.5806996593561478E-4</v>
      </c>
      <c r="K168" s="3"/>
      <c r="L168" s="8">
        <f t="shared" si="64"/>
        <v>-285.84000000000003</v>
      </c>
      <c r="M168" s="3"/>
      <c r="N168" s="7">
        <f t="shared" si="65"/>
        <v>-0.72633023326726642</v>
      </c>
      <c r="O168" s="11"/>
      <c r="P168" s="8">
        <v>107.7</v>
      </c>
      <c r="Q168" s="3"/>
      <c r="R168" s="7">
        <f t="shared" si="66"/>
        <v>4.7305881719922398E-4</v>
      </c>
      <c r="S168" s="3"/>
      <c r="T168" s="8">
        <v>393.54</v>
      </c>
      <c r="U168" s="3"/>
      <c r="V168" s="7">
        <f t="shared" si="67"/>
        <v>9.5806996593561478E-4</v>
      </c>
      <c r="W168" s="3"/>
      <c r="X168" s="8">
        <f t="shared" si="68"/>
        <v>-285.84000000000003</v>
      </c>
      <c r="Y168" s="3"/>
      <c r="Z168" s="7">
        <f t="shared" si="69"/>
        <v>-0.72633023326726642</v>
      </c>
    </row>
    <row r="169" spans="1:26" s="27" customFormat="1" outlineLevel="1" collapsed="1" x14ac:dyDescent="0.25">
      <c r="A169" s="28"/>
      <c r="B169" s="14" t="str">
        <f>CONCATENATE("     ","Equipment Rental                                  ")</f>
        <v xml:space="preserve">     Equipment Rental                                  </v>
      </c>
      <c r="C169" s="14"/>
      <c r="D169" s="1">
        <f>SUM(OSRRefD22_9x_0)</f>
        <v>1388.16</v>
      </c>
      <c r="E169" s="1"/>
      <c r="F169" s="5">
        <f t="shared" si="62"/>
        <v>6.0973196627973521E-3</v>
      </c>
      <c r="G169" s="1"/>
      <c r="H169" s="1">
        <f>SUM(OSRRefH22_9x_0)</f>
        <v>1443.37</v>
      </c>
      <c r="I169" s="1"/>
      <c r="J169" s="5">
        <f t="shared" si="63"/>
        <v>3.513872660294984E-3</v>
      </c>
      <c r="K169" s="1"/>
      <c r="L169" s="1">
        <f t="shared" si="64"/>
        <v>-55.209999999999809</v>
      </c>
      <c r="M169" s="1"/>
      <c r="N169" s="5">
        <f t="shared" si="65"/>
        <v>-3.8250760373292926E-2</v>
      </c>
      <c r="O169" s="14"/>
      <c r="P169" s="1">
        <f>SUM(OSRRefP22_9x_0)</f>
        <v>1388.16</v>
      </c>
      <c r="Q169" s="1"/>
      <c r="R169" s="5">
        <f t="shared" si="66"/>
        <v>6.0973196627973521E-3</v>
      </c>
      <c r="S169" s="1"/>
      <c r="T169" s="1">
        <f>SUM(OSRRefT22_9x_0)</f>
        <v>1443.37</v>
      </c>
      <c r="U169" s="1"/>
      <c r="V169" s="5">
        <f t="shared" si="67"/>
        <v>3.513872660294984E-3</v>
      </c>
      <c r="W169" s="1"/>
      <c r="X169" s="1">
        <f t="shared" si="68"/>
        <v>-55.209999999999809</v>
      </c>
      <c r="Y169" s="1"/>
      <c r="Z169" s="5">
        <f t="shared" si="69"/>
        <v>-3.8250760373292926E-2</v>
      </c>
    </row>
    <row r="170" spans="1:26" s="24" customFormat="1" hidden="1" outlineLevel="2" x14ac:dyDescent="0.25">
      <c r="A170" s="29"/>
      <c r="B170" s="11" t="str">
        <f>CONCATENATE("          ", "6351", " - ", "EQUIPMENT RENTAL")</f>
        <v xml:space="preserve">          6351 - EQUIPMENT RENTAL</v>
      </c>
      <c r="C170" s="11"/>
      <c r="D170" s="8">
        <v>1388.16</v>
      </c>
      <c r="E170" s="3"/>
      <c r="F170" s="7">
        <f t="shared" si="62"/>
        <v>6.0973196627973521E-3</v>
      </c>
      <c r="G170" s="3"/>
      <c r="H170" s="8">
        <v>1443.37</v>
      </c>
      <c r="I170" s="3"/>
      <c r="J170" s="7">
        <f t="shared" si="63"/>
        <v>3.513872660294984E-3</v>
      </c>
      <c r="K170" s="3"/>
      <c r="L170" s="8">
        <f t="shared" si="64"/>
        <v>-55.209999999999809</v>
      </c>
      <c r="M170" s="3"/>
      <c r="N170" s="7">
        <f t="shared" si="65"/>
        <v>-3.8250760373292926E-2</v>
      </c>
      <c r="O170" s="11"/>
      <c r="P170" s="8">
        <v>1388.16</v>
      </c>
      <c r="Q170" s="3"/>
      <c r="R170" s="7">
        <f t="shared" si="66"/>
        <v>6.0973196627973521E-3</v>
      </c>
      <c r="S170" s="3"/>
      <c r="T170" s="8">
        <v>1443.37</v>
      </c>
      <c r="U170" s="3"/>
      <c r="V170" s="7">
        <f t="shared" si="67"/>
        <v>3.513872660294984E-3</v>
      </c>
      <c r="W170" s="3"/>
      <c r="X170" s="8">
        <f t="shared" si="68"/>
        <v>-55.209999999999809</v>
      </c>
      <c r="Y170" s="3"/>
      <c r="Z170" s="7">
        <f t="shared" si="69"/>
        <v>-3.8250760373292926E-2</v>
      </c>
    </row>
    <row r="171" spans="1:26" s="27" customFormat="1" outlineLevel="1" collapsed="1" x14ac:dyDescent="0.25">
      <c r="A171" s="28"/>
      <c r="B171" s="14" t="str">
        <f>CONCATENATE("     ","Freight out/Postage                               ")</f>
        <v xml:space="preserve">     Freight out/Postage                               </v>
      </c>
      <c r="C171" s="14"/>
      <c r="D171" s="1">
        <f>SUM(OSRRefD22_10x_0)</f>
        <v>8928.65</v>
      </c>
      <c r="E171" s="1"/>
      <c r="F171" s="5">
        <f t="shared" si="62"/>
        <v>3.9217981505903908E-2</v>
      </c>
      <c r="G171" s="1"/>
      <c r="H171" s="1">
        <f>SUM(OSRRefH22_10x_0)</f>
        <v>-2160.1400000000003</v>
      </c>
      <c r="I171" s="1"/>
      <c r="J171" s="5">
        <f t="shared" si="63"/>
        <v>-5.2588434624591118E-3</v>
      </c>
      <c r="K171" s="1"/>
      <c r="L171" s="1">
        <f t="shared" si="64"/>
        <v>11088.79</v>
      </c>
      <c r="M171" s="1"/>
      <c r="N171" s="5">
        <f t="shared" si="65"/>
        <v>-5.1333663558843403</v>
      </c>
      <c r="O171" s="14"/>
      <c r="P171" s="1">
        <f>SUM(OSRRefP22_10x_0)</f>
        <v>8928.65</v>
      </c>
      <c r="Q171" s="1"/>
      <c r="R171" s="5">
        <f t="shared" si="66"/>
        <v>3.9217981505903908E-2</v>
      </c>
      <c r="S171" s="1"/>
      <c r="T171" s="1">
        <f>SUM(OSRRefT22_10x_0)</f>
        <v>-2160.1400000000003</v>
      </c>
      <c r="U171" s="1"/>
      <c r="V171" s="5">
        <f t="shared" si="67"/>
        <v>-5.2588434624591118E-3</v>
      </c>
      <c r="W171" s="1"/>
      <c r="X171" s="1">
        <f t="shared" si="68"/>
        <v>11088.79</v>
      </c>
      <c r="Y171" s="1"/>
      <c r="Z171" s="5">
        <f t="shared" si="69"/>
        <v>-5.1333663558843403</v>
      </c>
    </row>
    <row r="172" spans="1:26" s="24" customFormat="1" hidden="1" outlineLevel="2" x14ac:dyDescent="0.25">
      <c r="A172" s="29"/>
      <c r="B172" s="11" t="str">
        <f>CONCATENATE("          ", "6305", " - ", "FREIGHT OUT")</f>
        <v xml:space="preserve">          6305 - FREIGHT OUT</v>
      </c>
      <c r="C172" s="11"/>
      <c r="D172" s="8">
        <v>12089.09</v>
      </c>
      <c r="E172" s="3"/>
      <c r="F172" s="7">
        <f t="shared" si="62"/>
        <v>5.309982002242309E-2</v>
      </c>
      <c r="G172" s="3"/>
      <c r="H172" s="8">
        <v>1489.41</v>
      </c>
      <c r="I172" s="3"/>
      <c r="J172" s="7">
        <f t="shared" si="63"/>
        <v>3.6259566701330589E-3</v>
      </c>
      <c r="K172" s="3"/>
      <c r="L172" s="8">
        <f t="shared" si="64"/>
        <v>10599.68</v>
      </c>
      <c r="M172" s="3"/>
      <c r="N172" s="7">
        <f t="shared" si="65"/>
        <v>7.1166972156760053</v>
      </c>
      <c r="O172" s="11"/>
      <c r="P172" s="8">
        <v>12089.09</v>
      </c>
      <c r="Q172" s="3"/>
      <c r="R172" s="7">
        <f t="shared" si="66"/>
        <v>5.309982002242309E-2</v>
      </c>
      <c r="S172" s="3"/>
      <c r="T172" s="8">
        <v>1489.41</v>
      </c>
      <c r="U172" s="3"/>
      <c r="V172" s="7">
        <f t="shared" si="67"/>
        <v>3.6259566701330589E-3</v>
      </c>
      <c r="W172" s="3"/>
      <c r="X172" s="8">
        <f t="shared" si="68"/>
        <v>10599.68</v>
      </c>
      <c r="Y172" s="3"/>
      <c r="Z172" s="7">
        <f t="shared" si="69"/>
        <v>7.1166972156760053</v>
      </c>
    </row>
    <row r="173" spans="1:26" s="24" customFormat="1" hidden="1" outlineLevel="2" x14ac:dyDescent="0.25">
      <c r="A173" s="29"/>
      <c r="B173" s="11" t="str">
        <f>CONCATENATE("          ", "6307", " - ", "POSTAGE")</f>
        <v xml:space="preserve">          6307 - POSTAGE</v>
      </c>
      <c r="C173" s="11"/>
      <c r="D173" s="8">
        <v>-3160.44</v>
      </c>
      <c r="E173" s="3"/>
      <c r="F173" s="7">
        <f t="shared" si="62"/>
        <v>-1.3881838516519179E-2</v>
      </c>
      <c r="G173" s="3"/>
      <c r="H173" s="8">
        <v>-3649.55</v>
      </c>
      <c r="I173" s="3"/>
      <c r="J173" s="7">
        <f t="shared" si="63"/>
        <v>-8.8848001325921699E-3</v>
      </c>
      <c r="K173" s="3"/>
      <c r="L173" s="8">
        <f t="shared" si="64"/>
        <v>489.11000000000013</v>
      </c>
      <c r="M173" s="3"/>
      <c r="N173" s="7">
        <f t="shared" si="65"/>
        <v>-0.13401926264881975</v>
      </c>
      <c r="O173" s="11"/>
      <c r="P173" s="8">
        <v>-3160.44</v>
      </c>
      <c r="Q173" s="3"/>
      <c r="R173" s="7">
        <f t="shared" si="66"/>
        <v>-1.3881838516519179E-2</v>
      </c>
      <c r="S173" s="3"/>
      <c r="T173" s="8">
        <v>-3649.55</v>
      </c>
      <c r="U173" s="3"/>
      <c r="V173" s="7">
        <f t="shared" si="67"/>
        <v>-8.8848001325921699E-3</v>
      </c>
      <c r="W173" s="3"/>
      <c r="X173" s="8">
        <f t="shared" si="68"/>
        <v>489.11000000000013</v>
      </c>
      <c r="Y173" s="3"/>
      <c r="Z173" s="7">
        <f t="shared" si="69"/>
        <v>-0.13401926264881975</v>
      </c>
    </row>
    <row r="174" spans="1:26" s="27" customFormat="1" outlineLevel="1" collapsed="1" x14ac:dyDescent="0.25">
      <c r="A174" s="28"/>
      <c r="B174" s="14" t="str">
        <f>CONCATENATE("     ","General                                           ")</f>
        <v xml:space="preserve">     General                                           </v>
      </c>
      <c r="C174" s="14"/>
      <c r="D174" s="1">
        <f>SUM(OSRRefD22_11x_0)</f>
        <v>-1810.99</v>
      </c>
      <c r="E174" s="1"/>
      <c r="F174" s="5">
        <f t="shared" ref="F174:F189" si="70">IF(D$12=0,0,D174/D$12)</f>
        <v>-7.9545477006464499E-3</v>
      </c>
      <c r="G174" s="1"/>
      <c r="H174" s="1">
        <f>SUM(OSRRefH22_11x_0)</f>
        <v>5204.9799999999996</v>
      </c>
      <c r="I174" s="1"/>
      <c r="J174" s="5">
        <f t="shared" ref="J174:J189" si="71">IF(H$12=0,0,H174/H$12)</f>
        <v>1.2671481961923961E-2</v>
      </c>
      <c r="K174" s="1"/>
      <c r="L174" s="1">
        <f t="shared" ref="L174:L189" si="72">+D174-H174</f>
        <v>-7015.9699999999993</v>
      </c>
      <c r="M174" s="1"/>
      <c r="N174" s="5">
        <f t="shared" ref="N174:N189" si="73">IF(H174=0,0,L174/H174)</f>
        <v>-1.3479340938870081</v>
      </c>
      <c r="O174" s="14"/>
      <c r="P174" s="1">
        <f>SUM(OSRRefP22_11x_0)</f>
        <v>-1810.99</v>
      </c>
      <c r="Q174" s="1"/>
      <c r="R174" s="5">
        <f t="shared" ref="R174:R189" si="74">IF(P$12=0,0,P174/P$12)</f>
        <v>-7.9545477006464499E-3</v>
      </c>
      <c r="S174" s="1"/>
      <c r="T174" s="1">
        <f>SUM(OSRRefT22_11x_0)</f>
        <v>5204.9799999999996</v>
      </c>
      <c r="U174" s="1"/>
      <c r="V174" s="5">
        <f t="shared" ref="V174:V189" si="75">IF(T$12=0,0,T174/T$12)</f>
        <v>1.2671481961923961E-2</v>
      </c>
      <c r="W174" s="1"/>
      <c r="X174" s="1">
        <f t="shared" ref="X174:X189" si="76">+P174-T174</f>
        <v>-7015.9699999999993</v>
      </c>
      <c r="Y174" s="1"/>
      <c r="Z174" s="5">
        <f t="shared" ref="Z174:Z189" si="77">IF(T174=0,0,X174/T174)</f>
        <v>-1.3479340938870081</v>
      </c>
    </row>
    <row r="175" spans="1:26" s="24" customFormat="1" hidden="1" outlineLevel="2" x14ac:dyDescent="0.25">
      <c r="A175" s="29"/>
      <c r="B175" s="11" t="str">
        <f>CONCATENATE("          ", "6279", " - ", "GENERAL EXPENSE")</f>
        <v xml:space="preserve">          6279 - GENERAL EXPENSE</v>
      </c>
      <c r="C175" s="11"/>
      <c r="D175" s="8">
        <v>-1810.99</v>
      </c>
      <c r="E175" s="3"/>
      <c r="F175" s="7">
        <f t="shared" si="70"/>
        <v>-7.9545477006464499E-3</v>
      </c>
      <c r="G175" s="3"/>
      <c r="H175" s="8">
        <v>5204.9799999999996</v>
      </c>
      <c r="I175" s="3"/>
      <c r="J175" s="7">
        <f t="shared" si="71"/>
        <v>1.2671481961923961E-2</v>
      </c>
      <c r="K175" s="3"/>
      <c r="L175" s="8">
        <f t="shared" si="72"/>
        <v>-7015.9699999999993</v>
      </c>
      <c r="M175" s="3"/>
      <c r="N175" s="7">
        <f t="shared" si="73"/>
        <v>-1.3479340938870081</v>
      </c>
      <c r="O175" s="11"/>
      <c r="P175" s="8">
        <v>-1810.99</v>
      </c>
      <c r="Q175" s="3"/>
      <c r="R175" s="7">
        <f t="shared" si="74"/>
        <v>-7.9545477006464499E-3</v>
      </c>
      <c r="S175" s="3"/>
      <c r="T175" s="8">
        <v>5204.9799999999996</v>
      </c>
      <c r="U175" s="3"/>
      <c r="V175" s="7">
        <f t="shared" si="75"/>
        <v>1.2671481961923961E-2</v>
      </c>
      <c r="W175" s="3"/>
      <c r="X175" s="8">
        <f t="shared" si="76"/>
        <v>-7015.9699999999993</v>
      </c>
      <c r="Y175" s="3"/>
      <c r="Z175" s="7">
        <f t="shared" si="77"/>
        <v>-1.3479340938870081</v>
      </c>
    </row>
    <row r="176" spans="1:26" s="27" customFormat="1" outlineLevel="1" collapsed="1" x14ac:dyDescent="0.25">
      <c r="A176" s="28"/>
      <c r="B176" s="14" t="str">
        <f>CONCATENATE("     ","Insurance                                         ")</f>
        <v xml:space="preserve">     Insurance                                         </v>
      </c>
      <c r="C176" s="14"/>
      <c r="D176" s="1">
        <f>SUM(OSRRefD22_12x_0)</f>
        <v>4288.28</v>
      </c>
      <c r="E176" s="1"/>
      <c r="F176" s="5">
        <f t="shared" si="70"/>
        <v>1.8835735047530996E-2</v>
      </c>
      <c r="G176" s="1"/>
      <c r="H176" s="1">
        <f>SUM(OSRRefH22_12x_0)</f>
        <v>4288.28</v>
      </c>
      <c r="I176" s="1"/>
      <c r="J176" s="5">
        <f t="shared" si="71"/>
        <v>1.0439783182198448E-2</v>
      </c>
      <c r="K176" s="1"/>
      <c r="L176" s="1">
        <f t="shared" si="72"/>
        <v>0</v>
      </c>
      <c r="M176" s="1"/>
      <c r="N176" s="5">
        <f t="shared" si="73"/>
        <v>0</v>
      </c>
      <c r="O176" s="14"/>
      <c r="P176" s="1">
        <f>SUM(OSRRefP22_12x_0)</f>
        <v>4288.28</v>
      </c>
      <c r="Q176" s="1"/>
      <c r="R176" s="5">
        <f t="shared" si="74"/>
        <v>1.8835735047530996E-2</v>
      </c>
      <c r="S176" s="1"/>
      <c r="T176" s="1">
        <f>SUM(OSRRefT22_12x_0)</f>
        <v>4288.28</v>
      </c>
      <c r="U176" s="1"/>
      <c r="V176" s="5">
        <f t="shared" si="75"/>
        <v>1.0439783182198448E-2</v>
      </c>
      <c r="W176" s="1"/>
      <c r="X176" s="1">
        <f t="shared" si="76"/>
        <v>0</v>
      </c>
      <c r="Y176" s="1"/>
      <c r="Z176" s="5">
        <f t="shared" si="77"/>
        <v>0</v>
      </c>
    </row>
    <row r="177" spans="1:26" s="24" customFormat="1" hidden="1" outlineLevel="2" x14ac:dyDescent="0.25">
      <c r="A177" s="29"/>
      <c r="B177" s="11" t="str">
        <f>CONCATENATE("          ", "6314", " - ", "LIABILITY INSURANCE")</f>
        <v xml:space="preserve">          6314 - LIABILITY INSURANCE</v>
      </c>
      <c r="C177" s="11"/>
      <c r="D177" s="8">
        <v>4288.28</v>
      </c>
      <c r="E177" s="3"/>
      <c r="F177" s="7">
        <f t="shared" si="70"/>
        <v>1.8835735047530996E-2</v>
      </c>
      <c r="G177" s="3"/>
      <c r="H177" s="8">
        <v>4288.28</v>
      </c>
      <c r="I177" s="3"/>
      <c r="J177" s="7">
        <f t="shared" si="71"/>
        <v>1.0439783182198448E-2</v>
      </c>
      <c r="K177" s="3"/>
      <c r="L177" s="8">
        <f t="shared" si="72"/>
        <v>0</v>
      </c>
      <c r="M177" s="3"/>
      <c r="N177" s="7">
        <f t="shared" si="73"/>
        <v>0</v>
      </c>
      <c r="O177" s="11"/>
      <c r="P177" s="8">
        <v>4288.28</v>
      </c>
      <c r="Q177" s="3"/>
      <c r="R177" s="7">
        <f t="shared" si="74"/>
        <v>1.8835735047530996E-2</v>
      </c>
      <c r="S177" s="3"/>
      <c r="T177" s="8">
        <v>4288.28</v>
      </c>
      <c r="U177" s="3"/>
      <c r="V177" s="7">
        <f t="shared" si="75"/>
        <v>1.0439783182198448E-2</v>
      </c>
      <c r="W177" s="3"/>
      <c r="X177" s="8">
        <f t="shared" si="76"/>
        <v>0</v>
      </c>
      <c r="Y177" s="3"/>
      <c r="Z177" s="7">
        <f t="shared" si="77"/>
        <v>0</v>
      </c>
    </row>
    <row r="178" spans="1:26" s="27" customFormat="1" outlineLevel="1" collapsed="1" x14ac:dyDescent="0.25">
      <c r="A178" s="28"/>
      <c r="B178" s="14" t="str">
        <f>CONCATENATE("     ","Interest                                          ")</f>
        <v xml:space="preserve">     Interest                                          </v>
      </c>
      <c r="C178" s="14"/>
      <c r="D178" s="1">
        <f>SUM(OSRRefD22_13x_0)</f>
        <v>4044</v>
      </c>
      <c r="E178" s="1"/>
      <c r="F178" s="5">
        <f t="shared" si="70"/>
        <v>1.7762765615168635E-2</v>
      </c>
      <c r="G178" s="1"/>
      <c r="H178" s="1">
        <f>SUM(OSRRefH22_13x_0)</f>
        <v>4110</v>
      </c>
      <c r="I178" s="1"/>
      <c r="J178" s="5">
        <f t="shared" si="71"/>
        <v>1.0005761955570911E-2</v>
      </c>
      <c r="K178" s="1"/>
      <c r="L178" s="1">
        <f t="shared" si="72"/>
        <v>-66</v>
      </c>
      <c r="M178" s="1"/>
      <c r="N178" s="5">
        <f t="shared" si="73"/>
        <v>-1.6058394160583942E-2</v>
      </c>
      <c r="O178" s="14"/>
      <c r="P178" s="1">
        <f>SUM(OSRRefP22_13x_0)</f>
        <v>4044</v>
      </c>
      <c r="Q178" s="1"/>
      <c r="R178" s="5">
        <f t="shared" si="74"/>
        <v>1.7762765615168635E-2</v>
      </c>
      <c r="S178" s="1"/>
      <c r="T178" s="1">
        <f>SUM(OSRRefT22_13x_0)</f>
        <v>4110</v>
      </c>
      <c r="U178" s="1"/>
      <c r="V178" s="5">
        <f t="shared" si="75"/>
        <v>1.0005761955570911E-2</v>
      </c>
      <c r="W178" s="1"/>
      <c r="X178" s="1">
        <f t="shared" si="76"/>
        <v>-66</v>
      </c>
      <c r="Y178" s="1"/>
      <c r="Z178" s="5">
        <f t="shared" si="77"/>
        <v>-1.6058394160583942E-2</v>
      </c>
    </row>
    <row r="179" spans="1:26" s="24" customFormat="1" hidden="1" outlineLevel="2" x14ac:dyDescent="0.25">
      <c r="A179" s="29"/>
      <c r="B179" s="11" t="str">
        <f>CONCATENATE("          ", "6401", " - ", "INTEREST EXPENSE")</f>
        <v xml:space="preserve">          6401 - INTEREST EXPENSE</v>
      </c>
      <c r="C179" s="11"/>
      <c r="D179" s="8">
        <v>4044</v>
      </c>
      <c r="E179" s="3"/>
      <c r="F179" s="7">
        <f t="shared" si="70"/>
        <v>1.7762765615168635E-2</v>
      </c>
      <c r="G179" s="3"/>
      <c r="H179" s="8">
        <v>4110</v>
      </c>
      <c r="I179" s="3"/>
      <c r="J179" s="7">
        <f t="shared" si="71"/>
        <v>1.0005761955570911E-2</v>
      </c>
      <c r="K179" s="3"/>
      <c r="L179" s="8">
        <f t="shared" si="72"/>
        <v>-66</v>
      </c>
      <c r="M179" s="3"/>
      <c r="N179" s="7">
        <f t="shared" si="73"/>
        <v>-1.6058394160583942E-2</v>
      </c>
      <c r="O179" s="11"/>
      <c r="P179" s="8">
        <v>4044</v>
      </c>
      <c r="Q179" s="3"/>
      <c r="R179" s="7">
        <f t="shared" si="74"/>
        <v>1.7762765615168635E-2</v>
      </c>
      <c r="S179" s="3"/>
      <c r="T179" s="8">
        <v>4110</v>
      </c>
      <c r="U179" s="3"/>
      <c r="V179" s="7">
        <f t="shared" si="75"/>
        <v>1.0005761955570911E-2</v>
      </c>
      <c r="W179" s="3"/>
      <c r="X179" s="8">
        <f t="shared" si="76"/>
        <v>-66</v>
      </c>
      <c r="Y179" s="3"/>
      <c r="Z179" s="7">
        <f t="shared" si="77"/>
        <v>-1.6058394160583942E-2</v>
      </c>
    </row>
    <row r="180" spans="1:26" s="27" customFormat="1" outlineLevel="1" collapsed="1" x14ac:dyDescent="0.25">
      <c r="A180" s="28"/>
      <c r="B180" s="14" t="str">
        <f>CONCATENATE("     ","Inventory Adjustment                              ")</f>
        <v xml:space="preserve">     Inventory Adjustment                              </v>
      </c>
      <c r="C180" s="14"/>
      <c r="D180" s="1">
        <f>SUM(OSRRefD22_14x_0)</f>
        <v>2100</v>
      </c>
      <c r="E180" s="1"/>
      <c r="F180" s="5">
        <f t="shared" si="70"/>
        <v>9.2239880790935033E-3</v>
      </c>
      <c r="G180" s="1"/>
      <c r="H180" s="1">
        <f>SUM(OSRRefH22_14x_0)</f>
        <v>4150</v>
      </c>
      <c r="I180" s="1"/>
      <c r="J180" s="5">
        <f t="shared" si="71"/>
        <v>1.0103141633970627E-2</v>
      </c>
      <c r="K180" s="1"/>
      <c r="L180" s="1">
        <f t="shared" si="72"/>
        <v>-2050</v>
      </c>
      <c r="M180" s="1"/>
      <c r="N180" s="5">
        <f t="shared" si="73"/>
        <v>-0.49397590361445781</v>
      </c>
      <c r="O180" s="14"/>
      <c r="P180" s="1">
        <f>SUM(OSRRefP22_14x_0)</f>
        <v>2100</v>
      </c>
      <c r="Q180" s="1"/>
      <c r="R180" s="5">
        <f t="shared" si="74"/>
        <v>9.2239880790935033E-3</v>
      </c>
      <c r="S180" s="1"/>
      <c r="T180" s="1">
        <f>SUM(OSRRefT22_14x_0)</f>
        <v>4150</v>
      </c>
      <c r="U180" s="1"/>
      <c r="V180" s="5">
        <f t="shared" si="75"/>
        <v>1.0103141633970627E-2</v>
      </c>
      <c r="W180" s="1"/>
      <c r="X180" s="1">
        <f t="shared" si="76"/>
        <v>-2050</v>
      </c>
      <c r="Y180" s="1"/>
      <c r="Z180" s="5">
        <f t="shared" si="77"/>
        <v>-0.49397590361445781</v>
      </c>
    </row>
    <row r="181" spans="1:26" s="24" customFormat="1" hidden="1" outlineLevel="2" x14ac:dyDescent="0.25">
      <c r="A181" s="29"/>
      <c r="B181" s="11" t="str">
        <f>CONCATENATE("          ", "6408", " - ", "INVENTORY ADJUSTMENT")</f>
        <v xml:space="preserve">          6408 - INVENTORY ADJUSTMENT</v>
      </c>
      <c r="C181" s="11"/>
      <c r="D181" s="8">
        <v>2100</v>
      </c>
      <c r="E181" s="3"/>
      <c r="F181" s="7">
        <f t="shared" si="70"/>
        <v>9.2239880790935033E-3</v>
      </c>
      <c r="G181" s="3"/>
      <c r="H181" s="8">
        <v>4150</v>
      </c>
      <c r="I181" s="3"/>
      <c r="J181" s="7">
        <f t="shared" si="71"/>
        <v>1.0103141633970627E-2</v>
      </c>
      <c r="K181" s="3"/>
      <c r="L181" s="8">
        <f t="shared" si="72"/>
        <v>-2050</v>
      </c>
      <c r="M181" s="3"/>
      <c r="N181" s="7">
        <f t="shared" si="73"/>
        <v>-0.49397590361445781</v>
      </c>
      <c r="O181" s="11"/>
      <c r="P181" s="8">
        <v>2100</v>
      </c>
      <c r="Q181" s="3"/>
      <c r="R181" s="7">
        <f t="shared" si="74"/>
        <v>9.2239880790935033E-3</v>
      </c>
      <c r="S181" s="3"/>
      <c r="T181" s="8">
        <v>4150</v>
      </c>
      <c r="U181" s="3"/>
      <c r="V181" s="7">
        <f t="shared" si="75"/>
        <v>1.0103141633970627E-2</v>
      </c>
      <c r="W181" s="3"/>
      <c r="X181" s="8">
        <f t="shared" si="76"/>
        <v>-2050</v>
      </c>
      <c r="Y181" s="3"/>
      <c r="Z181" s="7">
        <f t="shared" si="77"/>
        <v>-0.49397590361445781</v>
      </c>
    </row>
    <row r="182" spans="1:26" s="27" customFormat="1" outlineLevel="1" collapsed="1" x14ac:dyDescent="0.25">
      <c r="A182" s="28"/>
      <c r="B182" s="14" t="str">
        <f>CONCATENATE("     ","Professional Services                             ")</f>
        <v xml:space="preserve">     Professional Services                             </v>
      </c>
      <c r="C182" s="14"/>
      <c r="D182" s="1">
        <f>SUM(OSRRefD22_15x_0)</f>
        <v>0</v>
      </c>
      <c r="E182" s="1"/>
      <c r="F182" s="5">
        <f t="shared" si="70"/>
        <v>0</v>
      </c>
      <c r="G182" s="1"/>
      <c r="H182" s="1">
        <f>SUM(OSRRefH22_15x_0)</f>
        <v>6158.41</v>
      </c>
      <c r="I182" s="1"/>
      <c r="J182" s="5">
        <f t="shared" si="71"/>
        <v>1.4992599631340012E-2</v>
      </c>
      <c r="K182" s="1"/>
      <c r="L182" s="1">
        <f t="shared" si="72"/>
        <v>-6158.41</v>
      </c>
      <c r="M182" s="1"/>
      <c r="N182" s="5">
        <f t="shared" si="73"/>
        <v>-1</v>
      </c>
      <c r="O182" s="14"/>
      <c r="P182" s="1">
        <f>SUM(OSRRefP22_15x_0)</f>
        <v>0</v>
      </c>
      <c r="Q182" s="1"/>
      <c r="R182" s="5">
        <f t="shared" si="74"/>
        <v>0</v>
      </c>
      <c r="S182" s="1"/>
      <c r="T182" s="1">
        <f>SUM(OSRRefT22_15x_0)</f>
        <v>6158.41</v>
      </c>
      <c r="U182" s="1"/>
      <c r="V182" s="5">
        <f t="shared" si="75"/>
        <v>1.4992599631340012E-2</v>
      </c>
      <c r="W182" s="1"/>
      <c r="X182" s="1">
        <f t="shared" si="76"/>
        <v>-6158.41</v>
      </c>
      <c r="Y182" s="1"/>
      <c r="Z182" s="5">
        <f t="shared" si="77"/>
        <v>-1</v>
      </c>
    </row>
    <row r="183" spans="1:26" s="24" customFormat="1" hidden="1" outlineLevel="2" x14ac:dyDescent="0.25">
      <c r="A183" s="29"/>
      <c r="B183" s="11" t="str">
        <f>CONCATENATE("          ", "6336", " - ", "PROFESSIONAL SERVICES")</f>
        <v xml:space="preserve">          6336 - PROFESSIONAL SERVICES</v>
      </c>
      <c r="C183" s="11"/>
      <c r="D183" s="8"/>
      <c r="E183" s="3"/>
      <c r="F183" s="7">
        <f t="shared" si="70"/>
        <v>0</v>
      </c>
      <c r="G183" s="3"/>
      <c r="H183" s="8">
        <v>6158.41</v>
      </c>
      <c r="I183" s="3"/>
      <c r="J183" s="7">
        <f t="shared" si="71"/>
        <v>1.4992599631340012E-2</v>
      </c>
      <c r="K183" s="3"/>
      <c r="L183" s="8">
        <f t="shared" si="72"/>
        <v>-6158.41</v>
      </c>
      <c r="M183" s="3"/>
      <c r="N183" s="7">
        <f t="shared" si="73"/>
        <v>-1</v>
      </c>
      <c r="O183" s="11"/>
      <c r="P183" s="8"/>
      <c r="Q183" s="3"/>
      <c r="R183" s="7">
        <f t="shared" si="74"/>
        <v>0</v>
      </c>
      <c r="S183" s="3"/>
      <c r="T183" s="8">
        <v>6158.41</v>
      </c>
      <c r="U183" s="3"/>
      <c r="V183" s="7">
        <f t="shared" si="75"/>
        <v>1.4992599631340012E-2</v>
      </c>
      <c r="W183" s="3"/>
      <c r="X183" s="8">
        <f t="shared" si="76"/>
        <v>-6158.41</v>
      </c>
      <c r="Y183" s="3"/>
      <c r="Z183" s="7">
        <f t="shared" si="77"/>
        <v>-1</v>
      </c>
    </row>
    <row r="184" spans="1:26" s="27" customFormat="1" outlineLevel="1" collapsed="1" x14ac:dyDescent="0.25">
      <c r="A184" s="28"/>
      <c r="B184" s="14" t="str">
        <f>CONCATENATE("     ","Rent                                              ")</f>
        <v xml:space="preserve">     Rent                                              </v>
      </c>
      <c r="C184" s="14"/>
      <c r="D184" s="1">
        <f>SUM(OSRRefD22_16x_0)</f>
        <v>6100</v>
      </c>
      <c r="E184" s="1"/>
      <c r="F184" s="5">
        <f t="shared" si="70"/>
        <v>2.679348918212875E-2</v>
      </c>
      <c r="G184" s="1"/>
      <c r="H184" s="1">
        <f>SUM(OSRRefH22_16x_0)</f>
        <v>7250</v>
      </c>
      <c r="I184" s="1"/>
      <c r="J184" s="5">
        <f t="shared" si="71"/>
        <v>1.7650066709948689E-2</v>
      </c>
      <c r="K184" s="1"/>
      <c r="L184" s="1">
        <f t="shared" si="72"/>
        <v>-1150</v>
      </c>
      <c r="M184" s="1"/>
      <c r="N184" s="5">
        <f t="shared" si="73"/>
        <v>-0.15862068965517243</v>
      </c>
      <c r="O184" s="14"/>
      <c r="P184" s="1">
        <f>SUM(OSRRefP22_16x_0)</f>
        <v>6100</v>
      </c>
      <c r="Q184" s="1"/>
      <c r="R184" s="5">
        <f t="shared" si="74"/>
        <v>2.679348918212875E-2</v>
      </c>
      <c r="S184" s="1"/>
      <c r="T184" s="1">
        <f>SUM(OSRRefT22_16x_0)</f>
        <v>7250</v>
      </c>
      <c r="U184" s="1"/>
      <c r="V184" s="5">
        <f t="shared" si="75"/>
        <v>1.7650066709948689E-2</v>
      </c>
      <c r="W184" s="1"/>
      <c r="X184" s="1">
        <f t="shared" si="76"/>
        <v>-1150</v>
      </c>
      <c r="Y184" s="1"/>
      <c r="Z184" s="5">
        <f t="shared" si="77"/>
        <v>-0.15862068965517243</v>
      </c>
    </row>
    <row r="185" spans="1:26" s="24" customFormat="1" hidden="1" outlineLevel="2" x14ac:dyDescent="0.25">
      <c r="A185" s="29"/>
      <c r="B185" s="11" t="str">
        <f>CONCATENATE("          ", "6273", " - ", "RENT")</f>
        <v xml:space="preserve">          6273 - RENT</v>
      </c>
      <c r="C185" s="11"/>
      <c r="D185" s="8">
        <v>6100</v>
      </c>
      <c r="E185" s="3"/>
      <c r="F185" s="7">
        <f t="shared" si="70"/>
        <v>2.679348918212875E-2</v>
      </c>
      <c r="G185" s="3"/>
      <c r="H185" s="8">
        <v>7250</v>
      </c>
      <c r="I185" s="3"/>
      <c r="J185" s="7">
        <f t="shared" si="71"/>
        <v>1.7650066709948689E-2</v>
      </c>
      <c r="K185" s="3"/>
      <c r="L185" s="8">
        <f t="shared" si="72"/>
        <v>-1150</v>
      </c>
      <c r="M185" s="3"/>
      <c r="N185" s="7">
        <f t="shared" si="73"/>
        <v>-0.15862068965517243</v>
      </c>
      <c r="O185" s="11"/>
      <c r="P185" s="8">
        <v>6100</v>
      </c>
      <c r="Q185" s="3"/>
      <c r="R185" s="7">
        <f t="shared" si="74"/>
        <v>2.679348918212875E-2</v>
      </c>
      <c r="S185" s="3"/>
      <c r="T185" s="8">
        <v>7250</v>
      </c>
      <c r="U185" s="3"/>
      <c r="V185" s="7">
        <f t="shared" si="75"/>
        <v>1.7650066709948689E-2</v>
      </c>
      <c r="W185" s="3"/>
      <c r="X185" s="8">
        <f t="shared" si="76"/>
        <v>-1150</v>
      </c>
      <c r="Y185" s="3"/>
      <c r="Z185" s="7">
        <f t="shared" si="77"/>
        <v>-0.15862068965517243</v>
      </c>
    </row>
    <row r="186" spans="1:26" s="27" customFormat="1" outlineLevel="1" collapsed="1" x14ac:dyDescent="0.25">
      <c r="A186" s="28"/>
      <c r="B186" s="14" t="str">
        <f>CONCATENATE("     ","Repair and Maintenance                            ")</f>
        <v xml:space="preserve">     Repair and Maintenance                            </v>
      </c>
      <c r="C186" s="14"/>
      <c r="D186" s="1">
        <f>SUM(OSRRefD22_17x_0)</f>
        <v>66461.77</v>
      </c>
      <c r="E186" s="1"/>
      <c r="F186" s="5">
        <f t="shared" si="70"/>
        <v>0.2919250353311687</v>
      </c>
      <c r="G186" s="1"/>
      <c r="H186" s="1">
        <f>SUM(OSRRefH22_17x_0)</f>
        <v>24508.100000000002</v>
      </c>
      <c r="I186" s="1"/>
      <c r="J186" s="5">
        <f t="shared" si="71"/>
        <v>5.9664772404702547E-2</v>
      </c>
      <c r="K186" s="1"/>
      <c r="L186" s="1">
        <f t="shared" si="72"/>
        <v>41953.67</v>
      </c>
      <c r="M186" s="1"/>
      <c r="N186" s="5">
        <f t="shared" si="73"/>
        <v>1.7118287423341669</v>
      </c>
      <c r="O186" s="14"/>
      <c r="P186" s="1">
        <f>SUM(OSRRefP22_17x_0)</f>
        <v>66461.77</v>
      </c>
      <c r="Q186" s="1"/>
      <c r="R186" s="5">
        <f t="shared" si="74"/>
        <v>0.2919250353311687</v>
      </c>
      <c r="S186" s="1"/>
      <c r="T186" s="1">
        <f>SUM(OSRRefT22_17x_0)</f>
        <v>24508.100000000002</v>
      </c>
      <c r="U186" s="1"/>
      <c r="V186" s="5">
        <f t="shared" si="75"/>
        <v>5.9664772404702547E-2</v>
      </c>
      <c r="W186" s="1"/>
      <c r="X186" s="1">
        <f t="shared" si="76"/>
        <v>41953.67</v>
      </c>
      <c r="Y186" s="1"/>
      <c r="Z186" s="5">
        <f t="shared" si="77"/>
        <v>1.7118287423341669</v>
      </c>
    </row>
    <row r="187" spans="1:26" s="24" customFormat="1" hidden="1" outlineLevel="2" x14ac:dyDescent="0.25">
      <c r="A187" s="29"/>
      <c r="B187" s="11" t="str">
        <f>CONCATENATE("          ", "6371", " - ", "COMPUTER SOFTWARE MAINTENANCE")</f>
        <v xml:space="preserve">          6371 - COMPUTER SOFTWARE MAINTENANCE</v>
      </c>
      <c r="C187" s="11"/>
      <c r="D187" s="8">
        <v>58428.780000000006</v>
      </c>
      <c r="E187" s="3"/>
      <c r="F187" s="7">
        <f t="shared" si="70"/>
        <v>0.25664112866475097</v>
      </c>
      <c r="G187" s="3"/>
      <c r="H187" s="8">
        <v>601</v>
      </c>
      <c r="I187" s="3"/>
      <c r="J187" s="7">
        <f t="shared" si="71"/>
        <v>1.4631296679557463E-3</v>
      </c>
      <c r="K187" s="3"/>
      <c r="L187" s="8">
        <f t="shared" si="72"/>
        <v>57827.780000000006</v>
      </c>
      <c r="M187" s="3"/>
      <c r="N187" s="7">
        <f t="shared" si="73"/>
        <v>96.219267886855249</v>
      </c>
      <c r="O187" s="11"/>
      <c r="P187" s="8">
        <v>58428.780000000006</v>
      </c>
      <c r="Q187" s="3"/>
      <c r="R187" s="7">
        <f t="shared" si="74"/>
        <v>0.25664112866475097</v>
      </c>
      <c r="S187" s="3"/>
      <c r="T187" s="8">
        <v>601</v>
      </c>
      <c r="U187" s="3"/>
      <c r="V187" s="7">
        <f t="shared" si="75"/>
        <v>1.4631296679557463E-3</v>
      </c>
      <c r="W187" s="3"/>
      <c r="X187" s="8">
        <f t="shared" si="76"/>
        <v>57827.780000000006</v>
      </c>
      <c r="Y187" s="3"/>
      <c r="Z187" s="7">
        <f t="shared" si="77"/>
        <v>96.219267886855249</v>
      </c>
    </row>
    <row r="188" spans="1:26" s="24" customFormat="1" hidden="1" outlineLevel="2" x14ac:dyDescent="0.25">
      <c r="A188" s="29"/>
      <c r="B188" s="11" t="str">
        <f>CONCATENATE("          ", "6373", " - ", "MAINTENANCE CONTRACTS")</f>
        <v xml:space="preserve">          6373 - MAINTENANCE CONTRACTS</v>
      </c>
      <c r="C188" s="11"/>
      <c r="D188" s="8">
        <v>6416.01</v>
      </c>
      <c r="E188" s="3"/>
      <c r="F188" s="7">
        <f t="shared" si="70"/>
        <v>2.8181523693021293E-2</v>
      </c>
      <c r="G188" s="3"/>
      <c r="H188" s="8">
        <v>6478.86</v>
      </c>
      <c r="I188" s="3"/>
      <c r="J188" s="7">
        <f t="shared" si="71"/>
        <v>1.5772732579919745E-2</v>
      </c>
      <c r="K188" s="3"/>
      <c r="L188" s="8">
        <f t="shared" si="72"/>
        <v>-62.849999999999454</v>
      </c>
      <c r="M188" s="3"/>
      <c r="N188" s="7">
        <f t="shared" si="73"/>
        <v>-9.7007806928995927E-3</v>
      </c>
      <c r="O188" s="11"/>
      <c r="P188" s="8">
        <v>6416.01</v>
      </c>
      <c r="Q188" s="3"/>
      <c r="R188" s="7">
        <f t="shared" si="74"/>
        <v>2.8181523693021293E-2</v>
      </c>
      <c r="S188" s="3"/>
      <c r="T188" s="8">
        <v>6478.86</v>
      </c>
      <c r="U188" s="3"/>
      <c r="V188" s="7">
        <f t="shared" si="75"/>
        <v>1.5772732579919745E-2</v>
      </c>
      <c r="W188" s="3"/>
      <c r="X188" s="8">
        <f t="shared" si="76"/>
        <v>-62.849999999999454</v>
      </c>
      <c r="Y188" s="3"/>
      <c r="Z188" s="7">
        <f t="shared" si="77"/>
        <v>-9.7007806928995927E-3</v>
      </c>
    </row>
    <row r="189" spans="1:26" s="24" customFormat="1" hidden="1" outlineLevel="2" x14ac:dyDescent="0.25">
      <c r="A189" s="29"/>
      <c r="B189" s="11" t="str">
        <f>CONCATENATE("          ", "6375", " - ", "OUTSIDE REPAIRS &amp; MAINTENANCE")</f>
        <v xml:space="preserve">          6375 - OUTSIDE REPAIRS &amp; MAINTENANCE</v>
      </c>
      <c r="C189" s="11"/>
      <c r="D189" s="8">
        <v>1616.98</v>
      </c>
      <c r="E189" s="3"/>
      <c r="F189" s="7">
        <f t="shared" si="70"/>
        <v>7.1023829733964832E-3</v>
      </c>
      <c r="G189" s="3"/>
      <c r="H189" s="8">
        <v>17428.240000000002</v>
      </c>
      <c r="I189" s="3"/>
      <c r="J189" s="7">
        <f t="shared" si="71"/>
        <v>4.2428910156827052E-2</v>
      </c>
      <c r="K189" s="3"/>
      <c r="L189" s="8">
        <f t="shared" si="72"/>
        <v>-15811.260000000002</v>
      </c>
      <c r="M189" s="3"/>
      <c r="N189" s="7">
        <f t="shared" si="73"/>
        <v>-0.90722069468862032</v>
      </c>
      <c r="O189" s="11"/>
      <c r="P189" s="8">
        <v>1616.98</v>
      </c>
      <c r="Q189" s="3"/>
      <c r="R189" s="7">
        <f t="shared" si="74"/>
        <v>7.1023829733964832E-3</v>
      </c>
      <c r="S189" s="3"/>
      <c r="T189" s="8">
        <v>17428.240000000002</v>
      </c>
      <c r="U189" s="3"/>
      <c r="V189" s="7">
        <f t="shared" si="75"/>
        <v>4.2428910156827052E-2</v>
      </c>
      <c r="W189" s="3"/>
      <c r="X189" s="8">
        <f t="shared" si="76"/>
        <v>-15811.260000000002</v>
      </c>
      <c r="Y189" s="3"/>
      <c r="Z189" s="7">
        <f t="shared" si="77"/>
        <v>-0.90722069468862032</v>
      </c>
    </row>
    <row r="190" spans="1:26" s="27" customFormat="1" outlineLevel="1" collapsed="1" x14ac:dyDescent="0.25">
      <c r="A190" s="28"/>
      <c r="B190" s="14" t="str">
        <f>CONCATENATE("     ","Royalty &amp; Commissions                             ")</f>
        <v xml:space="preserve">     Royalty &amp; Commissions                             </v>
      </c>
      <c r="C190" s="14"/>
      <c r="D190" s="1">
        <f>SUM(OSRRefD22_18x_0)</f>
        <v>10989.75</v>
      </c>
      <c r="E190" s="1"/>
      <c r="F190" s="5">
        <f t="shared" ref="F190:F193" si="78">IF(D$12=0,0,D190/D$12)</f>
        <v>4.8271106186770399E-2</v>
      </c>
      <c r="G190" s="1"/>
      <c r="H190" s="1">
        <f>SUM(OSRRefH22_18x_0)</f>
        <v>5086.05</v>
      </c>
      <c r="I190" s="1"/>
      <c r="J190" s="5">
        <f t="shared" ref="J190:J193" si="79">IF(H$12=0,0,H190/H$12)</f>
        <v>1.2381947833122003E-2</v>
      </c>
      <c r="K190" s="1"/>
      <c r="L190" s="1">
        <f t="shared" ref="L190:L193" si="80">+D190-H190</f>
        <v>5903.7</v>
      </c>
      <c r="M190" s="1"/>
      <c r="N190" s="5">
        <f t="shared" ref="N190:N193" si="81">IF(H190=0,0,L190/H190)</f>
        <v>1.1607632642227268</v>
      </c>
      <c r="O190" s="14"/>
      <c r="P190" s="1">
        <f>SUM(OSRRefP22_18x_0)</f>
        <v>10989.75</v>
      </c>
      <c r="Q190" s="1"/>
      <c r="R190" s="5">
        <f t="shared" ref="R190:R193" si="82">IF(P$12=0,0,P190/P$12)</f>
        <v>4.8271106186770399E-2</v>
      </c>
      <c r="S190" s="1"/>
      <c r="T190" s="1">
        <f>SUM(OSRRefT22_18x_0)</f>
        <v>5086.05</v>
      </c>
      <c r="U190" s="1"/>
      <c r="V190" s="5">
        <f t="shared" ref="V190:V193" si="83">IF(T$12=0,0,T190/T$12)</f>
        <v>1.2381947833122003E-2</v>
      </c>
      <c r="W190" s="1"/>
      <c r="X190" s="1">
        <f t="shared" ref="X190:X193" si="84">+P190-T190</f>
        <v>5903.7</v>
      </c>
      <c r="Y190" s="1"/>
      <c r="Z190" s="5">
        <f t="shared" ref="Z190:Z193" si="85">IF(T190=0,0,X190/T190)</f>
        <v>1.1607632642227268</v>
      </c>
    </row>
    <row r="191" spans="1:26" s="24" customFormat="1" hidden="1" outlineLevel="2" x14ac:dyDescent="0.25">
      <c r="A191" s="29"/>
      <c r="B191" s="11" t="str">
        <f>CONCATENATE("          ", "6253", " - ", "ROYALTY DUE ATHLETICS-LRG")</f>
        <v xml:space="preserve">          6253 - ROYALTY DUE ATHLETICS-LRG</v>
      </c>
      <c r="C191" s="11"/>
      <c r="D191" s="8">
        <v>5672.2</v>
      </c>
      <c r="E191" s="3"/>
      <c r="F191" s="7">
        <f t="shared" si="78"/>
        <v>2.4914431039159128E-2</v>
      </c>
      <c r="G191" s="3"/>
      <c r="H191" s="8">
        <v>4366.95</v>
      </c>
      <c r="I191" s="3"/>
      <c r="J191" s="7">
        <f t="shared" si="79"/>
        <v>1.0631304664691092E-2</v>
      </c>
      <c r="K191" s="3"/>
      <c r="L191" s="8">
        <f t="shared" si="80"/>
        <v>1305.25</v>
      </c>
      <c r="M191" s="3"/>
      <c r="N191" s="7">
        <f t="shared" si="81"/>
        <v>0.29889281993153116</v>
      </c>
      <c r="O191" s="11"/>
      <c r="P191" s="8">
        <v>5672.2</v>
      </c>
      <c r="Q191" s="3"/>
      <c r="R191" s="7">
        <f t="shared" si="82"/>
        <v>2.4914431039159128E-2</v>
      </c>
      <c r="S191" s="3"/>
      <c r="T191" s="8">
        <v>4366.95</v>
      </c>
      <c r="U191" s="3"/>
      <c r="V191" s="7">
        <f t="shared" si="83"/>
        <v>1.0631304664691092E-2</v>
      </c>
      <c r="W191" s="3"/>
      <c r="X191" s="8">
        <f t="shared" si="84"/>
        <v>1305.25</v>
      </c>
      <c r="Y191" s="3"/>
      <c r="Z191" s="7">
        <f t="shared" si="85"/>
        <v>0.29889281993153116</v>
      </c>
    </row>
    <row r="192" spans="1:26" s="24" customFormat="1" hidden="1" outlineLevel="2" x14ac:dyDescent="0.25">
      <c r="A192" s="29"/>
      <c r="B192" s="11" t="str">
        <f>CONCATENATE("          ", "6254", " - ", "ROYALTY &amp; COMMISSIONS")</f>
        <v xml:space="preserve">          6254 - ROYALTY &amp; COMMISSIONS</v>
      </c>
      <c r="C192" s="11"/>
      <c r="D192" s="8"/>
      <c r="E192" s="3"/>
      <c r="F192" s="7">
        <f t="shared" si="78"/>
        <v>0</v>
      </c>
      <c r="G192" s="3"/>
      <c r="H192" s="8">
        <v>114.09</v>
      </c>
      <c r="I192" s="3"/>
      <c r="J192" s="7">
        <f t="shared" si="79"/>
        <v>2.7775118771559255E-4</v>
      </c>
      <c r="K192" s="3"/>
      <c r="L192" s="8">
        <f t="shared" si="80"/>
        <v>-114.09</v>
      </c>
      <c r="M192" s="3"/>
      <c r="N192" s="7">
        <f t="shared" si="81"/>
        <v>-1</v>
      </c>
      <c r="O192" s="11"/>
      <c r="P192" s="8"/>
      <c r="Q192" s="3"/>
      <c r="R192" s="7">
        <f t="shared" si="82"/>
        <v>0</v>
      </c>
      <c r="S192" s="3"/>
      <c r="T192" s="8">
        <v>114.09</v>
      </c>
      <c r="U192" s="3"/>
      <c r="V192" s="7">
        <f t="shared" si="83"/>
        <v>2.7775118771559255E-4</v>
      </c>
      <c r="W192" s="3"/>
      <c r="X192" s="8">
        <f t="shared" si="84"/>
        <v>-114.09</v>
      </c>
      <c r="Y192" s="3"/>
      <c r="Z192" s="7">
        <f t="shared" si="85"/>
        <v>-1</v>
      </c>
    </row>
    <row r="193" spans="1:26" s="24" customFormat="1" hidden="1" outlineLevel="2" x14ac:dyDescent="0.25">
      <c r="A193" s="29"/>
      <c r="B193" s="11" t="str">
        <f>CONCATENATE("          ", "6259", " - ", "ROYALTY &amp; COMMISSIONS")</f>
        <v xml:space="preserve">          6259 - ROYALTY &amp; COMMISSIONS</v>
      </c>
      <c r="C193" s="11"/>
      <c r="D193" s="8">
        <v>5317.55</v>
      </c>
      <c r="E193" s="3"/>
      <c r="F193" s="7">
        <f t="shared" si="78"/>
        <v>2.3356675147611267E-2</v>
      </c>
      <c r="G193" s="3"/>
      <c r="H193" s="8">
        <v>605.01</v>
      </c>
      <c r="I193" s="3"/>
      <c r="J193" s="7">
        <f t="shared" si="79"/>
        <v>1.472891980715318E-3</v>
      </c>
      <c r="K193" s="3"/>
      <c r="L193" s="8">
        <f t="shared" si="80"/>
        <v>4712.54</v>
      </c>
      <c r="M193" s="3"/>
      <c r="N193" s="7">
        <f t="shared" si="81"/>
        <v>7.7891935670484784</v>
      </c>
      <c r="O193" s="11"/>
      <c r="P193" s="8">
        <v>5317.55</v>
      </c>
      <c r="Q193" s="3"/>
      <c r="R193" s="7">
        <f t="shared" si="82"/>
        <v>2.3356675147611267E-2</v>
      </c>
      <c r="S193" s="3"/>
      <c r="T193" s="8">
        <v>605.01</v>
      </c>
      <c r="U193" s="3"/>
      <c r="V193" s="7">
        <f t="shared" si="83"/>
        <v>1.472891980715318E-3</v>
      </c>
      <c r="W193" s="3"/>
      <c r="X193" s="8">
        <f t="shared" si="84"/>
        <v>4712.54</v>
      </c>
      <c r="Y193" s="3"/>
      <c r="Z193" s="7">
        <f t="shared" si="85"/>
        <v>7.7891935670484784</v>
      </c>
    </row>
    <row r="194" spans="1:26" s="27" customFormat="1" outlineLevel="1" collapsed="1" x14ac:dyDescent="0.25">
      <c r="A194" s="28"/>
      <c r="B194" s="14" t="str">
        <f>CONCATENATE("     ","Services                                          ")</f>
        <v xml:space="preserve">     Services                                          </v>
      </c>
      <c r="C194" s="14"/>
      <c r="D194" s="1">
        <f>SUM(OSRRefD22_19x_0)</f>
        <v>3079.1400000000003</v>
      </c>
      <c r="E194" s="1"/>
      <c r="F194" s="5">
        <f t="shared" ref="F194:F199" si="86">IF(D$12=0,0,D194/D$12)</f>
        <v>1.3524738406599988E-2</v>
      </c>
      <c r="G194" s="1"/>
      <c r="H194" s="1">
        <f>SUM(OSRRefH22_19x_0)</f>
        <v>6081.52</v>
      </c>
      <c r="I194" s="1"/>
      <c r="J194" s="5">
        <f t="shared" ref="J194:J199" si="87">IF(H$12=0,0,H194/H$12)</f>
        <v>1.4805411544536158E-2</v>
      </c>
      <c r="K194" s="1"/>
      <c r="L194" s="1">
        <f t="shared" ref="L194:L199" si="88">+D194-H194</f>
        <v>-3002.38</v>
      </c>
      <c r="M194" s="1"/>
      <c r="N194" s="5">
        <f t="shared" ref="N194:N199" si="89">IF(H194=0,0,L194/H194)</f>
        <v>-0.49368907773056736</v>
      </c>
      <c r="O194" s="14"/>
      <c r="P194" s="1">
        <f>SUM(OSRRefP22_19x_0)</f>
        <v>3079.1400000000003</v>
      </c>
      <c r="Q194" s="1"/>
      <c r="R194" s="5">
        <f t="shared" ref="R194:R199" si="90">IF(P$12=0,0,P194/P$12)</f>
        <v>1.3524738406599988E-2</v>
      </c>
      <c r="S194" s="1"/>
      <c r="T194" s="1">
        <f>SUM(OSRRefT22_19x_0)</f>
        <v>6081.52</v>
      </c>
      <c r="U194" s="1"/>
      <c r="V194" s="5">
        <f t="shared" ref="V194:V199" si="91">IF(T$12=0,0,T194/T$12)</f>
        <v>1.4805411544536158E-2</v>
      </c>
      <c r="W194" s="1"/>
      <c r="X194" s="1">
        <f t="shared" ref="X194:X199" si="92">+P194-T194</f>
        <v>-3002.38</v>
      </c>
      <c r="Y194" s="1"/>
      <c r="Z194" s="5">
        <f t="shared" ref="Z194:Z199" si="93">IF(T194=0,0,X194/T194)</f>
        <v>-0.49368907773056736</v>
      </c>
    </row>
    <row r="195" spans="1:26" s="24" customFormat="1" hidden="1" outlineLevel="2" x14ac:dyDescent="0.25">
      <c r="A195" s="29"/>
      <c r="B195" s="11" t="str">
        <f>CONCATENATE("          ", "6282", " - ", "JANITORIAL/EXTERMINATOR EXPENS")</f>
        <v xml:space="preserve">          6282 - JANITORIAL/EXTERMINATOR EXPENS</v>
      </c>
      <c r="C195" s="11"/>
      <c r="D195" s="8">
        <v>136.5</v>
      </c>
      <c r="E195" s="3"/>
      <c r="F195" s="7">
        <f t="shared" si="86"/>
        <v>5.9955922514107771E-4</v>
      </c>
      <c r="G195" s="3"/>
      <c r="H195" s="8">
        <v>868.59</v>
      </c>
      <c r="I195" s="3"/>
      <c r="J195" s="7">
        <f t="shared" si="87"/>
        <v>2.1145753715302524E-3</v>
      </c>
      <c r="K195" s="3"/>
      <c r="L195" s="8">
        <f t="shared" si="88"/>
        <v>-732.09</v>
      </c>
      <c r="M195" s="3"/>
      <c r="N195" s="7">
        <f t="shared" si="89"/>
        <v>-0.84284875487859634</v>
      </c>
      <c r="O195" s="11"/>
      <c r="P195" s="8">
        <v>136.5</v>
      </c>
      <c r="Q195" s="3"/>
      <c r="R195" s="7">
        <f t="shared" si="90"/>
        <v>5.9955922514107771E-4</v>
      </c>
      <c r="S195" s="3"/>
      <c r="T195" s="8">
        <v>868.59</v>
      </c>
      <c r="U195" s="3"/>
      <c r="V195" s="7">
        <f t="shared" si="91"/>
        <v>2.1145753715302524E-3</v>
      </c>
      <c r="W195" s="3"/>
      <c r="X195" s="8">
        <f t="shared" si="92"/>
        <v>-732.09</v>
      </c>
      <c r="Y195" s="3"/>
      <c r="Z195" s="7">
        <f t="shared" si="93"/>
        <v>-0.84284875487859634</v>
      </c>
    </row>
    <row r="196" spans="1:26" s="24" customFormat="1" hidden="1" outlineLevel="2" x14ac:dyDescent="0.25">
      <c r="A196" s="29"/>
      <c r="B196" s="11" t="str">
        <f>CONCATENATE("          ", "6283", " - ", "PLANT SERVICE")</f>
        <v xml:space="preserve">          6283 - PLANT SERVICE</v>
      </c>
      <c r="C196" s="11"/>
      <c r="D196" s="8">
        <v>130</v>
      </c>
      <c r="E196" s="3"/>
      <c r="F196" s="7">
        <f t="shared" si="86"/>
        <v>5.7100878584864551E-4</v>
      </c>
      <c r="G196" s="3"/>
      <c r="H196" s="8">
        <v>180.66</v>
      </c>
      <c r="I196" s="3"/>
      <c r="J196" s="7">
        <f t="shared" si="87"/>
        <v>4.3981531749232136E-4</v>
      </c>
      <c r="K196" s="3"/>
      <c r="L196" s="8">
        <f t="shared" si="88"/>
        <v>-50.66</v>
      </c>
      <c r="M196" s="3"/>
      <c r="N196" s="7">
        <f t="shared" si="89"/>
        <v>-0.2804162515221964</v>
      </c>
      <c r="O196" s="11"/>
      <c r="P196" s="8">
        <v>130</v>
      </c>
      <c r="Q196" s="3"/>
      <c r="R196" s="7">
        <f t="shared" si="90"/>
        <v>5.7100878584864551E-4</v>
      </c>
      <c r="S196" s="3"/>
      <c r="T196" s="8">
        <v>180.66</v>
      </c>
      <c r="U196" s="3"/>
      <c r="V196" s="7">
        <f t="shared" si="91"/>
        <v>4.3981531749232136E-4</v>
      </c>
      <c r="W196" s="3"/>
      <c r="X196" s="8">
        <f t="shared" si="92"/>
        <v>-50.66</v>
      </c>
      <c r="Y196" s="3"/>
      <c r="Z196" s="7">
        <f t="shared" si="93"/>
        <v>-0.2804162515221964</v>
      </c>
    </row>
    <row r="197" spans="1:26" s="24" customFormat="1" hidden="1" outlineLevel="2" x14ac:dyDescent="0.25">
      <c r="A197" s="29"/>
      <c r="B197" s="11" t="str">
        <f>CONCATENATE("          ", "6284", " - ", "TRASH REMOVAL EXPENSE")</f>
        <v xml:space="preserve">          6284 - TRASH REMOVAL EXPENSE</v>
      </c>
      <c r="C197" s="11"/>
      <c r="D197" s="8">
        <v>142.57</v>
      </c>
      <c r="E197" s="3"/>
      <c r="F197" s="7">
        <f t="shared" si="86"/>
        <v>6.2622094306493369E-4</v>
      </c>
      <c r="G197" s="3"/>
      <c r="H197" s="8">
        <v>371.82</v>
      </c>
      <c r="I197" s="3"/>
      <c r="J197" s="7">
        <f t="shared" si="87"/>
        <v>9.0519280056456839E-4</v>
      </c>
      <c r="K197" s="3"/>
      <c r="L197" s="8">
        <f t="shared" si="88"/>
        <v>-229.25</v>
      </c>
      <c r="M197" s="3"/>
      <c r="N197" s="7">
        <f t="shared" si="89"/>
        <v>-0.6165617772040235</v>
      </c>
      <c r="O197" s="11"/>
      <c r="P197" s="8">
        <v>142.57</v>
      </c>
      <c r="Q197" s="3"/>
      <c r="R197" s="7">
        <f t="shared" si="90"/>
        <v>6.2622094306493369E-4</v>
      </c>
      <c r="S197" s="3"/>
      <c r="T197" s="8">
        <v>371.82</v>
      </c>
      <c r="U197" s="3"/>
      <c r="V197" s="7">
        <f t="shared" si="91"/>
        <v>9.0519280056456839E-4</v>
      </c>
      <c r="W197" s="3"/>
      <c r="X197" s="8">
        <f t="shared" si="92"/>
        <v>-229.25</v>
      </c>
      <c r="Y197" s="3"/>
      <c r="Z197" s="7">
        <f t="shared" si="93"/>
        <v>-0.6165617772040235</v>
      </c>
    </row>
    <row r="198" spans="1:26" s="24" customFormat="1" hidden="1" outlineLevel="2" x14ac:dyDescent="0.25">
      <c r="A198" s="29"/>
      <c r="B198" s="11" t="str">
        <f>CONCATENATE("          ", "6285", " - ", "JANITORIAL SERVICES")</f>
        <v xml:space="preserve">          6285 - JANITORIAL SERVICES</v>
      </c>
      <c r="C198" s="11"/>
      <c r="D198" s="8">
        <v>2670.07</v>
      </c>
      <c r="E198" s="3"/>
      <c r="F198" s="7">
        <f t="shared" si="86"/>
        <v>1.1727949452545331E-2</v>
      </c>
      <c r="G198" s="3"/>
      <c r="H198" s="8">
        <v>4069.72</v>
      </c>
      <c r="I198" s="3"/>
      <c r="J198" s="7">
        <f t="shared" si="87"/>
        <v>9.9077006194223955E-3</v>
      </c>
      <c r="K198" s="3"/>
      <c r="L198" s="8">
        <f t="shared" si="88"/>
        <v>-1399.6499999999996</v>
      </c>
      <c r="M198" s="3"/>
      <c r="N198" s="7">
        <f t="shared" si="89"/>
        <v>-0.34391800910136316</v>
      </c>
      <c r="O198" s="11"/>
      <c r="P198" s="8">
        <v>2670.07</v>
      </c>
      <c r="Q198" s="3"/>
      <c r="R198" s="7">
        <f t="shared" si="90"/>
        <v>1.1727949452545331E-2</v>
      </c>
      <c r="S198" s="3"/>
      <c r="T198" s="8">
        <v>4069.72</v>
      </c>
      <c r="U198" s="3"/>
      <c r="V198" s="7">
        <f t="shared" si="91"/>
        <v>9.9077006194223955E-3</v>
      </c>
      <c r="W198" s="3"/>
      <c r="X198" s="8">
        <f t="shared" si="92"/>
        <v>-1399.6499999999996</v>
      </c>
      <c r="Y198" s="3"/>
      <c r="Z198" s="7">
        <f t="shared" si="93"/>
        <v>-0.34391800910136316</v>
      </c>
    </row>
    <row r="199" spans="1:26" s="24" customFormat="1" hidden="1" outlineLevel="2" x14ac:dyDescent="0.25">
      <c r="A199" s="29"/>
      <c r="B199" s="11" t="str">
        <f>CONCATENATE("          ", "6286", " - ", "LAUNDRY EXPENSE")</f>
        <v xml:space="preserve">          6286 - LAUNDRY EXPENSE</v>
      </c>
      <c r="C199" s="11"/>
      <c r="D199" s="8"/>
      <c r="E199" s="3"/>
      <c r="F199" s="7">
        <f t="shared" si="86"/>
        <v>0</v>
      </c>
      <c r="G199" s="3"/>
      <c r="H199" s="8">
        <v>590.73</v>
      </c>
      <c r="I199" s="3"/>
      <c r="J199" s="7">
        <f t="shared" si="87"/>
        <v>1.4381274355266191E-3</v>
      </c>
      <c r="K199" s="3"/>
      <c r="L199" s="8">
        <f t="shared" si="88"/>
        <v>-590.73</v>
      </c>
      <c r="M199" s="3"/>
      <c r="N199" s="7">
        <f t="shared" si="89"/>
        <v>-1</v>
      </c>
      <c r="O199" s="11"/>
      <c r="P199" s="8"/>
      <c r="Q199" s="3"/>
      <c r="R199" s="7">
        <f t="shared" si="90"/>
        <v>0</v>
      </c>
      <c r="S199" s="3"/>
      <c r="T199" s="8">
        <v>590.73</v>
      </c>
      <c r="U199" s="3"/>
      <c r="V199" s="7">
        <f t="shared" si="91"/>
        <v>1.4381274355266191E-3</v>
      </c>
      <c r="W199" s="3"/>
      <c r="X199" s="8">
        <f t="shared" si="92"/>
        <v>-590.73</v>
      </c>
      <c r="Y199" s="3"/>
      <c r="Z199" s="7">
        <f t="shared" si="93"/>
        <v>-1</v>
      </c>
    </row>
    <row r="200" spans="1:26" s="27" customFormat="1" outlineLevel="1" collapsed="1" x14ac:dyDescent="0.25">
      <c r="A200" s="28"/>
      <c r="B200" s="14" t="str">
        <f>CONCATENATE("     ","Subscriptions &amp; Dues                              ")</f>
        <v xml:space="preserve">     Subscriptions &amp; Dues                              </v>
      </c>
      <c r="C200" s="14"/>
      <c r="D200" s="1">
        <f>SUM(OSRRefD22_20x_0)</f>
        <v>365</v>
      </c>
      <c r="E200" s="1"/>
      <c r="F200" s="5">
        <f t="shared" ref="F200:F202" si="94">IF(D$12=0,0,D200/D$12)</f>
        <v>1.6032169756519661E-3</v>
      </c>
      <c r="G200" s="1"/>
      <c r="H200" s="1">
        <f>SUM(OSRRefH22_20x_0)</f>
        <v>638.65000000000009</v>
      </c>
      <c r="I200" s="1"/>
      <c r="J200" s="5">
        <f t="shared" ref="J200:J202" si="95">IF(H$12=0,0,H200/H$12)</f>
        <v>1.5547882902494801E-3</v>
      </c>
      <c r="K200" s="1"/>
      <c r="L200" s="1">
        <f t="shared" ref="L200:L202" si="96">+D200-H200</f>
        <v>-273.65000000000009</v>
      </c>
      <c r="M200" s="1"/>
      <c r="N200" s="5">
        <f t="shared" ref="N200:N202" si="97">IF(H200=0,0,L200/H200)</f>
        <v>-0.42848195412197615</v>
      </c>
      <c r="O200" s="14"/>
      <c r="P200" s="1">
        <f>SUM(OSRRefP22_20x_0)</f>
        <v>365</v>
      </c>
      <c r="Q200" s="1"/>
      <c r="R200" s="5">
        <f t="shared" ref="R200:R202" si="98">IF(P$12=0,0,P200/P$12)</f>
        <v>1.6032169756519661E-3</v>
      </c>
      <c r="S200" s="1"/>
      <c r="T200" s="1">
        <f>SUM(OSRRefT22_20x_0)</f>
        <v>638.65000000000009</v>
      </c>
      <c r="U200" s="1"/>
      <c r="V200" s="5">
        <f t="shared" ref="V200:V202" si="99">IF(T$12=0,0,T200/T$12)</f>
        <v>1.5547882902494801E-3</v>
      </c>
      <c r="W200" s="1"/>
      <c r="X200" s="1">
        <f t="shared" ref="X200:X202" si="100">+P200-T200</f>
        <v>-273.65000000000009</v>
      </c>
      <c r="Y200" s="1"/>
      <c r="Z200" s="5">
        <f t="shared" ref="Z200:Z202" si="101">IF(T200=0,0,X200/T200)</f>
        <v>-0.42848195412197615</v>
      </c>
    </row>
    <row r="201" spans="1:26" s="24" customFormat="1" hidden="1" outlineLevel="2" x14ac:dyDescent="0.25">
      <c r="A201" s="29"/>
      <c r="B201" s="11" t="str">
        <f>CONCATENATE("          ", "6258", " - ", "MEMBERSHIP DUES")</f>
        <v xml:space="preserve">          6258 - MEMBERSHIP DUES</v>
      </c>
      <c r="C201" s="11"/>
      <c r="D201" s="8">
        <v>290</v>
      </c>
      <c r="E201" s="3"/>
      <c r="F201" s="7">
        <f t="shared" si="94"/>
        <v>1.2737888299700552E-3</v>
      </c>
      <c r="G201" s="3"/>
      <c r="H201" s="8">
        <v>288.85000000000002</v>
      </c>
      <c r="I201" s="3"/>
      <c r="J201" s="7">
        <f t="shared" si="95"/>
        <v>7.032030026439557E-4</v>
      </c>
      <c r="K201" s="3"/>
      <c r="L201" s="8">
        <f t="shared" si="96"/>
        <v>1.1499999999999773</v>
      </c>
      <c r="M201" s="3"/>
      <c r="N201" s="7">
        <f t="shared" si="97"/>
        <v>3.9813051756966492E-3</v>
      </c>
      <c r="O201" s="11"/>
      <c r="P201" s="8">
        <v>290</v>
      </c>
      <c r="Q201" s="3"/>
      <c r="R201" s="7">
        <f t="shared" si="98"/>
        <v>1.2737888299700552E-3</v>
      </c>
      <c r="S201" s="3"/>
      <c r="T201" s="8">
        <v>288.85000000000002</v>
      </c>
      <c r="U201" s="3"/>
      <c r="V201" s="7">
        <f t="shared" si="99"/>
        <v>7.032030026439557E-4</v>
      </c>
      <c r="W201" s="3"/>
      <c r="X201" s="8">
        <f t="shared" si="100"/>
        <v>1.1499999999999773</v>
      </c>
      <c r="Y201" s="3"/>
      <c r="Z201" s="7">
        <f t="shared" si="101"/>
        <v>3.9813051756966492E-3</v>
      </c>
    </row>
    <row r="202" spans="1:26" s="24" customFormat="1" hidden="1" outlineLevel="2" x14ac:dyDescent="0.25">
      <c r="A202" s="29"/>
      <c r="B202" s="11" t="str">
        <f>CONCATENATE("          ", "6275", " - ", "SUBSCRIPTIONS")</f>
        <v xml:space="preserve">          6275 - SUBSCRIPTIONS</v>
      </c>
      <c r="C202" s="11"/>
      <c r="D202" s="8">
        <v>75</v>
      </c>
      <c r="E202" s="3"/>
      <c r="F202" s="7">
        <f t="shared" si="94"/>
        <v>3.2942814568191086E-4</v>
      </c>
      <c r="G202" s="3"/>
      <c r="H202" s="8">
        <v>349.8</v>
      </c>
      <c r="I202" s="3"/>
      <c r="J202" s="7">
        <f t="shared" si="95"/>
        <v>8.5158528760552433E-4</v>
      </c>
      <c r="K202" s="3"/>
      <c r="L202" s="8">
        <f t="shared" si="96"/>
        <v>-274.8</v>
      </c>
      <c r="M202" s="3"/>
      <c r="N202" s="7">
        <f t="shared" si="97"/>
        <v>-0.78559176672384223</v>
      </c>
      <c r="O202" s="11"/>
      <c r="P202" s="8">
        <v>75</v>
      </c>
      <c r="Q202" s="3"/>
      <c r="R202" s="7">
        <f t="shared" si="98"/>
        <v>3.2942814568191086E-4</v>
      </c>
      <c r="S202" s="3"/>
      <c r="T202" s="8">
        <v>349.8</v>
      </c>
      <c r="U202" s="3"/>
      <c r="V202" s="7">
        <f t="shared" si="99"/>
        <v>8.5158528760552433E-4</v>
      </c>
      <c r="W202" s="3"/>
      <c r="X202" s="8">
        <f t="shared" si="100"/>
        <v>-274.8</v>
      </c>
      <c r="Y202" s="3"/>
      <c r="Z202" s="7">
        <f t="shared" si="101"/>
        <v>-0.78559176672384223</v>
      </c>
    </row>
    <row r="203" spans="1:26" s="27" customFormat="1" outlineLevel="1" collapsed="1" x14ac:dyDescent="0.25">
      <c r="A203" s="28"/>
      <c r="B203" s="14" t="str">
        <f>CONCATENATE("     ","Supplies                                          ")</f>
        <v xml:space="preserve">     Supplies                                          </v>
      </c>
      <c r="C203" s="14"/>
      <c r="D203" s="1">
        <f>SUM(OSRRefD22_21x_0)</f>
        <v>11727.19</v>
      </c>
      <c r="E203" s="1"/>
      <c r="F203" s="5">
        <f t="shared" ref="F203:F210" si="102">IF(D$12=0,0,D203/D$12)</f>
        <v>5.1510219410125978E-2</v>
      </c>
      <c r="G203" s="1"/>
      <c r="H203" s="1">
        <f>SUM(OSRRefH22_21x_0)</f>
        <v>14347.68</v>
      </c>
      <c r="I203" s="1"/>
      <c r="J203" s="5">
        <f t="shared" ref="J203:J210" si="103">IF(H$12=0,0,H203/H$12)</f>
        <v>3.4929311604551254E-2</v>
      </c>
      <c r="K203" s="1"/>
      <c r="L203" s="1">
        <f t="shared" ref="L203:L210" si="104">+D203-H203</f>
        <v>-2620.4899999999998</v>
      </c>
      <c r="M203" s="1"/>
      <c r="N203" s="5">
        <f t="shared" ref="N203:N210" si="105">IF(H203=0,0,L203/H203)</f>
        <v>-0.182642071749579</v>
      </c>
      <c r="O203" s="14"/>
      <c r="P203" s="1">
        <f>SUM(OSRRefP22_21x_0)</f>
        <v>11727.19</v>
      </c>
      <c r="Q203" s="1"/>
      <c r="R203" s="5">
        <f t="shared" ref="R203:R210" si="106">IF(P$12=0,0,P203/P$12)</f>
        <v>5.1510219410125978E-2</v>
      </c>
      <c r="S203" s="1"/>
      <c r="T203" s="1">
        <f>SUM(OSRRefT22_21x_0)</f>
        <v>14347.68</v>
      </c>
      <c r="U203" s="1"/>
      <c r="V203" s="5">
        <f t="shared" ref="V203:V210" si="107">IF(T$12=0,0,T203/T$12)</f>
        <v>3.4929311604551254E-2</v>
      </c>
      <c r="W203" s="1"/>
      <c r="X203" s="1">
        <f t="shared" ref="X203:X210" si="108">+P203-T203</f>
        <v>-2620.4899999999998</v>
      </c>
      <c r="Y203" s="1"/>
      <c r="Z203" s="5">
        <f t="shared" ref="Z203:Z210" si="109">IF(T203=0,0,X203/T203)</f>
        <v>-0.182642071749579</v>
      </c>
    </row>
    <row r="204" spans="1:26" s="24" customFormat="1" hidden="1" outlineLevel="2" x14ac:dyDescent="0.25">
      <c r="A204" s="29"/>
      <c r="B204" s="11" t="str">
        <f>CONCATENATE("          ", "6234", " - ", "EXPENDABLE SUPPLIES &amp; EQUIPMEN")</f>
        <v xml:space="preserve">          6234 - EXPENDABLE SUPPLIES &amp; EQUIPMEN</v>
      </c>
      <c r="C204" s="11"/>
      <c r="D204" s="8"/>
      <c r="E204" s="3"/>
      <c r="F204" s="7">
        <f t="shared" si="102"/>
        <v>0</v>
      </c>
      <c r="G204" s="3"/>
      <c r="H204" s="8">
        <v>702.08</v>
      </c>
      <c r="I204" s="3"/>
      <c r="J204" s="7">
        <f t="shared" si="103"/>
        <v>1.709208115271831E-3</v>
      </c>
      <c r="K204" s="3"/>
      <c r="L204" s="8">
        <f t="shared" si="104"/>
        <v>-702.08</v>
      </c>
      <c r="M204" s="3"/>
      <c r="N204" s="7">
        <f t="shared" si="105"/>
        <v>-1</v>
      </c>
      <c r="O204" s="11"/>
      <c r="P204" s="8"/>
      <c r="Q204" s="3"/>
      <c r="R204" s="7">
        <f t="shared" si="106"/>
        <v>0</v>
      </c>
      <c r="S204" s="3"/>
      <c r="T204" s="8">
        <v>702.08</v>
      </c>
      <c r="U204" s="3"/>
      <c r="V204" s="7">
        <f t="shared" si="107"/>
        <v>1.709208115271831E-3</v>
      </c>
      <c r="W204" s="3"/>
      <c r="X204" s="8">
        <f t="shared" si="108"/>
        <v>-702.08</v>
      </c>
      <c r="Y204" s="3"/>
      <c r="Z204" s="7">
        <f t="shared" si="109"/>
        <v>-1</v>
      </c>
    </row>
    <row r="205" spans="1:26" s="24" customFormat="1" hidden="1" outlineLevel="2" x14ac:dyDescent="0.25">
      <c r="A205" s="29"/>
      <c r="B205" s="11" t="str">
        <f>CONCATENATE("          ", "6235", " - ", "COVID-19 EXPENSES")</f>
        <v xml:space="preserve">          6235 - COVID-19 EXPENSES</v>
      </c>
      <c r="C205" s="11"/>
      <c r="D205" s="8">
        <v>6219.38</v>
      </c>
      <c r="E205" s="3"/>
      <c r="F205" s="7">
        <f t="shared" si="102"/>
        <v>2.7317850942548835E-2</v>
      </c>
      <c r="G205" s="3"/>
      <c r="H205" s="8"/>
      <c r="I205" s="3"/>
      <c r="J205" s="7">
        <f t="shared" si="103"/>
        <v>0</v>
      </c>
      <c r="K205" s="3"/>
      <c r="L205" s="8">
        <f t="shared" si="104"/>
        <v>6219.38</v>
      </c>
      <c r="M205" s="3"/>
      <c r="N205" s="7">
        <f t="shared" si="105"/>
        <v>0</v>
      </c>
      <c r="O205" s="11"/>
      <c r="P205" s="8">
        <v>6219.38</v>
      </c>
      <c r="Q205" s="3"/>
      <c r="R205" s="7">
        <f t="shared" si="106"/>
        <v>2.7317850942548835E-2</v>
      </c>
      <c r="S205" s="3"/>
      <c r="T205" s="8"/>
      <c r="U205" s="3"/>
      <c r="V205" s="7">
        <f t="shared" si="107"/>
        <v>0</v>
      </c>
      <c r="W205" s="3"/>
      <c r="X205" s="8">
        <f t="shared" si="108"/>
        <v>6219.38</v>
      </c>
      <c r="Y205" s="3"/>
      <c r="Z205" s="7">
        <f t="shared" si="109"/>
        <v>0</v>
      </c>
    </row>
    <row r="206" spans="1:26" s="24" customFormat="1" hidden="1" outlineLevel="2" x14ac:dyDescent="0.25">
      <c r="A206" s="29"/>
      <c r="B206" s="11" t="str">
        <f>CONCATENATE("          ", "6237", " - ", "JANITORIAL SUPPLIES")</f>
        <v xml:space="preserve">          6237 - JANITORIAL SUPPLIES</v>
      </c>
      <c r="C206" s="11"/>
      <c r="D206" s="8">
        <v>139.31</v>
      </c>
      <c r="E206" s="3"/>
      <c r="F206" s="7">
        <f t="shared" si="102"/>
        <v>6.1190179966596006E-4</v>
      </c>
      <c r="G206" s="3"/>
      <c r="H206" s="8">
        <v>826.15</v>
      </c>
      <c r="I206" s="3"/>
      <c r="J206" s="7">
        <f t="shared" si="103"/>
        <v>2.0112555327481529E-3</v>
      </c>
      <c r="K206" s="3"/>
      <c r="L206" s="8">
        <f t="shared" si="104"/>
        <v>-686.83999999999992</v>
      </c>
      <c r="M206" s="3"/>
      <c r="N206" s="7">
        <f t="shared" si="105"/>
        <v>-0.83137444773951452</v>
      </c>
      <c r="O206" s="11"/>
      <c r="P206" s="8">
        <v>139.31</v>
      </c>
      <c r="Q206" s="3"/>
      <c r="R206" s="7">
        <f t="shared" si="106"/>
        <v>6.1190179966596006E-4</v>
      </c>
      <c r="S206" s="3"/>
      <c r="T206" s="8">
        <v>826.15</v>
      </c>
      <c r="U206" s="3"/>
      <c r="V206" s="7">
        <f t="shared" si="107"/>
        <v>2.0112555327481529E-3</v>
      </c>
      <c r="W206" s="3"/>
      <c r="X206" s="8">
        <f t="shared" si="108"/>
        <v>-686.83999999999992</v>
      </c>
      <c r="Y206" s="3"/>
      <c r="Z206" s="7">
        <f t="shared" si="109"/>
        <v>-0.83137444773951452</v>
      </c>
    </row>
    <row r="207" spans="1:26" s="24" customFormat="1" hidden="1" outlineLevel="2" x14ac:dyDescent="0.25">
      <c r="A207" s="29"/>
      <c r="B207" s="11" t="str">
        <f>CONCATENATE("          ", "6241", " - ", "OFFICE EXPENSE")</f>
        <v xml:space="preserve">          6241 - OFFICE EXPENSE</v>
      </c>
      <c r="C207" s="11"/>
      <c r="D207" s="8">
        <v>430.41</v>
      </c>
      <c r="E207" s="3"/>
      <c r="F207" s="7">
        <f t="shared" si="102"/>
        <v>1.8905222424393502E-3</v>
      </c>
      <c r="G207" s="3"/>
      <c r="H207" s="8">
        <v>2671.41</v>
      </c>
      <c r="I207" s="3"/>
      <c r="J207" s="7">
        <f t="shared" si="103"/>
        <v>6.5035261668446925E-3</v>
      </c>
      <c r="K207" s="3"/>
      <c r="L207" s="8">
        <f t="shared" si="104"/>
        <v>-2241</v>
      </c>
      <c r="M207" s="3"/>
      <c r="N207" s="7">
        <f t="shared" si="105"/>
        <v>-0.83888283715341339</v>
      </c>
      <c r="O207" s="11"/>
      <c r="P207" s="8">
        <v>430.41</v>
      </c>
      <c r="Q207" s="3"/>
      <c r="R207" s="7">
        <f t="shared" si="106"/>
        <v>1.8905222424393502E-3</v>
      </c>
      <c r="S207" s="3"/>
      <c r="T207" s="8">
        <v>2671.41</v>
      </c>
      <c r="U207" s="3"/>
      <c r="V207" s="7">
        <f t="shared" si="107"/>
        <v>6.5035261668446925E-3</v>
      </c>
      <c r="W207" s="3"/>
      <c r="X207" s="8">
        <f t="shared" si="108"/>
        <v>-2241</v>
      </c>
      <c r="Y207" s="3"/>
      <c r="Z207" s="7">
        <f t="shared" si="109"/>
        <v>-0.83888283715341339</v>
      </c>
    </row>
    <row r="208" spans="1:26" s="24" customFormat="1" hidden="1" outlineLevel="2" x14ac:dyDescent="0.25">
      <c r="A208" s="29"/>
      <c r="B208" s="11" t="str">
        <f>CONCATENATE("          ", "6243", " - ", "PAPER SUPPLIES")</f>
        <v xml:space="preserve">          6243 - PAPER SUPPLIES</v>
      </c>
      <c r="C208" s="11"/>
      <c r="D208" s="8">
        <v>1080</v>
      </c>
      <c r="E208" s="3"/>
      <c r="F208" s="7">
        <f t="shared" si="102"/>
        <v>4.7437652978195161E-3</v>
      </c>
      <c r="G208" s="3"/>
      <c r="H208" s="8">
        <v>1161.3399999999999</v>
      </c>
      <c r="I208" s="3"/>
      <c r="J208" s="7">
        <f t="shared" si="103"/>
        <v>2.8272728928181801E-3</v>
      </c>
      <c r="K208" s="3"/>
      <c r="L208" s="8">
        <f t="shared" si="104"/>
        <v>-81.339999999999918</v>
      </c>
      <c r="M208" s="3"/>
      <c r="N208" s="7">
        <f t="shared" si="105"/>
        <v>-7.0039781631563477E-2</v>
      </c>
      <c r="O208" s="11"/>
      <c r="P208" s="8">
        <v>1080</v>
      </c>
      <c r="Q208" s="3"/>
      <c r="R208" s="7">
        <f t="shared" si="106"/>
        <v>4.7437652978195161E-3</v>
      </c>
      <c r="S208" s="3"/>
      <c r="T208" s="8">
        <v>1161.3399999999999</v>
      </c>
      <c r="U208" s="3"/>
      <c r="V208" s="7">
        <f t="shared" si="107"/>
        <v>2.8272728928181801E-3</v>
      </c>
      <c r="W208" s="3"/>
      <c r="X208" s="8">
        <f t="shared" si="108"/>
        <v>-81.339999999999918</v>
      </c>
      <c r="Y208" s="3"/>
      <c r="Z208" s="7">
        <f t="shared" si="109"/>
        <v>-7.0039781631563477E-2</v>
      </c>
    </row>
    <row r="209" spans="1:26" s="24" customFormat="1" hidden="1" outlineLevel="2" x14ac:dyDescent="0.25">
      <c r="A209" s="29"/>
      <c r="B209" s="11" t="str">
        <f>CONCATENATE("          ", "6245", " - ", "PRINTING")</f>
        <v xml:space="preserve">          6245 - PRINTING</v>
      </c>
      <c r="C209" s="11"/>
      <c r="D209" s="8">
        <v>-1543.5</v>
      </c>
      <c r="E209" s="3"/>
      <c r="F209" s="7">
        <f t="shared" si="102"/>
        <v>-6.7796312381337258E-3</v>
      </c>
      <c r="G209" s="3"/>
      <c r="H209" s="8"/>
      <c r="I209" s="3"/>
      <c r="J209" s="7">
        <f t="shared" si="103"/>
        <v>0</v>
      </c>
      <c r="K209" s="3"/>
      <c r="L209" s="8">
        <f t="shared" si="104"/>
        <v>-1543.5</v>
      </c>
      <c r="M209" s="3"/>
      <c r="N209" s="7">
        <f t="shared" si="105"/>
        <v>0</v>
      </c>
      <c r="O209" s="11"/>
      <c r="P209" s="8">
        <v>-1543.5</v>
      </c>
      <c r="Q209" s="3"/>
      <c r="R209" s="7">
        <f t="shared" si="106"/>
        <v>-6.7796312381337258E-3</v>
      </c>
      <c r="S209" s="3"/>
      <c r="T209" s="8"/>
      <c r="U209" s="3"/>
      <c r="V209" s="7">
        <f t="shared" si="107"/>
        <v>0</v>
      </c>
      <c r="W209" s="3"/>
      <c r="X209" s="8">
        <f t="shared" si="108"/>
        <v>-1543.5</v>
      </c>
      <c r="Y209" s="3"/>
      <c r="Z209" s="7">
        <f t="shared" si="109"/>
        <v>0</v>
      </c>
    </row>
    <row r="210" spans="1:26" s="24" customFormat="1" hidden="1" outlineLevel="2" x14ac:dyDescent="0.25">
      <c r="A210" s="29"/>
      <c r="B210" s="11" t="str">
        <f>CONCATENATE("          ", "6247", " - ", "STORE SUPPLIES")</f>
        <v xml:space="preserve">          6247 - STORE SUPPLIES</v>
      </c>
      <c r="C210" s="11"/>
      <c r="D210" s="8">
        <v>5401.59</v>
      </c>
      <c r="E210" s="3"/>
      <c r="F210" s="7">
        <f t="shared" si="102"/>
        <v>2.372581036578604E-2</v>
      </c>
      <c r="G210" s="3"/>
      <c r="H210" s="8">
        <v>8986.7000000000007</v>
      </c>
      <c r="I210" s="3"/>
      <c r="J210" s="7">
        <f t="shared" si="103"/>
        <v>2.1878048896868396E-2</v>
      </c>
      <c r="K210" s="3"/>
      <c r="L210" s="8">
        <f t="shared" si="104"/>
        <v>-3585.1100000000006</v>
      </c>
      <c r="M210" s="3"/>
      <c r="N210" s="7">
        <f t="shared" si="105"/>
        <v>-0.39893509297072344</v>
      </c>
      <c r="O210" s="11"/>
      <c r="P210" s="8">
        <v>5401.59</v>
      </c>
      <c r="Q210" s="3"/>
      <c r="R210" s="7">
        <f t="shared" si="106"/>
        <v>2.372581036578604E-2</v>
      </c>
      <c r="S210" s="3"/>
      <c r="T210" s="8">
        <v>8986.7000000000007</v>
      </c>
      <c r="U210" s="3"/>
      <c r="V210" s="7">
        <f t="shared" si="107"/>
        <v>2.1878048896868396E-2</v>
      </c>
      <c r="W210" s="3"/>
      <c r="X210" s="8">
        <f t="shared" si="108"/>
        <v>-3585.1100000000006</v>
      </c>
      <c r="Y210" s="3"/>
      <c r="Z210" s="7">
        <f t="shared" si="109"/>
        <v>-0.39893509297072344</v>
      </c>
    </row>
    <row r="211" spans="1:26" s="27" customFormat="1" outlineLevel="1" collapsed="1" x14ac:dyDescent="0.25">
      <c r="A211" s="28"/>
      <c r="B211" s="14" t="str">
        <f>CONCATENATE("     ","Telephone/Data Lines                              ")</f>
        <v xml:space="preserve">     Telephone/Data Lines                              </v>
      </c>
      <c r="C211" s="14"/>
      <c r="D211" s="1">
        <f>SUM(OSRRefD22_22x_0)</f>
        <v>2762.06</v>
      </c>
      <c r="E211" s="1"/>
      <c r="F211" s="5">
        <f t="shared" ref="F211:F213" si="110">IF(D$12=0,0,D211/D$12)</f>
        <v>1.2132004054162383E-2</v>
      </c>
      <c r="G211" s="1"/>
      <c r="H211" s="1">
        <f>SUM(OSRRefH22_22x_0)</f>
        <v>2026.08</v>
      </c>
      <c r="I211" s="1"/>
      <c r="J211" s="5">
        <f t="shared" ref="J211:J213" si="111">IF(H$12=0,0,H211/H$12)</f>
        <v>4.9324754703024597E-3</v>
      </c>
      <c r="K211" s="1"/>
      <c r="L211" s="1">
        <f t="shared" ref="L211:L213" si="112">+D211-H211</f>
        <v>735.98</v>
      </c>
      <c r="M211" s="1"/>
      <c r="N211" s="5">
        <f t="shared" ref="N211:N213" si="113">IF(H211=0,0,L211/H211)</f>
        <v>0.36325317855168604</v>
      </c>
      <c r="O211" s="14"/>
      <c r="P211" s="1">
        <f>SUM(OSRRefP22_22x_0)</f>
        <v>2762.06</v>
      </c>
      <c r="Q211" s="1"/>
      <c r="R211" s="5">
        <f t="shared" ref="R211:R213" si="114">IF(P$12=0,0,P211/P$12)</f>
        <v>1.2132004054162383E-2</v>
      </c>
      <c r="S211" s="1"/>
      <c r="T211" s="1">
        <f>SUM(OSRRefT22_22x_0)</f>
        <v>2026.08</v>
      </c>
      <c r="U211" s="1"/>
      <c r="V211" s="5">
        <f t="shared" ref="V211:V213" si="115">IF(T$12=0,0,T211/T$12)</f>
        <v>4.9324754703024597E-3</v>
      </c>
      <c r="W211" s="1"/>
      <c r="X211" s="1">
        <f t="shared" ref="X211:X213" si="116">+P211-T211</f>
        <v>735.98</v>
      </c>
      <c r="Y211" s="1"/>
      <c r="Z211" s="5">
        <f t="shared" ref="Z211:Z213" si="117">IF(T211=0,0,X211/T211)</f>
        <v>0.36325317855168604</v>
      </c>
    </row>
    <row r="212" spans="1:26" s="24" customFormat="1" hidden="1" outlineLevel="2" x14ac:dyDescent="0.25">
      <c r="A212" s="29"/>
      <c r="B212" s="11" t="str">
        <f>CONCATENATE("          ", "6303", " - ", "DATA PHONE LINES")</f>
        <v xml:space="preserve">          6303 - DATA PHONE LINES</v>
      </c>
      <c r="C212" s="11"/>
      <c r="D212" s="8">
        <v>295</v>
      </c>
      <c r="E212" s="3"/>
      <c r="F212" s="7">
        <f t="shared" si="110"/>
        <v>1.2957507063488494E-3</v>
      </c>
      <c r="G212" s="3"/>
      <c r="H212" s="8">
        <v>295</v>
      </c>
      <c r="I212" s="3"/>
      <c r="J212" s="7">
        <f t="shared" si="111"/>
        <v>7.1817512819791207E-4</v>
      </c>
      <c r="K212" s="3"/>
      <c r="L212" s="8">
        <f t="shared" si="112"/>
        <v>0</v>
      </c>
      <c r="M212" s="3"/>
      <c r="N212" s="7">
        <f t="shared" si="113"/>
        <v>0</v>
      </c>
      <c r="O212" s="11"/>
      <c r="P212" s="8">
        <v>295</v>
      </c>
      <c r="Q212" s="3"/>
      <c r="R212" s="7">
        <f t="shared" si="114"/>
        <v>1.2957507063488494E-3</v>
      </c>
      <c r="S212" s="3"/>
      <c r="T212" s="8">
        <v>295</v>
      </c>
      <c r="U212" s="3"/>
      <c r="V212" s="7">
        <f t="shared" si="115"/>
        <v>7.1817512819791207E-4</v>
      </c>
      <c r="W212" s="3"/>
      <c r="X212" s="8">
        <f t="shared" si="116"/>
        <v>0</v>
      </c>
      <c r="Y212" s="3"/>
      <c r="Z212" s="7">
        <f t="shared" si="117"/>
        <v>0</v>
      </c>
    </row>
    <row r="213" spans="1:26" s="24" customFormat="1" hidden="1" outlineLevel="2" x14ac:dyDescent="0.25">
      <c r="A213" s="29"/>
      <c r="B213" s="11" t="str">
        <f>CONCATENATE("          ", "6309", " - ", "TELEPHONE")</f>
        <v xml:space="preserve">          6309 - TELEPHONE</v>
      </c>
      <c r="C213" s="11"/>
      <c r="D213" s="8">
        <v>2467.06</v>
      </c>
      <c r="E213" s="3"/>
      <c r="F213" s="7">
        <f t="shared" si="110"/>
        <v>1.0836253347813534E-2</v>
      </c>
      <c r="G213" s="3"/>
      <c r="H213" s="8">
        <v>1731.08</v>
      </c>
      <c r="I213" s="3"/>
      <c r="J213" s="7">
        <f t="shared" si="111"/>
        <v>4.2143003421045476E-3</v>
      </c>
      <c r="K213" s="3"/>
      <c r="L213" s="8">
        <f t="shared" si="112"/>
        <v>735.98</v>
      </c>
      <c r="M213" s="3"/>
      <c r="N213" s="7">
        <f t="shared" si="113"/>
        <v>0.4251565496684151</v>
      </c>
      <c r="O213" s="11"/>
      <c r="P213" s="8">
        <v>2467.06</v>
      </c>
      <c r="Q213" s="3"/>
      <c r="R213" s="7">
        <f t="shared" si="114"/>
        <v>1.0836253347813534E-2</v>
      </c>
      <c r="S213" s="3"/>
      <c r="T213" s="8">
        <v>1731.08</v>
      </c>
      <c r="U213" s="3"/>
      <c r="V213" s="7">
        <f t="shared" si="115"/>
        <v>4.2143003421045476E-3</v>
      </c>
      <c r="W213" s="3"/>
      <c r="X213" s="8">
        <f t="shared" si="116"/>
        <v>735.98</v>
      </c>
      <c r="Y213" s="3"/>
      <c r="Z213" s="7">
        <f t="shared" si="117"/>
        <v>0.4251565496684151</v>
      </c>
    </row>
    <row r="214" spans="1:26" s="27" customFormat="1" outlineLevel="1" collapsed="1" x14ac:dyDescent="0.25">
      <c r="A214" s="28"/>
      <c r="B214" s="14" t="str">
        <f>CONCATENATE("     ","Training                                          ")</f>
        <v xml:space="preserve">     Training                                          </v>
      </c>
      <c r="C214" s="14"/>
      <c r="D214" s="1">
        <f>SUM(OSRRefD22_23x_0)</f>
        <v>131.63</v>
      </c>
      <c r="E214" s="1"/>
      <c r="F214" s="5">
        <f t="shared" ref="F214:F219" si="118">IF(D$12=0,0,D214/D$12)</f>
        <v>5.7816835754813238E-4</v>
      </c>
      <c r="G214" s="1"/>
      <c r="H214" s="1">
        <f>SUM(OSRRefH22_23x_0)</f>
        <v>791.67</v>
      </c>
      <c r="I214" s="1"/>
      <c r="J214" s="5">
        <f t="shared" ref="J214:J219" si="119">IF(H$12=0,0,H214/H$12)</f>
        <v>1.9273142499675968E-3</v>
      </c>
      <c r="K214" s="1"/>
      <c r="L214" s="1">
        <f t="shared" ref="L214:L219" si="120">+D214-H214</f>
        <v>-660.04</v>
      </c>
      <c r="M214" s="1"/>
      <c r="N214" s="5">
        <f t="shared" ref="N214:N219" si="121">IF(H214=0,0,L214/H214)</f>
        <v>-0.83373122639483621</v>
      </c>
      <c r="O214" s="14"/>
      <c r="P214" s="1">
        <f>SUM(OSRRefP22_23x_0)</f>
        <v>131.63</v>
      </c>
      <c r="Q214" s="1"/>
      <c r="R214" s="5">
        <f t="shared" ref="R214:R219" si="122">IF(P$12=0,0,P214/P$12)</f>
        <v>5.7816835754813238E-4</v>
      </c>
      <c r="S214" s="1"/>
      <c r="T214" s="1">
        <f>SUM(OSRRefT22_23x_0)</f>
        <v>791.67</v>
      </c>
      <c r="U214" s="1"/>
      <c r="V214" s="5">
        <f t="shared" ref="V214:V219" si="123">IF(T$12=0,0,T214/T$12)</f>
        <v>1.9273142499675968E-3</v>
      </c>
      <c r="W214" s="1"/>
      <c r="X214" s="1">
        <f t="shared" ref="X214:X219" si="124">+P214-T214</f>
        <v>-660.04</v>
      </c>
      <c r="Y214" s="1"/>
      <c r="Z214" s="5">
        <f t="shared" ref="Z214:Z219" si="125">IF(T214=0,0,X214/T214)</f>
        <v>-0.83373122639483621</v>
      </c>
    </row>
    <row r="215" spans="1:26" s="24" customFormat="1" hidden="1" outlineLevel="2" x14ac:dyDescent="0.25">
      <c r="A215" s="29"/>
      <c r="B215" s="11" t="str">
        <f>CONCATENATE("          ", "6376", " - ", "TRAINING")</f>
        <v xml:space="preserve">          6376 - TRAINING</v>
      </c>
      <c r="C215" s="11"/>
      <c r="D215" s="8">
        <v>131.63</v>
      </c>
      <c r="E215" s="3"/>
      <c r="F215" s="7">
        <f t="shared" si="118"/>
        <v>5.7816835754813238E-4</v>
      </c>
      <c r="G215" s="3"/>
      <c r="H215" s="8">
        <v>791.67</v>
      </c>
      <c r="I215" s="3"/>
      <c r="J215" s="7">
        <f t="shared" si="119"/>
        <v>1.9273142499675968E-3</v>
      </c>
      <c r="K215" s="3"/>
      <c r="L215" s="8">
        <f t="shared" si="120"/>
        <v>-660.04</v>
      </c>
      <c r="M215" s="3"/>
      <c r="N215" s="7">
        <f t="shared" si="121"/>
        <v>-0.83373122639483621</v>
      </c>
      <c r="O215" s="11"/>
      <c r="P215" s="8">
        <v>131.63</v>
      </c>
      <c r="Q215" s="3"/>
      <c r="R215" s="7">
        <f t="shared" si="122"/>
        <v>5.7816835754813238E-4</v>
      </c>
      <c r="S215" s="3"/>
      <c r="T215" s="8">
        <v>791.67</v>
      </c>
      <c r="U215" s="3"/>
      <c r="V215" s="7">
        <f t="shared" si="123"/>
        <v>1.9273142499675968E-3</v>
      </c>
      <c r="W215" s="3"/>
      <c r="X215" s="8">
        <f t="shared" si="124"/>
        <v>-660.04</v>
      </c>
      <c r="Y215" s="3"/>
      <c r="Z215" s="7">
        <f t="shared" si="125"/>
        <v>-0.83373122639483621</v>
      </c>
    </row>
    <row r="216" spans="1:26" s="27" customFormat="1" outlineLevel="1" collapsed="1" x14ac:dyDescent="0.25">
      <c r="A216" s="28"/>
      <c r="B216" s="14" t="str">
        <f>CONCATENATE("     ","Travel                                            ")</f>
        <v xml:space="preserve">     Travel                                            </v>
      </c>
      <c r="C216" s="14"/>
      <c r="D216" s="1">
        <f>SUM(OSRRefD22_24x_0)</f>
        <v>275.20999999999998</v>
      </c>
      <c r="E216" s="1"/>
      <c r="F216" s="5">
        <f t="shared" si="118"/>
        <v>1.2088255996415824E-3</v>
      </c>
      <c r="G216" s="1"/>
      <c r="H216" s="1">
        <f>SUM(OSRRefH22_24x_0)</f>
        <v>221.68</v>
      </c>
      <c r="I216" s="1"/>
      <c r="J216" s="5">
        <f t="shared" si="119"/>
        <v>5.3967817769123101E-4</v>
      </c>
      <c r="K216" s="1"/>
      <c r="L216" s="1">
        <f t="shared" si="120"/>
        <v>53.529999999999973</v>
      </c>
      <c r="M216" s="1"/>
      <c r="N216" s="5">
        <f t="shared" si="121"/>
        <v>0.24147419704077938</v>
      </c>
      <c r="O216" s="14"/>
      <c r="P216" s="1">
        <f>SUM(OSRRefP22_24x_0)</f>
        <v>275.20999999999998</v>
      </c>
      <c r="Q216" s="1"/>
      <c r="R216" s="5">
        <f t="shared" si="122"/>
        <v>1.2088255996415824E-3</v>
      </c>
      <c r="S216" s="1"/>
      <c r="T216" s="1">
        <f>SUM(OSRRefT22_24x_0)</f>
        <v>221.68</v>
      </c>
      <c r="U216" s="1"/>
      <c r="V216" s="5">
        <f t="shared" si="123"/>
        <v>5.3967817769123101E-4</v>
      </c>
      <c r="W216" s="1"/>
      <c r="X216" s="1">
        <f t="shared" si="124"/>
        <v>53.529999999999973</v>
      </c>
      <c r="Y216" s="1"/>
      <c r="Z216" s="5">
        <f t="shared" si="125"/>
        <v>0.24147419704077938</v>
      </c>
    </row>
    <row r="217" spans="1:26" s="24" customFormat="1" hidden="1" outlineLevel="2" x14ac:dyDescent="0.25">
      <c r="A217" s="29"/>
      <c r="B217" s="11" t="str">
        <f>CONCATENATE("          ", "6292", " - ", "TRAVEL/CONFERENCE")</f>
        <v xml:space="preserve">          6292 - TRAVEL/CONFERENCE</v>
      </c>
      <c r="C217" s="11"/>
      <c r="D217" s="8">
        <v>0.16</v>
      </c>
      <c r="E217" s="3"/>
      <c r="F217" s="7">
        <f t="shared" si="118"/>
        <v>7.0278004412140989E-7</v>
      </c>
      <c r="G217" s="3"/>
      <c r="H217" s="8">
        <v>150.47999999999999</v>
      </c>
      <c r="I217" s="3"/>
      <c r="J217" s="7">
        <f t="shared" si="119"/>
        <v>3.6634235013973494E-4</v>
      </c>
      <c r="K217" s="3"/>
      <c r="L217" s="8">
        <f t="shared" si="120"/>
        <v>-150.32</v>
      </c>
      <c r="M217" s="3"/>
      <c r="N217" s="7">
        <f t="shared" si="121"/>
        <v>-0.99893673577884101</v>
      </c>
      <c r="O217" s="11"/>
      <c r="P217" s="8">
        <v>0.16</v>
      </c>
      <c r="Q217" s="3"/>
      <c r="R217" s="7">
        <f t="shared" si="122"/>
        <v>7.0278004412140989E-7</v>
      </c>
      <c r="S217" s="3"/>
      <c r="T217" s="8">
        <v>150.47999999999999</v>
      </c>
      <c r="U217" s="3"/>
      <c r="V217" s="7">
        <f t="shared" si="123"/>
        <v>3.6634235013973494E-4</v>
      </c>
      <c r="W217" s="3"/>
      <c r="X217" s="8">
        <f t="shared" si="124"/>
        <v>-150.32</v>
      </c>
      <c r="Y217" s="3"/>
      <c r="Z217" s="7">
        <f t="shared" si="125"/>
        <v>-0.99893673577884101</v>
      </c>
    </row>
    <row r="218" spans="1:26" s="24" customFormat="1" hidden="1" outlineLevel="2" x14ac:dyDescent="0.25">
      <c r="A218" s="29"/>
      <c r="B218" s="11" t="str">
        <f>CONCATENATE("          ", "6294", " - ", "TRAVEL OPERATIONAL")</f>
        <v xml:space="preserve">          6294 - TRAVEL OPERATIONAL</v>
      </c>
      <c r="C218" s="11"/>
      <c r="D218" s="8">
        <v>215.16</v>
      </c>
      <c r="E218" s="3"/>
      <c r="F218" s="7">
        <f t="shared" si="118"/>
        <v>9.4506346433226589E-4</v>
      </c>
      <c r="G218" s="3"/>
      <c r="H218" s="8"/>
      <c r="I218" s="3"/>
      <c r="J218" s="7">
        <f t="shared" si="119"/>
        <v>0</v>
      </c>
      <c r="K218" s="3"/>
      <c r="L218" s="8">
        <f t="shared" si="120"/>
        <v>215.16</v>
      </c>
      <c r="M218" s="3"/>
      <c r="N218" s="7">
        <f t="shared" si="121"/>
        <v>0</v>
      </c>
      <c r="O218" s="11"/>
      <c r="P218" s="8">
        <v>215.16</v>
      </c>
      <c r="Q218" s="3"/>
      <c r="R218" s="7">
        <f t="shared" si="122"/>
        <v>9.4506346433226589E-4</v>
      </c>
      <c r="S218" s="3"/>
      <c r="T218" s="8"/>
      <c r="U218" s="3"/>
      <c r="V218" s="7">
        <f t="shared" si="123"/>
        <v>0</v>
      </c>
      <c r="W218" s="3"/>
      <c r="X218" s="8">
        <f t="shared" si="124"/>
        <v>215.16</v>
      </c>
      <c r="Y218" s="3"/>
      <c r="Z218" s="7">
        <f t="shared" si="125"/>
        <v>0</v>
      </c>
    </row>
    <row r="219" spans="1:26" s="24" customFormat="1" hidden="1" outlineLevel="2" x14ac:dyDescent="0.25">
      <c r="A219" s="29"/>
      <c r="B219" s="11" t="str">
        <f>CONCATENATE("          ", "6298", " - ", "VEHICLE MILEAGE")</f>
        <v xml:space="preserve">          6298 - VEHICLE MILEAGE</v>
      </c>
      <c r="C219" s="11"/>
      <c r="D219" s="8">
        <v>59.89</v>
      </c>
      <c r="E219" s="3"/>
      <c r="F219" s="7">
        <f t="shared" si="118"/>
        <v>2.630593552651952E-4</v>
      </c>
      <c r="G219" s="3"/>
      <c r="H219" s="8">
        <v>71.2</v>
      </c>
      <c r="I219" s="3"/>
      <c r="J219" s="7">
        <f t="shared" si="119"/>
        <v>1.7333582755149607E-4</v>
      </c>
      <c r="K219" s="3"/>
      <c r="L219" s="8">
        <f t="shared" si="120"/>
        <v>-11.310000000000002</v>
      </c>
      <c r="M219" s="3"/>
      <c r="N219" s="7">
        <f t="shared" si="121"/>
        <v>-0.15884831460674159</v>
      </c>
      <c r="O219" s="11"/>
      <c r="P219" s="8">
        <v>59.89</v>
      </c>
      <c r="Q219" s="3"/>
      <c r="R219" s="7">
        <f t="shared" si="122"/>
        <v>2.630593552651952E-4</v>
      </c>
      <c r="S219" s="3"/>
      <c r="T219" s="8">
        <v>71.2</v>
      </c>
      <c r="U219" s="3"/>
      <c r="V219" s="7">
        <f t="shared" si="123"/>
        <v>1.7333582755149607E-4</v>
      </c>
      <c r="W219" s="3"/>
      <c r="X219" s="8">
        <f t="shared" si="124"/>
        <v>-11.310000000000002</v>
      </c>
      <c r="Y219" s="3"/>
      <c r="Z219" s="7">
        <f t="shared" si="125"/>
        <v>-0.15884831460674159</v>
      </c>
    </row>
    <row r="220" spans="1:26" s="27" customFormat="1" outlineLevel="1" collapsed="1" x14ac:dyDescent="0.25">
      <c r="A220" s="28"/>
      <c r="B220" s="14" t="str">
        <f>CONCATENATE("     ","Utilities                                         ")</f>
        <v xml:space="preserve">     Utilities                                         </v>
      </c>
      <c r="C220" s="14"/>
      <c r="D220" s="1">
        <f>SUM(OSRRefD22_25x_0)</f>
        <v>6211.46</v>
      </c>
      <c r="E220" s="1"/>
      <c r="F220" s="5">
        <f t="shared" ref="F220:F221" si="126">IF(D$12=0,0,D220/D$12)</f>
        <v>2.7283063330364826E-2</v>
      </c>
      <c r="G220" s="1"/>
      <c r="H220" s="1">
        <f>SUM(OSRRefH22_25x_0)</f>
        <v>6595</v>
      </c>
      <c r="I220" s="1"/>
      <c r="J220" s="5">
        <f t="shared" ref="J220:J221" si="127">IF(H$12=0,0,H220/H$12)</f>
        <v>1.6055474476153322E-2</v>
      </c>
      <c r="K220" s="1"/>
      <c r="L220" s="1">
        <f t="shared" ref="L220:L221" si="128">+D220-H220</f>
        <v>-383.53999999999996</v>
      </c>
      <c r="M220" s="1"/>
      <c r="N220" s="5">
        <f t="shared" ref="N220:N221" si="129">IF(H220=0,0,L220/H220)</f>
        <v>-5.8156178923426831E-2</v>
      </c>
      <c r="O220" s="14"/>
      <c r="P220" s="1">
        <f>SUM(OSRRefP22_25x_0)</f>
        <v>6211.46</v>
      </c>
      <c r="Q220" s="1"/>
      <c r="R220" s="5">
        <f t="shared" ref="R220:R221" si="130">IF(P$12=0,0,P220/P$12)</f>
        <v>2.7283063330364826E-2</v>
      </c>
      <c r="S220" s="1"/>
      <c r="T220" s="1">
        <f>SUM(OSRRefT22_25x_0)</f>
        <v>6595</v>
      </c>
      <c r="U220" s="1"/>
      <c r="V220" s="5">
        <f t="shared" ref="V220:V221" si="131">IF(T$12=0,0,T220/T$12)</f>
        <v>1.6055474476153322E-2</v>
      </c>
      <c r="W220" s="1"/>
      <c r="X220" s="1">
        <f t="shared" ref="X220:X221" si="132">+P220-T220</f>
        <v>-383.53999999999996</v>
      </c>
      <c r="Y220" s="1"/>
      <c r="Z220" s="5">
        <f t="shared" ref="Z220:Z221" si="133">IF(T220=0,0,X220/T220)</f>
        <v>-5.8156178923426831E-2</v>
      </c>
    </row>
    <row r="221" spans="1:26" s="24" customFormat="1" hidden="1" outlineLevel="2" x14ac:dyDescent="0.25">
      <c r="A221" s="29"/>
      <c r="B221" s="11" t="str">
        <f>CONCATENATE("          ", "6274", " - ", "UTILITIES")</f>
        <v xml:space="preserve">          6274 - UTILITIES</v>
      </c>
      <c r="C221" s="11"/>
      <c r="D221" s="8">
        <v>6211.46</v>
      </c>
      <c r="E221" s="3"/>
      <c r="F221" s="7">
        <f t="shared" si="126"/>
        <v>2.7283063330364826E-2</v>
      </c>
      <c r="G221" s="3"/>
      <c r="H221" s="8">
        <v>6595</v>
      </c>
      <c r="I221" s="3"/>
      <c r="J221" s="7">
        <f t="shared" si="127"/>
        <v>1.6055474476153322E-2</v>
      </c>
      <c r="K221" s="3"/>
      <c r="L221" s="8">
        <f t="shared" si="128"/>
        <v>-383.53999999999996</v>
      </c>
      <c r="M221" s="3"/>
      <c r="N221" s="7">
        <f t="shared" si="129"/>
        <v>-5.8156178923426831E-2</v>
      </c>
      <c r="O221" s="11"/>
      <c r="P221" s="8">
        <v>6211.46</v>
      </c>
      <c r="Q221" s="3"/>
      <c r="R221" s="7">
        <f t="shared" si="130"/>
        <v>2.7283063330364826E-2</v>
      </c>
      <c r="S221" s="3"/>
      <c r="T221" s="8">
        <v>6595</v>
      </c>
      <c r="U221" s="3"/>
      <c r="V221" s="7">
        <f t="shared" si="131"/>
        <v>1.6055474476153322E-2</v>
      </c>
      <c r="W221" s="3"/>
      <c r="X221" s="8">
        <f t="shared" si="132"/>
        <v>-383.53999999999996</v>
      </c>
      <c r="Y221" s="3"/>
      <c r="Z221" s="7">
        <f t="shared" si="133"/>
        <v>-5.8156178923426831E-2</v>
      </c>
    </row>
    <row r="222" spans="1:26" s="61" customFormat="1" x14ac:dyDescent="0.25">
      <c r="A222" s="37"/>
      <c r="B222" s="37"/>
      <c r="C222" s="37"/>
      <c r="D222" s="1"/>
      <c r="E222" s="1"/>
      <c r="F222" s="5"/>
      <c r="G222" s="1"/>
      <c r="H222" s="1"/>
      <c r="I222" s="1"/>
      <c r="J222" s="5"/>
      <c r="K222" s="1"/>
      <c r="L222" s="1"/>
      <c r="M222" s="1"/>
      <c r="N222" s="5"/>
      <c r="O222" s="37"/>
      <c r="P222" s="1"/>
      <c r="Q222" s="1"/>
      <c r="R222" s="5"/>
      <c r="S222" s="1"/>
      <c r="T222" s="1"/>
      <c r="U222" s="1"/>
      <c r="V222" s="5"/>
      <c r="W222" s="1"/>
      <c r="X222" s="1"/>
      <c r="Y222" s="1"/>
      <c r="Z222" s="5"/>
    </row>
    <row r="223" spans="1:26" s="23" customFormat="1" collapsed="1" x14ac:dyDescent="0.25">
      <c r="A223" s="10"/>
      <c r="B223" s="25" t="s">
        <v>0</v>
      </c>
      <c r="C223" s="10"/>
      <c r="D223" s="4">
        <f>SUM(OSRRefD25x_0)</f>
        <v>197872.55</v>
      </c>
      <c r="E223" s="4"/>
      <c r="F223" s="12">
        <f t="shared" ref="F223:F229" si="134">IF(D$12=0,0,D223/D$12)</f>
        <v>0.86913049637134909</v>
      </c>
      <c r="G223" s="4"/>
      <c r="H223" s="4">
        <f>SUM(OSRRefH25x_0)</f>
        <v>70867.109999999986</v>
      </c>
      <c r="I223" s="4"/>
      <c r="J223" s="12">
        <f t="shared" ref="J223:J229" si="135">IF(H$12=0,0,H223/H$12)</f>
        <v>0.17252540952293399</v>
      </c>
      <c r="K223" s="4"/>
      <c r="L223" s="4">
        <f t="shared" ref="L223:L229" si="136">+D223-H223</f>
        <v>127005.44</v>
      </c>
      <c r="M223" s="4"/>
      <c r="N223" s="12">
        <f t="shared" ref="N223:N229" si="137">IF(H223=0,0,L223/H223)</f>
        <v>1.7921633886297892</v>
      </c>
      <c r="O223" s="10"/>
      <c r="P223" s="4">
        <f>SUM(OSRRefP25x_0)</f>
        <v>197872.55</v>
      </c>
      <c r="Q223" s="4"/>
      <c r="R223" s="12">
        <f t="shared" ref="R223:R229" si="138">IF(P$12=0,0,P223/P$12)</f>
        <v>0.86913049637134909</v>
      </c>
      <c r="S223" s="4"/>
      <c r="T223" s="4">
        <f>SUM(OSRRefT25x_0)</f>
        <v>70867.109999999986</v>
      </c>
      <c r="U223" s="4"/>
      <c r="V223" s="12">
        <f t="shared" ref="V223:V229" si="139">IF(T$12=0,0,T223/T$12)</f>
        <v>0.17252540952293399</v>
      </c>
      <c r="W223" s="4"/>
      <c r="X223" s="4">
        <f t="shared" ref="X223:X229" si="140">+P223-T223</f>
        <v>127005.44</v>
      </c>
      <c r="Y223" s="4"/>
      <c r="Z223" s="12">
        <f t="shared" ref="Z223:Z229" si="141">IF(T223=0,0,X223/T223)</f>
        <v>1.7921633886297892</v>
      </c>
    </row>
    <row r="224" spans="1:26" s="24" customFormat="1" hidden="1" outlineLevel="1" x14ac:dyDescent="0.25">
      <c r="A224" s="50"/>
      <c r="B224" s="11" t="str">
        <f>CONCATENATE("          ", "4098", " - ", "TAXABLE SALES-GRAD RENTALS")</f>
        <v xml:space="preserve">          4098 - TAXABLE SALES-GRAD RENTALS</v>
      </c>
      <c r="C224" s="11"/>
      <c r="D224" s="3">
        <f t="shared" ref="D224:D225" si="142">0</f>
        <v>0</v>
      </c>
      <c r="E224" s="3"/>
      <c r="F224" s="22">
        <f t="shared" si="134"/>
        <v>0</v>
      </c>
      <c r="G224" s="3"/>
      <c r="H224" s="3">
        <f>--74.7</f>
        <v>74.7</v>
      </c>
      <c r="I224" s="3"/>
      <c r="J224" s="22">
        <f t="shared" si="135"/>
        <v>1.818565494114713E-4</v>
      </c>
      <c r="K224" s="3"/>
      <c r="L224" s="3">
        <f t="shared" si="136"/>
        <v>-74.7</v>
      </c>
      <c r="M224" s="3"/>
      <c r="N224" s="22">
        <f t="shared" si="137"/>
        <v>-1</v>
      </c>
      <c r="O224" s="11"/>
      <c r="P224" s="3">
        <f t="shared" ref="P224:P225" si="143">0</f>
        <v>0</v>
      </c>
      <c r="Q224" s="3"/>
      <c r="R224" s="22">
        <f t="shared" si="138"/>
        <v>0</v>
      </c>
      <c r="S224" s="3"/>
      <c r="T224" s="3">
        <f>--74.7</f>
        <v>74.7</v>
      </c>
      <c r="U224" s="3"/>
      <c r="V224" s="22">
        <f t="shared" si="139"/>
        <v>1.818565494114713E-4</v>
      </c>
      <c r="W224" s="3"/>
      <c r="X224" s="3">
        <f t="shared" si="140"/>
        <v>-74.7</v>
      </c>
      <c r="Y224" s="3"/>
      <c r="Z224" s="22">
        <f t="shared" si="141"/>
        <v>-1</v>
      </c>
    </row>
    <row r="225" spans="1:26" s="24" customFormat="1" hidden="1" outlineLevel="1" x14ac:dyDescent="0.25">
      <c r="A225" s="50"/>
      <c r="B225" s="11" t="str">
        <f>CONCATENATE("          ", "4198", " - ", "NON-TAXABLE SALES-GRAD RENTALS")</f>
        <v xml:space="preserve">          4198 - NON-TAXABLE SALES-GRAD RENTALS</v>
      </c>
      <c r="C225" s="11"/>
      <c r="D225" s="3">
        <f t="shared" si="142"/>
        <v>0</v>
      </c>
      <c r="E225" s="3"/>
      <c r="F225" s="22">
        <f t="shared" si="134"/>
        <v>0</v>
      </c>
      <c r="G225" s="3"/>
      <c r="H225" s="3">
        <f>--255</f>
        <v>255</v>
      </c>
      <c r="I225" s="3"/>
      <c r="J225" s="22">
        <f t="shared" si="135"/>
        <v>6.2079544979819527E-4</v>
      </c>
      <c r="K225" s="3"/>
      <c r="L225" s="3">
        <f t="shared" si="136"/>
        <v>-255</v>
      </c>
      <c r="M225" s="3"/>
      <c r="N225" s="22">
        <f t="shared" si="137"/>
        <v>-1</v>
      </c>
      <c r="O225" s="11"/>
      <c r="P225" s="3">
        <f t="shared" si="143"/>
        <v>0</v>
      </c>
      <c r="Q225" s="3"/>
      <c r="R225" s="22">
        <f t="shared" si="138"/>
        <v>0</v>
      </c>
      <c r="S225" s="3"/>
      <c r="T225" s="3">
        <f>--255</f>
        <v>255</v>
      </c>
      <c r="U225" s="3"/>
      <c r="V225" s="22">
        <f t="shared" si="139"/>
        <v>6.2079544979819527E-4</v>
      </c>
      <c r="W225" s="3"/>
      <c r="X225" s="3">
        <f t="shared" si="140"/>
        <v>-255</v>
      </c>
      <c r="Y225" s="3"/>
      <c r="Z225" s="22">
        <f t="shared" si="141"/>
        <v>-1</v>
      </c>
    </row>
    <row r="226" spans="1:26" s="24" customFormat="1" hidden="1" outlineLevel="1" x14ac:dyDescent="0.25">
      <c r="A226" s="50"/>
      <c r="B226" s="11" t="str">
        <f>CONCATENATE("          ", "9150", " - ", "MISC. INCOME")</f>
        <v xml:space="preserve">          9150 - MISC. INCOME</v>
      </c>
      <c r="C226" s="11"/>
      <c r="D226" s="3">
        <f>--35734.26</f>
        <v>35734.26</v>
      </c>
      <c r="E226" s="3"/>
      <c r="F226" s="22">
        <f t="shared" si="134"/>
        <v>0.15695828012153706</v>
      </c>
      <c r="G226" s="3"/>
      <c r="H226" s="3">
        <f>--70631.9</f>
        <v>70631.899999999994</v>
      </c>
      <c r="I226" s="3"/>
      <c r="J226" s="22">
        <f t="shared" si="135"/>
        <v>0.17195279266902408</v>
      </c>
      <c r="K226" s="3"/>
      <c r="L226" s="3">
        <f t="shared" si="136"/>
        <v>-34897.639999999992</v>
      </c>
      <c r="M226" s="3"/>
      <c r="N226" s="22">
        <f t="shared" si="137"/>
        <v>-0.4940776051614072</v>
      </c>
      <c r="O226" s="11"/>
      <c r="P226" s="3">
        <f>--35734.26</f>
        <v>35734.26</v>
      </c>
      <c r="Q226" s="3"/>
      <c r="R226" s="22">
        <f t="shared" si="138"/>
        <v>0.15695828012153706</v>
      </c>
      <c r="S226" s="3"/>
      <c r="T226" s="3">
        <f>--70631.9</f>
        <v>70631.899999999994</v>
      </c>
      <c r="U226" s="3"/>
      <c r="V226" s="22">
        <f t="shared" si="139"/>
        <v>0.17195279266902408</v>
      </c>
      <c r="W226" s="3"/>
      <c r="X226" s="3">
        <f t="shared" si="140"/>
        <v>-34897.639999999992</v>
      </c>
      <c r="Y226" s="3"/>
      <c r="Z226" s="22">
        <f t="shared" si="141"/>
        <v>-0.4940776051614072</v>
      </c>
    </row>
    <row r="227" spans="1:26" s="24" customFormat="1" hidden="1" outlineLevel="1" x14ac:dyDescent="0.25">
      <c r="A227" s="50"/>
      <c r="B227" s="11" t="str">
        <f>CONCATENATE("          ", "9151", " - ", "MISC. INCOME")</f>
        <v xml:space="preserve">          9151 - MISC. INCOME</v>
      </c>
      <c r="C227" s="11"/>
      <c r="D227" s="3">
        <f>0</f>
        <v>0</v>
      </c>
      <c r="E227" s="3"/>
      <c r="F227" s="22">
        <f t="shared" si="134"/>
        <v>0</v>
      </c>
      <c r="G227" s="3"/>
      <c r="H227" s="3">
        <f>-94.49</f>
        <v>-94.49</v>
      </c>
      <c r="I227" s="3"/>
      <c r="J227" s="22">
        <f t="shared" si="135"/>
        <v>-2.3003514529973122E-4</v>
      </c>
      <c r="K227" s="3"/>
      <c r="L227" s="3">
        <f t="shared" si="136"/>
        <v>94.49</v>
      </c>
      <c r="M227" s="3"/>
      <c r="N227" s="22">
        <f t="shared" si="137"/>
        <v>-1</v>
      </c>
      <c r="O227" s="11"/>
      <c r="P227" s="3">
        <f>0</f>
        <v>0</v>
      </c>
      <c r="Q227" s="3"/>
      <c r="R227" s="22">
        <f t="shared" si="138"/>
        <v>0</v>
      </c>
      <c r="S227" s="3"/>
      <c r="T227" s="3">
        <f>-94.49</f>
        <v>-94.49</v>
      </c>
      <c r="U227" s="3"/>
      <c r="V227" s="22">
        <f t="shared" si="139"/>
        <v>-2.3003514529973122E-4</v>
      </c>
      <c r="W227" s="3"/>
      <c r="X227" s="3">
        <f t="shared" si="140"/>
        <v>94.49</v>
      </c>
      <c r="Y227" s="3"/>
      <c r="Z227" s="22">
        <f t="shared" si="141"/>
        <v>-1</v>
      </c>
    </row>
    <row r="228" spans="1:26" s="24" customFormat="1" hidden="1" outlineLevel="1" x14ac:dyDescent="0.25">
      <c r="A228" s="50"/>
      <c r="B228" s="11" t="str">
        <f>CONCATENATE("          ", "9152", " - ", "MISC. INCOME")</f>
        <v xml:space="preserve">          9152 - MISC. INCOME</v>
      </c>
      <c r="C228" s="11"/>
      <c r="D228" s="3">
        <f>--1474.39</f>
        <v>1474.39</v>
      </c>
      <c r="E228" s="3"/>
      <c r="F228" s="22">
        <f t="shared" si="134"/>
        <v>6.4760741828260348E-3</v>
      </c>
      <c r="G228" s="3"/>
      <c r="H228" s="3">
        <f t="shared" ref="H228:H229" si="144">0</f>
        <v>0</v>
      </c>
      <c r="I228" s="3"/>
      <c r="J228" s="22">
        <f t="shared" si="135"/>
        <v>0</v>
      </c>
      <c r="K228" s="3"/>
      <c r="L228" s="3">
        <f t="shared" si="136"/>
        <v>1474.39</v>
      </c>
      <c r="M228" s="3"/>
      <c r="N228" s="22">
        <f t="shared" si="137"/>
        <v>0</v>
      </c>
      <c r="O228" s="11"/>
      <c r="P228" s="3">
        <f>--1474.39</f>
        <v>1474.39</v>
      </c>
      <c r="Q228" s="3"/>
      <c r="R228" s="22">
        <f t="shared" si="138"/>
        <v>6.4760741828260348E-3</v>
      </c>
      <c r="S228" s="3"/>
      <c r="T228" s="3">
        <f t="shared" ref="T228:T229" si="145">0</f>
        <v>0</v>
      </c>
      <c r="U228" s="3"/>
      <c r="V228" s="22">
        <f t="shared" si="139"/>
        <v>0</v>
      </c>
      <c r="W228" s="3"/>
      <c r="X228" s="3">
        <f t="shared" si="140"/>
        <v>1474.39</v>
      </c>
      <c r="Y228" s="3"/>
      <c r="Z228" s="22">
        <f t="shared" si="141"/>
        <v>0</v>
      </c>
    </row>
    <row r="229" spans="1:26" s="24" customFormat="1" hidden="1" outlineLevel="1" x14ac:dyDescent="0.25">
      <c r="A229" s="50"/>
      <c r="B229" s="11" t="str">
        <f>CONCATENATE("          ", "9163", " - ", "MISC. INCOME")</f>
        <v xml:space="preserve">          9163 - MISC. INCOME</v>
      </c>
      <c r="C229" s="11"/>
      <c r="D229" s="3">
        <f>--160663.9</f>
        <v>160663.9</v>
      </c>
      <c r="E229" s="3"/>
      <c r="F229" s="22">
        <f t="shared" si="134"/>
        <v>0.70569614206698605</v>
      </c>
      <c r="G229" s="3"/>
      <c r="H229" s="3">
        <f t="shared" si="144"/>
        <v>0</v>
      </c>
      <c r="I229" s="3"/>
      <c r="J229" s="22">
        <f t="shared" si="135"/>
        <v>0</v>
      </c>
      <c r="K229" s="3"/>
      <c r="L229" s="3">
        <f t="shared" si="136"/>
        <v>160663.9</v>
      </c>
      <c r="M229" s="3"/>
      <c r="N229" s="22">
        <f t="shared" si="137"/>
        <v>0</v>
      </c>
      <c r="O229" s="11"/>
      <c r="P229" s="3">
        <f>--160663.9</f>
        <v>160663.9</v>
      </c>
      <c r="Q229" s="3"/>
      <c r="R229" s="22">
        <f t="shared" si="138"/>
        <v>0.70569614206698605</v>
      </c>
      <c r="S229" s="3"/>
      <c r="T229" s="3">
        <f t="shared" si="145"/>
        <v>0</v>
      </c>
      <c r="U229" s="3"/>
      <c r="V229" s="22">
        <f t="shared" si="139"/>
        <v>0</v>
      </c>
      <c r="W229" s="3"/>
      <c r="X229" s="3">
        <f t="shared" si="140"/>
        <v>160663.9</v>
      </c>
      <c r="Y229" s="3"/>
      <c r="Z229" s="22">
        <f t="shared" si="141"/>
        <v>0</v>
      </c>
    </row>
    <row r="230" spans="1:26" x14ac:dyDescent="0.25">
      <c r="A230" s="9"/>
      <c r="B230" s="10"/>
      <c r="C230" s="10"/>
      <c r="D230" s="2"/>
      <c r="E230" s="2"/>
      <c r="F230" s="6"/>
      <c r="G230" s="2"/>
      <c r="H230" s="2"/>
      <c r="I230" s="2"/>
      <c r="J230" s="6"/>
      <c r="K230" s="2"/>
      <c r="L230" s="2"/>
      <c r="M230" s="2"/>
      <c r="N230" s="6"/>
      <c r="O230" s="10"/>
      <c r="P230" s="2"/>
      <c r="Q230" s="2"/>
      <c r="R230" s="6"/>
      <c r="S230" s="2"/>
      <c r="T230" s="2"/>
      <c r="U230" s="2"/>
      <c r="V230" s="6"/>
      <c r="W230" s="2"/>
      <c r="X230" s="2"/>
      <c r="Y230" s="2"/>
      <c r="Z230" s="6"/>
    </row>
    <row r="231" spans="1:26" s="23" customFormat="1" x14ac:dyDescent="0.25">
      <c r="A231" s="10"/>
      <c r="B231" s="26" t="s">
        <v>3</v>
      </c>
      <c r="C231" s="26"/>
      <c r="D231" s="19">
        <f>+D131-D133+D223</f>
        <v>-69504.480000000098</v>
      </c>
      <c r="E231" s="13"/>
      <c r="F231" s="20">
        <f>IF(D$12=0,0,D231/D$12)</f>
        <v>-0.30528975950647325</v>
      </c>
      <c r="G231" s="13"/>
      <c r="H231" s="19">
        <f>+H131-H133+H223</f>
        <v>-178047.28999999978</v>
      </c>
      <c r="I231" s="13"/>
      <c r="J231" s="20">
        <f>IF(H$12=0,0,H231/H$12)</f>
        <v>-0.43345469600352771</v>
      </c>
      <c r="K231" s="16"/>
      <c r="L231" s="19">
        <f>+D231-H231</f>
        <v>108542.80999999968</v>
      </c>
      <c r="M231" s="16"/>
      <c r="N231" s="20">
        <f>IF(H231=0,0,L231/H231)</f>
        <v>-0.60962910471706599</v>
      </c>
      <c r="O231" s="25"/>
      <c r="P231" s="19">
        <f>+P131-P133+P223</f>
        <v>-69504.480000000098</v>
      </c>
      <c r="Q231" s="13"/>
      <c r="R231" s="20">
        <f>IF(P$12=0,0,P231/P$12)</f>
        <v>-0.30528975950647325</v>
      </c>
      <c r="S231" s="13"/>
      <c r="T231" s="19">
        <f>+T131-T133+T223</f>
        <v>-178047.28999999978</v>
      </c>
      <c r="U231" s="13"/>
      <c r="V231" s="20">
        <f>IF(T$12=0,0,T231/T$12)</f>
        <v>-0.43345469600352771</v>
      </c>
      <c r="W231" s="16"/>
      <c r="X231" s="19">
        <f>+P231-T231</f>
        <v>108542.80999999968</v>
      </c>
      <c r="Y231" s="16"/>
      <c r="Z231" s="20">
        <f>IF(T231=0,0,X231/T231)</f>
        <v>-0.60962910471706599</v>
      </c>
    </row>
    <row r="232" spans="1:26" x14ac:dyDescent="0.25">
      <c r="A232" s="9"/>
      <c r="B232" s="10"/>
      <c r="C232" s="9"/>
      <c r="D232" s="2"/>
      <c r="E232" s="2"/>
      <c r="F232" s="6"/>
      <c r="G232" s="2"/>
      <c r="H232" s="2"/>
      <c r="I232" s="2"/>
      <c r="J232" s="6"/>
      <c r="K232" s="2"/>
      <c r="L232" s="2"/>
      <c r="M232" s="2"/>
      <c r="N232" s="6"/>
      <c r="P232" s="2"/>
      <c r="Q232" s="2"/>
      <c r="R232" s="6"/>
      <c r="S232" s="2"/>
      <c r="T232" s="2"/>
      <c r="U232" s="2"/>
      <c r="V232" s="6"/>
      <c r="W232" s="2"/>
      <c r="X232" s="2"/>
      <c r="Y232" s="2"/>
      <c r="Z232" s="6"/>
    </row>
    <row r="233" spans="1:26" s="23" customFormat="1" x14ac:dyDescent="0.25">
      <c r="A233" s="51"/>
      <c r="B233" s="10" t="s">
        <v>13</v>
      </c>
      <c r="C233" s="10"/>
      <c r="D233" s="4">
        <v>114653.25</v>
      </c>
      <c r="E233" s="4"/>
      <c r="F233" s="12">
        <f>IF(D$12=0,0,D233/D$12)</f>
        <v>0.50360010058539395</v>
      </c>
      <c r="G233" s="4"/>
      <c r="H233" s="4">
        <v>85409.799999999988</v>
      </c>
      <c r="I233" s="4"/>
      <c r="J233" s="12">
        <f>IF(H$12=0,0,H233/H$12)</f>
        <v>0.20792947140460347</v>
      </c>
      <c r="K233" s="4"/>
      <c r="L233" s="4">
        <f>+D233-H233</f>
        <v>29243.450000000012</v>
      </c>
      <c r="M233" s="4"/>
      <c r="N233" s="12">
        <f>IF(H233=0,0,L233/H233)</f>
        <v>0.34238986626827383</v>
      </c>
      <c r="O233" s="10"/>
      <c r="P233" s="4">
        <v>114653.25</v>
      </c>
      <c r="Q233" s="4"/>
      <c r="R233" s="12">
        <f>IF(P$12=0,0,P233/P$12)</f>
        <v>0.50360010058539395</v>
      </c>
      <c r="S233" s="4"/>
      <c r="T233" s="4">
        <v>85409.799999999988</v>
      </c>
      <c r="U233" s="4"/>
      <c r="V233" s="12">
        <f>IF(T$12=0,0,T233/T$12)</f>
        <v>0.20792947140460347</v>
      </c>
      <c r="W233" s="4"/>
      <c r="X233" s="4">
        <f>+P233-T233</f>
        <v>29243.450000000012</v>
      </c>
      <c r="Y233" s="4"/>
      <c r="Z233" s="12">
        <f>IF(T233=0,0,X233/T233)</f>
        <v>0.34238986626827383</v>
      </c>
    </row>
    <row r="234" spans="1:26" x14ac:dyDescent="0.25">
      <c r="A234" s="9"/>
      <c r="B234" s="10"/>
      <c r="C234" s="10"/>
      <c r="D234" s="2"/>
      <c r="E234" s="2"/>
      <c r="F234" s="6"/>
      <c r="G234" s="2"/>
      <c r="H234" s="2"/>
      <c r="I234" s="2"/>
      <c r="J234" s="6"/>
      <c r="K234" s="2"/>
      <c r="L234" s="2"/>
      <c r="M234" s="2"/>
      <c r="N234" s="6"/>
      <c r="O234" s="10"/>
      <c r="P234" s="2"/>
      <c r="Q234" s="2"/>
      <c r="R234" s="6"/>
      <c r="S234" s="2"/>
      <c r="T234" s="2"/>
      <c r="U234" s="2"/>
      <c r="V234" s="6"/>
      <c r="W234" s="2"/>
      <c r="X234" s="2"/>
      <c r="Y234" s="2"/>
      <c r="Z234" s="6"/>
    </row>
    <row r="235" spans="1:26" s="23" customFormat="1" ht="15.75" thickBot="1" x14ac:dyDescent="0.3">
      <c r="A235" s="10"/>
      <c r="B235" s="26" t="s">
        <v>4</v>
      </c>
      <c r="C235" s="26"/>
      <c r="D235" s="35">
        <f>+D231-D233</f>
        <v>-184157.7300000001</v>
      </c>
      <c r="E235" s="13"/>
      <c r="F235" s="30">
        <f>IF(D$12=0,0,D235/D$12)</f>
        <v>-0.80888986009186714</v>
      </c>
      <c r="G235" s="13"/>
      <c r="H235" s="35">
        <f>+H231-H233</f>
        <v>-263457.08999999973</v>
      </c>
      <c r="I235" s="13"/>
      <c r="J235" s="30">
        <f>IF(H$12=0,0,H235/H$12)</f>
        <v>-0.64138416740813109</v>
      </c>
      <c r="K235" s="16"/>
      <c r="L235" s="35">
        <f>D235-H235</f>
        <v>79299.359999999637</v>
      </c>
      <c r="M235" s="16"/>
      <c r="N235" s="30">
        <f>IF(H235=0,0,L235/H235)</f>
        <v>-0.30099535374052644</v>
      </c>
      <c r="O235" s="25"/>
      <c r="P235" s="35">
        <f>+P231-P233</f>
        <v>-184157.7300000001</v>
      </c>
      <c r="Q235" s="13"/>
      <c r="R235" s="30">
        <f>IF(P$12=0,0,P235/P$12)</f>
        <v>-0.80888986009186714</v>
      </c>
      <c r="S235" s="13"/>
      <c r="T235" s="35">
        <f>+T231-T233</f>
        <v>-263457.08999999973</v>
      </c>
      <c r="U235" s="13"/>
      <c r="V235" s="30">
        <f>IF(T$12=0,0,T235/T$12)</f>
        <v>-0.64138416740813109</v>
      </c>
      <c r="W235" s="16"/>
      <c r="X235" s="35">
        <f>P235-T235</f>
        <v>79299.359999999637</v>
      </c>
      <c r="Y235" s="16"/>
      <c r="Z235" s="30">
        <f>IF(T235=0,0,X235/T235)</f>
        <v>-0.30099535374052644</v>
      </c>
    </row>
    <row r="236" spans="1:26" ht="15.75" thickTop="1" x14ac:dyDescent="0.25">
      <c r="A236" s="9"/>
      <c r="B236" s="9"/>
      <c r="C236" s="9"/>
      <c r="D236" s="2"/>
      <c r="E236" s="2"/>
      <c r="F236" s="6"/>
      <c r="G236" s="2"/>
      <c r="H236" s="2"/>
      <c r="I236" s="2"/>
      <c r="J236" s="6"/>
      <c r="K236" s="2"/>
      <c r="L236" s="2"/>
      <c r="M236" s="2"/>
      <c r="N236" s="6"/>
      <c r="P236" s="2"/>
      <c r="Q236" s="2"/>
      <c r="R236" s="6"/>
      <c r="S236" s="2"/>
      <c r="T236" s="2"/>
      <c r="U236" s="2"/>
      <c r="V236" s="6"/>
      <c r="W236" s="2"/>
      <c r="X236" s="2"/>
      <c r="Y236" s="2"/>
      <c r="Z236" s="6"/>
    </row>
    <row r="237" spans="1:26" x14ac:dyDescent="0.25">
      <c r="A237" s="9"/>
      <c r="B237" s="9"/>
      <c r="C237" s="9"/>
      <c r="D237" s="2"/>
      <c r="E237" s="2"/>
      <c r="F237" s="6"/>
      <c r="G237" s="2"/>
      <c r="H237" s="2"/>
      <c r="I237" s="2"/>
      <c r="J237" s="6"/>
      <c r="K237" s="2"/>
      <c r="L237" s="2"/>
      <c r="M237" s="2"/>
      <c r="N237" s="6"/>
      <c r="P237" s="2"/>
      <c r="Q237" s="2"/>
      <c r="R237" s="6"/>
      <c r="S237" s="2"/>
      <c r="T237" s="2"/>
      <c r="U237" s="2"/>
      <c r="V237" s="6"/>
      <c r="W237" s="2"/>
      <c r="X237" s="2"/>
      <c r="Y237" s="2"/>
      <c r="Z237" s="6"/>
    </row>
    <row r="238" spans="1:26" s="23" customFormat="1" ht="15.75" thickBot="1" x14ac:dyDescent="0.3">
      <c r="A238" s="10"/>
      <c r="B238" s="26" t="s">
        <v>5</v>
      </c>
      <c r="C238" s="26"/>
      <c r="D238" s="31">
        <f>SUM(D235:D237)</f>
        <v>-184157.7300000001</v>
      </c>
      <c r="E238" s="13"/>
      <c r="F238" s="32">
        <f>IF(D$12=0,0,D238/D$12)</f>
        <v>-0.80888986009186714</v>
      </c>
      <c r="G238" s="13"/>
      <c r="H238" s="31">
        <f>SUM(H235:H237)</f>
        <v>-263457.08999999973</v>
      </c>
      <c r="I238" s="13"/>
      <c r="J238" s="32">
        <f>IF(H$12=0,0,H238/H$12)</f>
        <v>-0.64138416740813109</v>
      </c>
      <c r="K238" s="16"/>
      <c r="L238" s="31">
        <f>+D238-H238</f>
        <v>79299.359999999637</v>
      </c>
      <c r="M238" s="16"/>
      <c r="N238" s="32">
        <f>IF(H238=0,0,L238/H238)</f>
        <v>-0.30099535374052644</v>
      </c>
      <c r="O238" s="25"/>
      <c r="P238" s="31">
        <f>SUM(P235:P237)</f>
        <v>-184157.7300000001</v>
      </c>
      <c r="Q238" s="13"/>
      <c r="R238" s="32">
        <f>IF(P$12=0,0,P238/P$12)</f>
        <v>-0.80888986009186714</v>
      </c>
      <c r="S238" s="13"/>
      <c r="T238" s="31">
        <f>SUM(T235:T237)</f>
        <v>-263457.08999999973</v>
      </c>
      <c r="U238" s="13"/>
      <c r="V238" s="32">
        <f>IF(T$12=0,0,T238/T$12)</f>
        <v>-0.64138416740813109</v>
      </c>
      <c r="W238" s="16"/>
      <c r="X238" s="31">
        <f>+P238-T238</f>
        <v>79299.359999999637</v>
      </c>
      <c r="Y238" s="16"/>
      <c r="Z238" s="32">
        <f>IF(T238=0,0,X238/T238)</f>
        <v>-0.30099535374052644</v>
      </c>
    </row>
    <row r="239" spans="1:26" ht="15.75" thickTop="1" x14ac:dyDescent="0.25">
      <c r="A239" s="9"/>
      <c r="C239" s="9"/>
      <c r="D239" s="17"/>
      <c r="E239" s="17"/>
      <c r="G239" s="17"/>
      <c r="H239" s="17"/>
      <c r="I239" s="17"/>
      <c r="J239" s="43"/>
      <c r="K239" s="17"/>
      <c r="L239" s="17"/>
      <c r="M239" s="17"/>
      <c r="P239" s="17"/>
      <c r="Q239" s="17"/>
      <c r="R239" s="43"/>
      <c r="S239" s="17"/>
      <c r="T239" s="17"/>
      <c r="U239" s="17"/>
      <c r="V239" s="43"/>
      <c r="W239" s="17"/>
      <c r="X239" s="17"/>
    </row>
    <row r="240" spans="1:26" x14ac:dyDescent="0.25">
      <c r="A240" s="9"/>
      <c r="B240" s="59">
        <v>44109.41357488426</v>
      </c>
      <c r="D240" s="17"/>
      <c r="E240" s="17"/>
      <c r="G240" s="17"/>
      <c r="H240" s="17"/>
      <c r="I240" s="17"/>
      <c r="J240" s="43"/>
      <c r="K240" s="17"/>
      <c r="L240" s="17"/>
      <c r="M240" s="17"/>
      <c r="P240" s="17"/>
      <c r="Q240" s="17"/>
      <c r="R240" s="43"/>
      <c r="S240" s="17"/>
      <c r="T240" s="17"/>
      <c r="U240" s="17"/>
      <c r="V240" s="43"/>
      <c r="W240" s="17"/>
      <c r="X240" s="17"/>
    </row>
    <row r="241" spans="1:24" x14ac:dyDescent="0.25">
      <c r="A241" s="9"/>
      <c r="B241" s="62" t="s">
        <v>313</v>
      </c>
      <c r="D241" s="17"/>
      <c r="E241" s="17"/>
      <c r="G241" s="17"/>
      <c r="H241" s="17"/>
      <c r="I241" s="17"/>
      <c r="J241" s="43"/>
      <c r="K241" s="17"/>
      <c r="L241" s="17"/>
      <c r="M241" s="17"/>
      <c r="P241" s="17"/>
      <c r="Q241" s="17"/>
      <c r="R241" s="43"/>
      <c r="S241" s="17"/>
      <c r="T241" s="17"/>
      <c r="U241" s="17"/>
      <c r="V241" s="43"/>
      <c r="W241" s="17"/>
      <c r="X241" s="17"/>
    </row>
    <row r="242" spans="1:24" x14ac:dyDescent="0.25">
      <c r="A242" s="9"/>
      <c r="B242" s="56"/>
      <c r="D242" s="17"/>
      <c r="E242" s="17"/>
      <c r="G242" s="17"/>
      <c r="H242" s="17"/>
      <c r="I242" s="17"/>
      <c r="J242" s="43"/>
      <c r="K242" s="17"/>
      <c r="L242" s="17"/>
      <c r="M242" s="17"/>
      <c r="P242" s="17"/>
      <c r="Q242" s="17"/>
      <c r="R242" s="43"/>
      <c r="S242" s="17"/>
      <c r="T242" s="17"/>
      <c r="U242" s="17"/>
      <c r="V242" s="43"/>
      <c r="W242" s="17"/>
      <c r="X242" s="17"/>
    </row>
    <row r="243" spans="1:24" x14ac:dyDescent="0.25">
      <c r="D243" s="17"/>
      <c r="E243" s="17"/>
      <c r="G243" s="17"/>
      <c r="H243" s="17"/>
      <c r="I243" s="17"/>
      <c r="J243" s="43"/>
      <c r="K243" s="17"/>
      <c r="L243" s="17"/>
      <c r="M243" s="17"/>
      <c r="P243" s="17"/>
      <c r="Q243" s="17"/>
      <c r="R243" s="43"/>
      <c r="S243" s="17"/>
      <c r="T243" s="17"/>
      <c r="U243" s="17"/>
      <c r="V243" s="43"/>
      <c r="W243" s="17"/>
      <c r="X243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227667.24999999994</v>
      </c>
      <c r="E12" s="4"/>
      <c r="F12" s="12"/>
      <c r="G12" s="4"/>
      <c r="H12" s="4">
        <f>SUM(OSRRefH13x_0)</f>
        <v>351938.38</v>
      </c>
      <c r="I12" s="4"/>
      <c r="J12" s="12"/>
      <c r="K12" s="4"/>
      <c r="L12" s="4">
        <f t="shared" ref="L12:L86" si="0">+D12-H12</f>
        <v>-124271.13000000006</v>
      </c>
      <c r="M12" s="4"/>
      <c r="N12" s="12">
        <f t="shared" ref="N12:N86" si="1">IF(H12=0,0,L12/H12)</f>
        <v>-0.35310479635668057</v>
      </c>
      <c r="O12" s="10"/>
      <c r="P12" s="4">
        <f>SUM(OSRRefP13x_0)</f>
        <v>227667.24999999994</v>
      </c>
      <c r="Q12" s="4"/>
      <c r="R12" s="12"/>
      <c r="S12" s="4"/>
      <c r="T12" s="4">
        <f>SUM(OSRRefT13x_0)</f>
        <v>351938.38</v>
      </c>
      <c r="U12" s="4"/>
      <c r="V12" s="12"/>
      <c r="W12" s="4"/>
      <c r="X12" s="4">
        <f t="shared" ref="X12:X86" si="2">+P12-T12</f>
        <v>-124271.13000000006</v>
      </c>
      <c r="Y12" s="4"/>
      <c r="Z12" s="12">
        <f t="shared" ref="Z12:Z86" si="3">IF(T12=0,0,X12/T12)</f>
        <v>-0.35310479635668057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-10723.46</f>
        <v>-10723.46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-10723.46</v>
      </c>
      <c r="M13" s="3"/>
      <c r="N13" s="22">
        <f t="shared" si="1"/>
        <v>0</v>
      </c>
      <c r="O13" s="11"/>
      <c r="P13" s="3">
        <f>-10723.46</f>
        <v>-10723.46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-10723.46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--11947.85</f>
        <v>11947.85</v>
      </c>
      <c r="E14" s="3"/>
      <c r="F14" s="22"/>
      <c r="G14" s="3"/>
      <c r="H14" s="3">
        <f>--36312.25</f>
        <v>36312.25</v>
      </c>
      <c r="I14" s="3"/>
      <c r="J14" s="22"/>
      <c r="K14" s="3"/>
      <c r="L14" s="3">
        <f t="shared" si="0"/>
        <v>-24364.400000000001</v>
      </c>
      <c r="M14" s="3"/>
      <c r="N14" s="22">
        <f t="shared" si="1"/>
        <v>-0.67096916329888678</v>
      </c>
      <c r="O14" s="11"/>
      <c r="P14" s="3">
        <f>--11947.85</f>
        <v>11947.85</v>
      </c>
      <c r="Q14" s="3"/>
      <c r="R14" s="22"/>
      <c r="S14" s="3"/>
      <c r="T14" s="3">
        <f>--36312.25</f>
        <v>36312.25</v>
      </c>
      <c r="U14" s="3"/>
      <c r="V14" s="22"/>
      <c r="W14" s="3"/>
      <c r="X14" s="3">
        <f t="shared" si="2"/>
        <v>-24364.400000000001</v>
      </c>
      <c r="Y14" s="3"/>
      <c r="Z14" s="22">
        <f t="shared" si="3"/>
        <v>-0.67096916329888678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--13029.34</f>
        <v>13029.34</v>
      </c>
      <c r="E15" s="3"/>
      <c r="F15" s="22"/>
      <c r="G15" s="3"/>
      <c r="H15" s="3">
        <f>--21794.81</f>
        <v>21794.81</v>
      </c>
      <c r="I15" s="3"/>
      <c r="J15" s="22"/>
      <c r="K15" s="3"/>
      <c r="L15" s="3">
        <f t="shared" si="0"/>
        <v>-8765.4700000000012</v>
      </c>
      <c r="M15" s="3"/>
      <c r="N15" s="22">
        <f t="shared" si="1"/>
        <v>-0.40218152853821626</v>
      </c>
      <c r="O15" s="11"/>
      <c r="P15" s="3">
        <f>--13029.34</f>
        <v>13029.34</v>
      </c>
      <c r="Q15" s="3"/>
      <c r="R15" s="22"/>
      <c r="S15" s="3"/>
      <c r="T15" s="3">
        <f>--21794.81</f>
        <v>21794.81</v>
      </c>
      <c r="U15" s="3"/>
      <c r="V15" s="22"/>
      <c r="W15" s="3"/>
      <c r="X15" s="3">
        <f t="shared" si="2"/>
        <v>-8765.4700000000012</v>
      </c>
      <c r="Y15" s="3"/>
      <c r="Z15" s="22">
        <f t="shared" si="3"/>
        <v>-0.40218152853821626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"4017", " - ", "TAXABLE SALES-DORM/HOUSEWARES")</f>
        <v xml:space="preserve">          4017 - TAXABLE SALES-DORM/HOUSEWARES</v>
      </c>
      <c r="C20" s="11"/>
      <c r="D20" s="3">
        <f>0</f>
        <v>0</v>
      </c>
      <c r="E20" s="3"/>
      <c r="F20" s="22"/>
      <c r="G20" s="3"/>
      <c r="H20" s="3">
        <f>--4.47</f>
        <v>4.47</v>
      </c>
      <c r="I20" s="3"/>
      <c r="J20" s="22"/>
      <c r="K20" s="3"/>
      <c r="L20" s="3">
        <f t="shared" si="0"/>
        <v>-4.47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--4.47</f>
        <v>4.47</v>
      </c>
      <c r="U20" s="3"/>
      <c r="V20" s="22"/>
      <c r="W20" s="3"/>
      <c r="X20" s="3">
        <f t="shared" si="2"/>
        <v>-4.47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"4018", " - ", "TAXABLE SALES-STUDY GUIDES")</f>
        <v xml:space="preserve">          4018 - TAXABLE SALES-STUDY GUIDES</v>
      </c>
      <c r="C21" s="11"/>
      <c r="D21" s="3">
        <f>--16.99</f>
        <v>16.989999999999998</v>
      </c>
      <c r="E21" s="3"/>
      <c r="F21" s="22"/>
      <c r="G21" s="3"/>
      <c r="H21" s="3">
        <f>--179.29</f>
        <v>179.29</v>
      </c>
      <c r="I21" s="3"/>
      <c r="J21" s="22"/>
      <c r="K21" s="3"/>
      <c r="L21" s="3">
        <f t="shared" si="0"/>
        <v>-162.29999999999998</v>
      </c>
      <c r="M21" s="3"/>
      <c r="N21" s="22">
        <f t="shared" si="1"/>
        <v>-0.90523732500418308</v>
      </c>
      <c r="O21" s="11"/>
      <c r="P21" s="3">
        <f>--16.99</f>
        <v>16.989999999999998</v>
      </c>
      <c r="Q21" s="3"/>
      <c r="R21" s="22"/>
      <c r="S21" s="3"/>
      <c r="T21" s="3">
        <f>--179.29</f>
        <v>179.29</v>
      </c>
      <c r="U21" s="3"/>
      <c r="V21" s="22"/>
      <c r="W21" s="3"/>
      <c r="X21" s="3">
        <f t="shared" si="2"/>
        <v>-162.29999999999998</v>
      </c>
      <c r="Y21" s="3"/>
      <c r="Z21" s="22">
        <f t="shared" si="3"/>
        <v>-0.90523732500418308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3">
        <f>0</f>
        <v>0</v>
      </c>
      <c r="E22" s="3"/>
      <c r="F22" s="22"/>
      <c r="G22" s="3"/>
      <c r="H22" s="3">
        <f>--392.29</f>
        <v>392.29</v>
      </c>
      <c r="I22" s="3"/>
      <c r="J22" s="22"/>
      <c r="K22" s="3"/>
      <c r="L22" s="3">
        <f t="shared" si="0"/>
        <v>-392.29</v>
      </c>
      <c r="M22" s="3"/>
      <c r="N22" s="22">
        <f t="shared" si="1"/>
        <v>-1</v>
      </c>
      <c r="O22" s="11"/>
      <c r="P22" s="3">
        <f>0</f>
        <v>0</v>
      </c>
      <c r="Q22" s="3"/>
      <c r="R22" s="22"/>
      <c r="S22" s="3"/>
      <c r="T22" s="3">
        <f>--392.29</f>
        <v>392.29</v>
      </c>
      <c r="U22" s="3"/>
      <c r="V22" s="22"/>
      <c r="W22" s="3"/>
      <c r="X22" s="3">
        <f t="shared" si="2"/>
        <v>-392.29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3">
        <f>--236.56</f>
        <v>236.56</v>
      </c>
      <c r="E23" s="3"/>
      <c r="F23" s="22"/>
      <c r="G23" s="3"/>
      <c r="H23" s="3">
        <f>--1935.51</f>
        <v>1935.51</v>
      </c>
      <c r="I23" s="3"/>
      <c r="J23" s="22"/>
      <c r="K23" s="3"/>
      <c r="L23" s="3">
        <f t="shared" si="0"/>
        <v>-1698.95</v>
      </c>
      <c r="M23" s="3"/>
      <c r="N23" s="22">
        <f t="shared" si="1"/>
        <v>-0.87777898331705861</v>
      </c>
      <c r="O23" s="11"/>
      <c r="P23" s="3">
        <f>--236.56</f>
        <v>236.56</v>
      </c>
      <c r="Q23" s="3"/>
      <c r="R23" s="22"/>
      <c r="S23" s="3"/>
      <c r="T23" s="3">
        <f>--1935.51</f>
        <v>1935.51</v>
      </c>
      <c r="U23" s="3"/>
      <c r="V23" s="22"/>
      <c r="W23" s="3"/>
      <c r="X23" s="3">
        <f t="shared" si="2"/>
        <v>-1698.95</v>
      </c>
      <c r="Y23" s="3"/>
      <c r="Z23" s="22">
        <f t="shared" si="3"/>
        <v>-0.87777898331705861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3">
        <f>--1653.17</f>
        <v>1653.17</v>
      </c>
      <c r="E24" s="3"/>
      <c r="F24" s="22"/>
      <c r="G24" s="3"/>
      <c r="H24" s="3">
        <f>--13150</f>
        <v>13150</v>
      </c>
      <c r="I24" s="3"/>
      <c r="J24" s="22"/>
      <c r="K24" s="3"/>
      <c r="L24" s="3">
        <f t="shared" si="0"/>
        <v>-11496.83</v>
      </c>
      <c r="M24" s="3"/>
      <c r="N24" s="22">
        <f t="shared" si="1"/>
        <v>-0.87428365019011411</v>
      </c>
      <c r="O24" s="11"/>
      <c r="P24" s="3">
        <f>--1653.17</f>
        <v>1653.17</v>
      </c>
      <c r="Q24" s="3"/>
      <c r="R24" s="22"/>
      <c r="S24" s="3"/>
      <c r="T24" s="3">
        <f>--13150</f>
        <v>13150</v>
      </c>
      <c r="U24" s="3"/>
      <c r="V24" s="22"/>
      <c r="W24" s="3"/>
      <c r="X24" s="3">
        <f t="shared" si="2"/>
        <v>-11496.83</v>
      </c>
      <c r="Y24" s="3"/>
      <c r="Z24" s="22">
        <f t="shared" si="3"/>
        <v>-0.87428365019011411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3">
        <f>--19.85</f>
        <v>19.850000000000001</v>
      </c>
      <c r="E25" s="3"/>
      <c r="F25" s="22"/>
      <c r="G25" s="3"/>
      <c r="H25" s="3">
        <f>--2284.16</f>
        <v>2284.16</v>
      </c>
      <c r="I25" s="3"/>
      <c r="J25" s="22"/>
      <c r="K25" s="3"/>
      <c r="L25" s="3">
        <f t="shared" si="0"/>
        <v>-2264.31</v>
      </c>
      <c r="M25" s="3"/>
      <c r="N25" s="22">
        <f t="shared" si="1"/>
        <v>-0.99130971560661252</v>
      </c>
      <c r="O25" s="11"/>
      <c r="P25" s="3">
        <f>--19.85</f>
        <v>19.850000000000001</v>
      </c>
      <c r="Q25" s="3"/>
      <c r="R25" s="22"/>
      <c r="S25" s="3"/>
      <c r="T25" s="3">
        <f>--2284.16</f>
        <v>2284.16</v>
      </c>
      <c r="U25" s="3"/>
      <c r="V25" s="22"/>
      <c r="W25" s="3"/>
      <c r="X25" s="3">
        <f t="shared" si="2"/>
        <v>-2264.31</v>
      </c>
      <c r="Y25" s="3"/>
      <c r="Z25" s="22">
        <f t="shared" si="3"/>
        <v>-0.99130971560661252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3">
        <f>--19.75</f>
        <v>19.75</v>
      </c>
      <c r="E26" s="3"/>
      <c r="F26" s="22"/>
      <c r="G26" s="3"/>
      <c r="H26" s="3">
        <f>--1.52</f>
        <v>1.52</v>
      </c>
      <c r="I26" s="3"/>
      <c r="J26" s="22"/>
      <c r="K26" s="3"/>
      <c r="L26" s="3">
        <f t="shared" si="0"/>
        <v>18.23</v>
      </c>
      <c r="M26" s="3"/>
      <c r="N26" s="22">
        <f t="shared" si="1"/>
        <v>11.993421052631579</v>
      </c>
      <c r="O26" s="11"/>
      <c r="P26" s="3">
        <f>--19.75</f>
        <v>19.75</v>
      </c>
      <c r="Q26" s="3"/>
      <c r="R26" s="22"/>
      <c r="S26" s="3"/>
      <c r="T26" s="3">
        <f>--1.52</f>
        <v>1.52</v>
      </c>
      <c r="U26" s="3"/>
      <c r="V26" s="22"/>
      <c r="W26" s="3"/>
      <c r="X26" s="3">
        <f t="shared" si="2"/>
        <v>18.23</v>
      </c>
      <c r="Y26" s="3"/>
      <c r="Z26" s="22">
        <f t="shared" si="3"/>
        <v>11.993421052631579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3">
        <f t="shared" ref="D27:D28" si="6">0</f>
        <v>0</v>
      </c>
      <c r="E27" s="3"/>
      <c r="F27" s="22"/>
      <c r="G27" s="3"/>
      <c r="H27" s="3">
        <f>--1.47</f>
        <v>1.47</v>
      </c>
      <c r="I27" s="3"/>
      <c r="J27" s="22"/>
      <c r="K27" s="3"/>
      <c r="L27" s="3">
        <f t="shared" si="0"/>
        <v>-1.47</v>
      </c>
      <c r="M27" s="3"/>
      <c r="N27" s="22">
        <f t="shared" si="1"/>
        <v>-1</v>
      </c>
      <c r="O27" s="11"/>
      <c r="P27" s="3">
        <f t="shared" ref="P27:P28" si="7">0</f>
        <v>0</v>
      </c>
      <c r="Q27" s="3"/>
      <c r="R27" s="22"/>
      <c r="S27" s="3"/>
      <c r="T27" s="3">
        <f>--1.47</f>
        <v>1.47</v>
      </c>
      <c r="U27" s="3"/>
      <c r="V27" s="22"/>
      <c r="W27" s="3"/>
      <c r="X27" s="3">
        <f t="shared" si="2"/>
        <v>-1.47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3">
        <f t="shared" si="6"/>
        <v>0</v>
      </c>
      <c r="E28" s="3"/>
      <c r="F28" s="22"/>
      <c r="G28" s="3"/>
      <c r="H28" s="3">
        <f>--3.17</f>
        <v>3.17</v>
      </c>
      <c r="I28" s="3"/>
      <c r="J28" s="22"/>
      <c r="K28" s="3"/>
      <c r="L28" s="3">
        <f t="shared" si="0"/>
        <v>-3.17</v>
      </c>
      <c r="M28" s="3"/>
      <c r="N28" s="22">
        <f t="shared" si="1"/>
        <v>-1</v>
      </c>
      <c r="O28" s="11"/>
      <c r="P28" s="3">
        <f t="shared" si="7"/>
        <v>0</v>
      </c>
      <c r="Q28" s="3"/>
      <c r="R28" s="22"/>
      <c r="S28" s="3"/>
      <c r="T28" s="3">
        <f>--3.17</f>
        <v>3.17</v>
      </c>
      <c r="U28" s="3"/>
      <c r="V28" s="22"/>
      <c r="W28" s="3"/>
      <c r="X28" s="3">
        <f t="shared" si="2"/>
        <v>-3.17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3">
        <f>--6.78</f>
        <v>6.78</v>
      </c>
      <c r="E29" s="3"/>
      <c r="F29" s="22"/>
      <c r="G29" s="3"/>
      <c r="H29" s="3">
        <f>--34.74</f>
        <v>34.74</v>
      </c>
      <c r="I29" s="3"/>
      <c r="J29" s="22"/>
      <c r="K29" s="3"/>
      <c r="L29" s="3">
        <f t="shared" si="0"/>
        <v>-27.96</v>
      </c>
      <c r="M29" s="3"/>
      <c r="N29" s="22">
        <f t="shared" si="1"/>
        <v>-0.8048359240069084</v>
      </c>
      <c r="O29" s="11"/>
      <c r="P29" s="3">
        <f>--6.78</f>
        <v>6.78</v>
      </c>
      <c r="Q29" s="3"/>
      <c r="R29" s="22"/>
      <c r="S29" s="3"/>
      <c r="T29" s="3">
        <f>--34.74</f>
        <v>34.74</v>
      </c>
      <c r="U29" s="3"/>
      <c r="V29" s="22"/>
      <c r="W29" s="3"/>
      <c r="X29" s="3">
        <f t="shared" si="2"/>
        <v>-27.96</v>
      </c>
      <c r="Y29" s="3"/>
      <c r="Z29" s="22">
        <f t="shared" si="3"/>
        <v>-0.8048359240069084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3">
        <f t="shared" ref="D30:D31" si="8">0</f>
        <v>0</v>
      </c>
      <c r="E30" s="3"/>
      <c r="F30" s="22"/>
      <c r="G30" s="3"/>
      <c r="H30" s="3">
        <f>--5.97</f>
        <v>5.97</v>
      </c>
      <c r="I30" s="3"/>
      <c r="J30" s="22"/>
      <c r="K30" s="3"/>
      <c r="L30" s="3">
        <f t="shared" si="0"/>
        <v>-5.97</v>
      </c>
      <c r="M30" s="3"/>
      <c r="N30" s="22">
        <f t="shared" si="1"/>
        <v>-1</v>
      </c>
      <c r="O30" s="11"/>
      <c r="P30" s="3">
        <f t="shared" ref="P30:P31" si="9">0</f>
        <v>0</v>
      </c>
      <c r="Q30" s="3"/>
      <c r="R30" s="22"/>
      <c r="S30" s="3"/>
      <c r="T30" s="3">
        <f>--5.97</f>
        <v>5.97</v>
      </c>
      <c r="U30" s="3"/>
      <c r="V30" s="22"/>
      <c r="W30" s="3"/>
      <c r="X30" s="3">
        <f t="shared" si="2"/>
        <v>-5.97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3">
        <f t="shared" si="8"/>
        <v>0</v>
      </c>
      <c r="E31" s="3"/>
      <c r="F31" s="22"/>
      <c r="G31" s="3"/>
      <c r="H31" s="3">
        <f>--5.29</f>
        <v>5.29</v>
      </c>
      <c r="I31" s="3"/>
      <c r="J31" s="22"/>
      <c r="K31" s="3"/>
      <c r="L31" s="3">
        <f t="shared" si="0"/>
        <v>-5.29</v>
      </c>
      <c r="M31" s="3"/>
      <c r="N31" s="22">
        <f t="shared" si="1"/>
        <v>-1</v>
      </c>
      <c r="O31" s="11"/>
      <c r="P31" s="3">
        <f t="shared" si="9"/>
        <v>0</v>
      </c>
      <c r="Q31" s="3"/>
      <c r="R31" s="22"/>
      <c r="S31" s="3"/>
      <c r="T31" s="3">
        <f>--5.29</f>
        <v>5.29</v>
      </c>
      <c r="U31" s="3"/>
      <c r="V31" s="22"/>
      <c r="W31" s="3"/>
      <c r="X31" s="3">
        <f t="shared" si="2"/>
        <v>-5.29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3">
        <f>--72292.26</f>
        <v>72292.259999999995</v>
      </c>
      <c r="E32" s="3"/>
      <c r="F32" s="22"/>
      <c r="G32" s="3"/>
      <c r="H32" s="3">
        <f>--170312.02</f>
        <v>170312.02</v>
      </c>
      <c r="I32" s="3"/>
      <c r="J32" s="22"/>
      <c r="K32" s="3"/>
      <c r="L32" s="3">
        <f t="shared" si="0"/>
        <v>-98019.76</v>
      </c>
      <c r="M32" s="3"/>
      <c r="N32" s="22">
        <f t="shared" si="1"/>
        <v>-0.57553048810060503</v>
      </c>
      <c r="O32" s="11"/>
      <c r="P32" s="3">
        <f>--72292.26</f>
        <v>72292.259999999995</v>
      </c>
      <c r="Q32" s="3"/>
      <c r="R32" s="22"/>
      <c r="S32" s="3"/>
      <c r="T32" s="3">
        <f>--170312.02</f>
        <v>170312.02</v>
      </c>
      <c r="U32" s="3"/>
      <c r="V32" s="22"/>
      <c r="W32" s="3"/>
      <c r="X32" s="3">
        <f t="shared" si="2"/>
        <v>-98019.76</v>
      </c>
      <c r="Y32" s="3"/>
      <c r="Z32" s="22">
        <f t="shared" si="3"/>
        <v>-0.57553048810060503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3">
        <f>--21188.91</f>
        <v>21188.91</v>
      </c>
      <c r="E33" s="3"/>
      <c r="F33" s="22"/>
      <c r="G33" s="3"/>
      <c r="H33" s="3">
        <f>--31041.59</f>
        <v>31041.59</v>
      </c>
      <c r="I33" s="3"/>
      <c r="J33" s="22"/>
      <c r="K33" s="3"/>
      <c r="L33" s="3">
        <f t="shared" si="0"/>
        <v>-9852.68</v>
      </c>
      <c r="M33" s="3"/>
      <c r="N33" s="22">
        <f t="shared" si="1"/>
        <v>-0.31740255573248666</v>
      </c>
      <c r="O33" s="11"/>
      <c r="P33" s="3">
        <f>--21188.91</f>
        <v>21188.91</v>
      </c>
      <c r="Q33" s="3"/>
      <c r="R33" s="22"/>
      <c r="S33" s="3"/>
      <c r="T33" s="3">
        <f>--31041.59</f>
        <v>31041.59</v>
      </c>
      <c r="U33" s="3"/>
      <c r="V33" s="22"/>
      <c r="W33" s="3"/>
      <c r="X33" s="3">
        <f t="shared" si="2"/>
        <v>-9852.68</v>
      </c>
      <c r="Y33" s="3"/>
      <c r="Z33" s="22">
        <f t="shared" si="3"/>
        <v>-0.31740255573248666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3">
        <f>--9503.9</f>
        <v>9503.9</v>
      </c>
      <c r="E34" s="3"/>
      <c r="F34" s="22"/>
      <c r="G34" s="3"/>
      <c r="H34" s="3">
        <f>--15593.05</f>
        <v>15593.05</v>
      </c>
      <c r="I34" s="3"/>
      <c r="J34" s="22"/>
      <c r="K34" s="3"/>
      <c r="L34" s="3">
        <f t="shared" si="0"/>
        <v>-6089.15</v>
      </c>
      <c r="M34" s="3"/>
      <c r="N34" s="22">
        <f t="shared" si="1"/>
        <v>-0.39050410278938374</v>
      </c>
      <c r="O34" s="11"/>
      <c r="P34" s="3">
        <f>--9503.9</f>
        <v>9503.9</v>
      </c>
      <c r="Q34" s="3"/>
      <c r="R34" s="22"/>
      <c r="S34" s="3"/>
      <c r="T34" s="3">
        <f>--15593.05</f>
        <v>15593.05</v>
      </c>
      <c r="U34" s="3"/>
      <c r="V34" s="22"/>
      <c r="W34" s="3"/>
      <c r="X34" s="3">
        <f t="shared" si="2"/>
        <v>-6089.15</v>
      </c>
      <c r="Y34" s="3"/>
      <c r="Z34" s="22">
        <f t="shared" si="3"/>
        <v>-0.39050410278938374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3">
        <f>--217.36</f>
        <v>217.36</v>
      </c>
      <c r="E35" s="3"/>
      <c r="F35" s="22"/>
      <c r="G35" s="3"/>
      <c r="H35" s="3">
        <f>--56.4</f>
        <v>56.4</v>
      </c>
      <c r="I35" s="3"/>
      <c r="J35" s="22"/>
      <c r="K35" s="3"/>
      <c r="L35" s="3">
        <f t="shared" si="0"/>
        <v>160.96</v>
      </c>
      <c r="M35" s="3"/>
      <c r="N35" s="22">
        <f t="shared" si="1"/>
        <v>2.8539007092198583</v>
      </c>
      <c r="O35" s="11"/>
      <c r="P35" s="3">
        <f>--217.36</f>
        <v>217.36</v>
      </c>
      <c r="Q35" s="3"/>
      <c r="R35" s="22"/>
      <c r="S35" s="3"/>
      <c r="T35" s="3">
        <f>--56.4</f>
        <v>56.4</v>
      </c>
      <c r="U35" s="3"/>
      <c r="V35" s="22"/>
      <c r="W35" s="3"/>
      <c r="X35" s="3">
        <f t="shared" si="2"/>
        <v>160.96</v>
      </c>
      <c r="Y35" s="3"/>
      <c r="Z35" s="22">
        <f t="shared" si="3"/>
        <v>2.8539007092198583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3">
        <f>--1800.68</f>
        <v>1800.68</v>
      </c>
      <c r="E36" s="3"/>
      <c r="F36" s="22"/>
      <c r="G36" s="3"/>
      <c r="H36" s="3">
        <f>--2342.65</f>
        <v>2342.65</v>
      </c>
      <c r="I36" s="3"/>
      <c r="J36" s="22"/>
      <c r="K36" s="3"/>
      <c r="L36" s="3">
        <f t="shared" si="0"/>
        <v>-541.97</v>
      </c>
      <c r="M36" s="3"/>
      <c r="N36" s="22">
        <f t="shared" si="1"/>
        <v>-0.23134911318378759</v>
      </c>
      <c r="O36" s="11"/>
      <c r="P36" s="3">
        <f>--1800.68</f>
        <v>1800.68</v>
      </c>
      <c r="Q36" s="3"/>
      <c r="R36" s="22"/>
      <c r="S36" s="3"/>
      <c r="T36" s="3">
        <f>--2342.65</f>
        <v>2342.65</v>
      </c>
      <c r="U36" s="3"/>
      <c r="V36" s="22"/>
      <c r="W36" s="3"/>
      <c r="X36" s="3">
        <f t="shared" si="2"/>
        <v>-541.97</v>
      </c>
      <c r="Y36" s="3"/>
      <c r="Z36" s="22">
        <f t="shared" si="3"/>
        <v>-0.23134911318378759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3">
        <f>--43426.73</f>
        <v>43426.73</v>
      </c>
      <c r="E37" s="3"/>
      <c r="F37" s="22"/>
      <c r="G37" s="3"/>
      <c r="H37" s="3">
        <f>--19420.72</f>
        <v>19420.72</v>
      </c>
      <c r="I37" s="3"/>
      <c r="J37" s="22"/>
      <c r="K37" s="3"/>
      <c r="L37" s="3">
        <f t="shared" si="0"/>
        <v>24006.010000000002</v>
      </c>
      <c r="M37" s="3"/>
      <c r="N37" s="22">
        <f t="shared" si="1"/>
        <v>1.2361029869129465</v>
      </c>
      <c r="O37" s="11"/>
      <c r="P37" s="3">
        <f>--43426.73</f>
        <v>43426.73</v>
      </c>
      <c r="Q37" s="3"/>
      <c r="R37" s="22"/>
      <c r="S37" s="3"/>
      <c r="T37" s="3">
        <f>--19420.72</f>
        <v>19420.72</v>
      </c>
      <c r="U37" s="3"/>
      <c r="V37" s="22"/>
      <c r="W37" s="3"/>
      <c r="X37" s="3">
        <f t="shared" si="2"/>
        <v>24006.010000000002</v>
      </c>
      <c r="Y37" s="3"/>
      <c r="Z37" s="22">
        <f t="shared" si="3"/>
        <v>1.2361029869129465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3">
        <f t="shared" ref="D38:D43" si="10">0</f>
        <v>0</v>
      </c>
      <c r="E38" s="3"/>
      <c r="F38" s="22"/>
      <c r="G38" s="3"/>
      <c r="H38" s="3">
        <f>--40</f>
        <v>40</v>
      </c>
      <c r="I38" s="3"/>
      <c r="J38" s="22"/>
      <c r="K38" s="3"/>
      <c r="L38" s="3">
        <f t="shared" si="0"/>
        <v>-40</v>
      </c>
      <c r="M38" s="3"/>
      <c r="N38" s="22">
        <f t="shared" si="1"/>
        <v>-1</v>
      </c>
      <c r="O38" s="11"/>
      <c r="P38" s="3">
        <f t="shared" ref="P38:P43" si="11">0</f>
        <v>0</v>
      </c>
      <c r="Q38" s="3"/>
      <c r="R38" s="22"/>
      <c r="S38" s="3"/>
      <c r="T38" s="3">
        <f>--40</f>
        <v>40</v>
      </c>
      <c r="U38" s="3"/>
      <c r="V38" s="22"/>
      <c r="W38" s="3"/>
      <c r="X38" s="3">
        <f t="shared" si="2"/>
        <v>-40</v>
      </c>
      <c r="Y38" s="3"/>
      <c r="Z38" s="22">
        <f t="shared" si="3"/>
        <v>-1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3">
        <f t="shared" si="10"/>
        <v>0</v>
      </c>
      <c r="E39" s="3"/>
      <c r="F39" s="22"/>
      <c r="G39" s="3"/>
      <c r="H39" s="3">
        <f>--7.98</f>
        <v>7.98</v>
      </c>
      <c r="I39" s="3"/>
      <c r="J39" s="22"/>
      <c r="K39" s="3"/>
      <c r="L39" s="3">
        <f t="shared" si="0"/>
        <v>-7.98</v>
      </c>
      <c r="M39" s="3"/>
      <c r="N39" s="22">
        <f t="shared" si="1"/>
        <v>-1</v>
      </c>
      <c r="O39" s="11"/>
      <c r="P39" s="3">
        <f t="shared" si="11"/>
        <v>0</v>
      </c>
      <c r="Q39" s="3"/>
      <c r="R39" s="22"/>
      <c r="S39" s="3"/>
      <c r="T39" s="3">
        <f>--7.98</f>
        <v>7.98</v>
      </c>
      <c r="U39" s="3"/>
      <c r="V39" s="22"/>
      <c r="W39" s="3"/>
      <c r="X39" s="3">
        <f t="shared" si="2"/>
        <v>-7.98</v>
      </c>
      <c r="Y39" s="3"/>
      <c r="Z39" s="22">
        <f t="shared" si="3"/>
        <v>-1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3">
        <f t="shared" si="10"/>
        <v>0</v>
      </c>
      <c r="E40" s="3"/>
      <c r="F40" s="22"/>
      <c r="G40" s="3"/>
      <c r="H40" s="3">
        <f>--19</f>
        <v>19</v>
      </c>
      <c r="I40" s="3"/>
      <c r="J40" s="22"/>
      <c r="K40" s="3"/>
      <c r="L40" s="3">
        <f t="shared" si="0"/>
        <v>-19</v>
      </c>
      <c r="M40" s="3"/>
      <c r="N40" s="22">
        <f t="shared" si="1"/>
        <v>-1</v>
      </c>
      <c r="O40" s="11"/>
      <c r="P40" s="3">
        <f t="shared" si="11"/>
        <v>0</v>
      </c>
      <c r="Q40" s="3"/>
      <c r="R40" s="22"/>
      <c r="S40" s="3"/>
      <c r="T40" s="3">
        <f>--19</f>
        <v>19</v>
      </c>
      <c r="U40" s="3"/>
      <c r="V40" s="22"/>
      <c r="W40" s="3"/>
      <c r="X40" s="3">
        <f t="shared" si="2"/>
        <v>-19</v>
      </c>
      <c r="Y40" s="3"/>
      <c r="Z40" s="22">
        <f t="shared" si="3"/>
        <v>-1</v>
      </c>
    </row>
    <row r="41" spans="1:26" s="24" customFormat="1" hidden="1" outlineLevel="1" x14ac:dyDescent="0.25">
      <c r="A41" s="50"/>
      <c r="B41" s="11" t="str">
        <f>CONCATENATE("          ", "4086", " - ", "TAXABLE SALES-COMPUTER SUPPLIE")</f>
        <v xml:space="preserve">          4086 - TAXABLE SALES-COMPUTER SUPPLIE</v>
      </c>
      <c r="C41" s="11"/>
      <c r="D41" s="3">
        <f t="shared" si="10"/>
        <v>0</v>
      </c>
      <c r="E41" s="3"/>
      <c r="F41" s="22"/>
      <c r="G41" s="3"/>
      <c r="H41" s="3">
        <f>--14.99</f>
        <v>14.99</v>
      </c>
      <c r="I41" s="3"/>
      <c r="J41" s="22"/>
      <c r="K41" s="3"/>
      <c r="L41" s="3">
        <f t="shared" si="0"/>
        <v>-14.99</v>
      </c>
      <c r="M41" s="3"/>
      <c r="N41" s="22">
        <f t="shared" si="1"/>
        <v>-1</v>
      </c>
      <c r="O41" s="11"/>
      <c r="P41" s="3">
        <f t="shared" si="11"/>
        <v>0</v>
      </c>
      <c r="Q41" s="3"/>
      <c r="R41" s="22"/>
      <c r="S41" s="3"/>
      <c r="T41" s="3">
        <f>--14.99</f>
        <v>14.99</v>
      </c>
      <c r="U41" s="3"/>
      <c r="V41" s="22"/>
      <c r="W41" s="3"/>
      <c r="X41" s="3">
        <f t="shared" si="2"/>
        <v>-14.99</v>
      </c>
      <c r="Y41" s="3"/>
      <c r="Z41" s="22">
        <f t="shared" si="3"/>
        <v>-1</v>
      </c>
    </row>
    <row r="42" spans="1:26" s="24" customFormat="1" hidden="1" outlineLevel="1" x14ac:dyDescent="0.25">
      <c r="A42" s="50"/>
      <c r="B42" s="11" t="str">
        <f>CONCATENATE("          ", "4092", " - ", "TAXABLE SALES-GRAD MERCH")</f>
        <v xml:space="preserve">          4092 - TAXABLE SALES-GRAD MERCH</v>
      </c>
      <c r="C42" s="11"/>
      <c r="D42" s="3">
        <f t="shared" si="10"/>
        <v>0</v>
      </c>
      <c r="E42" s="3"/>
      <c r="F42" s="22"/>
      <c r="G42" s="3"/>
      <c r="H42" s="3">
        <f>--2128.63</f>
        <v>2128.63</v>
      </c>
      <c r="I42" s="3"/>
      <c r="J42" s="22"/>
      <c r="K42" s="3"/>
      <c r="L42" s="3">
        <f t="shared" si="0"/>
        <v>-2128.63</v>
      </c>
      <c r="M42" s="3"/>
      <c r="N42" s="22">
        <f t="shared" si="1"/>
        <v>-1</v>
      </c>
      <c r="O42" s="11"/>
      <c r="P42" s="3">
        <f t="shared" si="11"/>
        <v>0</v>
      </c>
      <c r="Q42" s="3"/>
      <c r="R42" s="22"/>
      <c r="S42" s="3"/>
      <c r="T42" s="3">
        <f>--2128.63</f>
        <v>2128.63</v>
      </c>
      <c r="U42" s="3"/>
      <c r="V42" s="22"/>
      <c r="W42" s="3"/>
      <c r="X42" s="3">
        <f t="shared" si="2"/>
        <v>-2128.63</v>
      </c>
      <c r="Y42" s="3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"4095", " - ", "TAXABLE SALES-CUSTOMER SERVICE")</f>
        <v xml:space="preserve">          4095 - TAXABLE SALES-CUSTOMER SERVICE</v>
      </c>
      <c r="C43" s="11"/>
      <c r="D43" s="3">
        <f t="shared" si="10"/>
        <v>0</v>
      </c>
      <c r="E43" s="3"/>
      <c r="F43" s="22"/>
      <c r="G43" s="3"/>
      <c r="H43" s="3">
        <f>--46.53</f>
        <v>46.53</v>
      </c>
      <c r="I43" s="3"/>
      <c r="J43" s="22"/>
      <c r="K43" s="3"/>
      <c r="L43" s="3">
        <f t="shared" si="0"/>
        <v>-46.53</v>
      </c>
      <c r="M43" s="3"/>
      <c r="N43" s="22">
        <f t="shared" si="1"/>
        <v>-1</v>
      </c>
      <c r="O43" s="11"/>
      <c r="P43" s="3">
        <f t="shared" si="11"/>
        <v>0</v>
      </c>
      <c r="Q43" s="3"/>
      <c r="R43" s="22"/>
      <c r="S43" s="3"/>
      <c r="T43" s="3">
        <f>--46.53</f>
        <v>46.53</v>
      </c>
      <c r="U43" s="3"/>
      <c r="V43" s="22"/>
      <c r="W43" s="3"/>
      <c r="X43" s="3">
        <f t="shared" si="2"/>
        <v>-46.53</v>
      </c>
      <c r="Y43" s="3"/>
      <c r="Z43" s="22">
        <f t="shared" si="3"/>
        <v>-1</v>
      </c>
    </row>
    <row r="44" spans="1:26" s="24" customFormat="1" hidden="1" outlineLevel="1" x14ac:dyDescent="0.25">
      <c r="A44" s="50"/>
      <c r="B44" s="11" t="str">
        <f>CONCATENATE("          ", "4100", " - ", "NON-TAXABLE SALES")</f>
        <v xml:space="preserve">          4100 - NON-TAXABLE SALES</v>
      </c>
      <c r="C44" s="11"/>
      <c r="D44" s="3">
        <f>--3038.3</f>
        <v>3038.3</v>
      </c>
      <c r="E44" s="3"/>
      <c r="F44" s="22"/>
      <c r="G44" s="3"/>
      <c r="H44" s="3">
        <f>--4262.2</f>
        <v>4262.2</v>
      </c>
      <c r="I44" s="3"/>
      <c r="J44" s="22"/>
      <c r="K44" s="3"/>
      <c r="L44" s="3">
        <f t="shared" si="0"/>
        <v>-1223.8999999999996</v>
      </c>
      <c r="M44" s="3"/>
      <c r="N44" s="22">
        <f t="shared" si="1"/>
        <v>-0.28715217493313305</v>
      </c>
      <c r="O44" s="11"/>
      <c r="P44" s="3">
        <f>--3038.3</f>
        <v>3038.3</v>
      </c>
      <c r="Q44" s="3"/>
      <c r="R44" s="22"/>
      <c r="S44" s="3"/>
      <c r="T44" s="3">
        <f>--4262.2</f>
        <v>4262.2</v>
      </c>
      <c r="U44" s="3"/>
      <c r="V44" s="22"/>
      <c r="W44" s="3"/>
      <c r="X44" s="3">
        <f t="shared" si="2"/>
        <v>-1223.8999999999996</v>
      </c>
      <c r="Y44" s="3"/>
      <c r="Z44" s="22">
        <f t="shared" si="3"/>
        <v>-0.28715217493313305</v>
      </c>
    </row>
    <row r="45" spans="1:26" s="24" customFormat="1" hidden="1" outlineLevel="1" x14ac:dyDescent="0.25">
      <c r="A45" s="50"/>
      <c r="B45" s="11" t="str">
        <f>CONCATENATE("          ", "4101", " - ", "NON-TAXABLE SALES-NEW TEXT")</f>
        <v xml:space="preserve">          4101 - NON-TAXABLE SALES-NEW TEXT</v>
      </c>
      <c r="C45" s="11"/>
      <c r="D45" s="3">
        <f>--10341.86</f>
        <v>10341.86</v>
      </c>
      <c r="E45" s="3"/>
      <c r="F45" s="22"/>
      <c r="G45" s="3"/>
      <c r="H45" s="3">
        <f>--7736.58</f>
        <v>7736.58</v>
      </c>
      <c r="I45" s="3"/>
      <c r="J45" s="22"/>
      <c r="K45" s="3"/>
      <c r="L45" s="3">
        <f t="shared" si="0"/>
        <v>2605.2800000000007</v>
      </c>
      <c r="M45" s="3"/>
      <c r="N45" s="22">
        <f t="shared" si="1"/>
        <v>0.33674827895530074</v>
      </c>
      <c r="O45" s="11"/>
      <c r="P45" s="3">
        <f>--10341.86</f>
        <v>10341.86</v>
      </c>
      <c r="Q45" s="3"/>
      <c r="R45" s="22"/>
      <c r="S45" s="3"/>
      <c r="T45" s="3">
        <f>--7736.58</f>
        <v>7736.58</v>
      </c>
      <c r="U45" s="3"/>
      <c r="V45" s="22"/>
      <c r="W45" s="3"/>
      <c r="X45" s="3">
        <f t="shared" si="2"/>
        <v>2605.2800000000007</v>
      </c>
      <c r="Y45" s="3"/>
      <c r="Z45" s="22">
        <f t="shared" si="3"/>
        <v>0.33674827895530074</v>
      </c>
    </row>
    <row r="46" spans="1:26" s="24" customFormat="1" hidden="1" outlineLevel="1" x14ac:dyDescent="0.25">
      <c r="A46" s="50"/>
      <c r="B46" s="11" t="str">
        <f>CONCATENATE("          ", "4102", " - ", "NON-TAXABLE SALES-USED TEXT")</f>
        <v xml:space="preserve">          4102 - NON-TAXABLE SALES-USED TEXT</v>
      </c>
      <c r="C46" s="11"/>
      <c r="D46" s="3">
        <f>--4190.44</f>
        <v>4190.4399999999996</v>
      </c>
      <c r="E46" s="3"/>
      <c r="F46" s="22"/>
      <c r="G46" s="3"/>
      <c r="H46" s="3">
        <f>--5359.24</f>
        <v>5359.24</v>
      </c>
      <c r="I46" s="3"/>
      <c r="J46" s="22"/>
      <c r="K46" s="3"/>
      <c r="L46" s="3">
        <f t="shared" si="0"/>
        <v>-1168.8000000000002</v>
      </c>
      <c r="M46" s="3"/>
      <c r="N46" s="22">
        <f t="shared" si="1"/>
        <v>-0.2180906247900822</v>
      </c>
      <c r="O46" s="11"/>
      <c r="P46" s="3">
        <f>--4190.44</f>
        <v>4190.4399999999996</v>
      </c>
      <c r="Q46" s="3"/>
      <c r="R46" s="22"/>
      <c r="S46" s="3"/>
      <c r="T46" s="3">
        <f>--5359.24</f>
        <v>5359.24</v>
      </c>
      <c r="U46" s="3"/>
      <c r="V46" s="22"/>
      <c r="W46" s="3"/>
      <c r="X46" s="3">
        <f t="shared" si="2"/>
        <v>-1168.8000000000002</v>
      </c>
      <c r="Y46" s="3"/>
      <c r="Z46" s="22">
        <f t="shared" si="3"/>
        <v>-0.2180906247900822</v>
      </c>
    </row>
    <row r="47" spans="1:26" s="24" customFormat="1" hidden="1" outlineLevel="1" x14ac:dyDescent="0.25">
      <c r="A47" s="50"/>
      <c r="B47" s="11" t="str">
        <f>CONCATENATE("          ", "4104", " - ", "NON-TAXABLE SALES-DIGITAL TEXT")</f>
        <v xml:space="preserve">          4104 - NON-TAXABLE SALES-DIGITAL TEXT</v>
      </c>
      <c r="C47" s="11"/>
      <c r="D47" s="3">
        <f>--7485.52</f>
        <v>7485.52</v>
      </c>
      <c r="E47" s="3"/>
      <c r="F47" s="22"/>
      <c r="G47" s="3"/>
      <c r="H47" s="3">
        <f>--13424.17</f>
        <v>13424.17</v>
      </c>
      <c r="I47" s="3"/>
      <c r="J47" s="22"/>
      <c r="K47" s="3"/>
      <c r="L47" s="3">
        <f t="shared" si="0"/>
        <v>-5938.65</v>
      </c>
      <c r="M47" s="3"/>
      <c r="N47" s="22">
        <f t="shared" si="1"/>
        <v>-0.44238489232481409</v>
      </c>
      <c r="O47" s="11"/>
      <c r="P47" s="3">
        <f>--7485.52</f>
        <v>7485.52</v>
      </c>
      <c r="Q47" s="3"/>
      <c r="R47" s="22"/>
      <c r="S47" s="3"/>
      <c r="T47" s="3">
        <f>--13424.17</f>
        <v>13424.17</v>
      </c>
      <c r="U47" s="3"/>
      <c r="V47" s="22"/>
      <c r="W47" s="3"/>
      <c r="X47" s="3">
        <f t="shared" si="2"/>
        <v>-5938.65</v>
      </c>
      <c r="Y47" s="3"/>
      <c r="Z47" s="22">
        <f t="shared" si="3"/>
        <v>-0.44238489232481409</v>
      </c>
    </row>
    <row r="48" spans="1:26" s="24" customFormat="1" hidden="1" outlineLevel="1" x14ac:dyDescent="0.25">
      <c r="A48" s="50"/>
      <c r="B48" s="11" t="str">
        <f>CONCATENATE("          ", "4111", " - ", "NON-TAXABLE SALES-NO VALUE TEX")</f>
        <v xml:space="preserve">          4111 - NON-TAXABLE SALES-NO VALUE TEX</v>
      </c>
      <c r="C48" s="11"/>
      <c r="D48" s="3">
        <f t="shared" ref="D48:D49" si="12">0</f>
        <v>0</v>
      </c>
      <c r="E48" s="3"/>
      <c r="F48" s="22"/>
      <c r="G48" s="3"/>
      <c r="H48" s="3">
        <f>--2680.95</f>
        <v>2680.95</v>
      </c>
      <c r="I48" s="3"/>
      <c r="J48" s="22"/>
      <c r="K48" s="3"/>
      <c r="L48" s="3">
        <f t="shared" si="0"/>
        <v>-2680.95</v>
      </c>
      <c r="M48" s="3"/>
      <c r="N48" s="22">
        <f t="shared" si="1"/>
        <v>-1</v>
      </c>
      <c r="O48" s="11"/>
      <c r="P48" s="3">
        <f t="shared" ref="P48:P49" si="13">0</f>
        <v>0</v>
      </c>
      <c r="Q48" s="3"/>
      <c r="R48" s="22"/>
      <c r="S48" s="3"/>
      <c r="T48" s="3">
        <f>--2680.95</f>
        <v>2680.95</v>
      </c>
      <c r="U48" s="3"/>
      <c r="V48" s="22"/>
      <c r="W48" s="3"/>
      <c r="X48" s="3">
        <f t="shared" si="2"/>
        <v>-2680.95</v>
      </c>
      <c r="Y48" s="3"/>
      <c r="Z48" s="22">
        <f t="shared" si="3"/>
        <v>-1</v>
      </c>
    </row>
    <row r="49" spans="1:26" s="24" customFormat="1" hidden="1" outlineLevel="1" x14ac:dyDescent="0.25">
      <c r="A49" s="50"/>
      <c r="B49" s="11" t="str">
        <f>CONCATENATE("          ", "4113", " - ", "NON-TAXABLE SALES-TRADE BOOKS")</f>
        <v xml:space="preserve">          4113 - NON-TAXABLE SALES-TRADE BOOKS</v>
      </c>
      <c r="C49" s="11"/>
      <c r="D49" s="3">
        <f t="shared" si="12"/>
        <v>0</v>
      </c>
      <c r="E49" s="3"/>
      <c r="F49" s="22"/>
      <c r="G49" s="3"/>
      <c r="H49" s="3">
        <f>--1134</f>
        <v>1134</v>
      </c>
      <c r="I49" s="3"/>
      <c r="J49" s="22"/>
      <c r="K49" s="3"/>
      <c r="L49" s="3">
        <f t="shared" si="0"/>
        <v>-1134</v>
      </c>
      <c r="M49" s="3"/>
      <c r="N49" s="22">
        <f t="shared" si="1"/>
        <v>-1</v>
      </c>
      <c r="O49" s="11"/>
      <c r="P49" s="3">
        <f t="shared" si="13"/>
        <v>0</v>
      </c>
      <c r="Q49" s="3"/>
      <c r="R49" s="22"/>
      <c r="S49" s="3"/>
      <c r="T49" s="3">
        <f>--1134</f>
        <v>1134</v>
      </c>
      <c r="U49" s="3"/>
      <c r="V49" s="22"/>
      <c r="W49" s="3"/>
      <c r="X49" s="3">
        <f t="shared" si="2"/>
        <v>-1134</v>
      </c>
      <c r="Y49" s="3"/>
      <c r="Z49" s="22">
        <f t="shared" si="3"/>
        <v>-1</v>
      </c>
    </row>
    <row r="50" spans="1:26" s="24" customFormat="1" hidden="1" outlineLevel="1" x14ac:dyDescent="0.25">
      <c r="A50" s="50"/>
      <c r="B50" s="11" t="str">
        <f>CONCATENATE("          ", "4118", " - ", "NON-TAXABLE SALES-STUDY GUIDES")</f>
        <v xml:space="preserve">          4118 - NON-TAXABLE SALES-STUDY GUIDES</v>
      </c>
      <c r="C50" s="11"/>
      <c r="D50" s="3">
        <f>--53.96</f>
        <v>53.96</v>
      </c>
      <c r="E50" s="3"/>
      <c r="F50" s="22"/>
      <c r="G50" s="3"/>
      <c r="H50" s="3">
        <f>--6.95</f>
        <v>6.95</v>
      </c>
      <c r="I50" s="3"/>
      <c r="J50" s="22"/>
      <c r="K50" s="3"/>
      <c r="L50" s="3">
        <f t="shared" si="0"/>
        <v>47.01</v>
      </c>
      <c r="M50" s="3"/>
      <c r="N50" s="22">
        <f t="shared" si="1"/>
        <v>6.7640287769784164</v>
      </c>
      <c r="O50" s="11"/>
      <c r="P50" s="3">
        <f>--53.96</f>
        <v>53.96</v>
      </c>
      <c r="Q50" s="3"/>
      <c r="R50" s="22"/>
      <c r="S50" s="3"/>
      <c r="T50" s="3">
        <f>--6.95</f>
        <v>6.95</v>
      </c>
      <c r="U50" s="3"/>
      <c r="V50" s="22"/>
      <c r="W50" s="3"/>
      <c r="X50" s="3">
        <f t="shared" si="2"/>
        <v>47.01</v>
      </c>
      <c r="Y50" s="3"/>
      <c r="Z50" s="22">
        <f t="shared" si="3"/>
        <v>6.7640287769784164</v>
      </c>
    </row>
    <row r="51" spans="1:26" s="24" customFormat="1" hidden="1" outlineLevel="1" x14ac:dyDescent="0.25">
      <c r="A51" s="50"/>
      <c r="B51" s="11" t="str">
        <f>CONCATENATE("          ", "4125", " - ", "NON-TAXABLE SALES-TEST FORMS")</f>
        <v xml:space="preserve">          4125 - NON-TAXABLE SALES-TEST FORMS</v>
      </c>
      <c r="C51" s="11"/>
      <c r="D51" s="3">
        <f>0</f>
        <v>0</v>
      </c>
      <c r="E51" s="3"/>
      <c r="F51" s="22"/>
      <c r="G51" s="3"/>
      <c r="H51" s="3">
        <f>--4.98</f>
        <v>4.9800000000000004</v>
      </c>
      <c r="I51" s="3"/>
      <c r="J51" s="22"/>
      <c r="K51" s="3"/>
      <c r="L51" s="3">
        <f t="shared" si="0"/>
        <v>-4.9800000000000004</v>
      </c>
      <c r="M51" s="3"/>
      <c r="N51" s="22">
        <f t="shared" si="1"/>
        <v>-1</v>
      </c>
      <c r="O51" s="11"/>
      <c r="P51" s="3">
        <f>0</f>
        <v>0</v>
      </c>
      <c r="Q51" s="3"/>
      <c r="R51" s="22"/>
      <c r="S51" s="3"/>
      <c r="T51" s="3">
        <f>--4.98</f>
        <v>4.9800000000000004</v>
      </c>
      <c r="U51" s="3"/>
      <c r="V51" s="22"/>
      <c r="W51" s="3"/>
      <c r="X51" s="3">
        <f t="shared" si="2"/>
        <v>-4.9800000000000004</v>
      </c>
      <c r="Y51" s="3"/>
      <c r="Z51" s="22">
        <f t="shared" si="3"/>
        <v>-1</v>
      </c>
    </row>
    <row r="52" spans="1:26" s="24" customFormat="1" hidden="1" outlineLevel="1" x14ac:dyDescent="0.25">
      <c r="A52" s="50"/>
      <c r="B52" s="11" t="str">
        <f>CONCATENATE("          ", "4126", " - ", "NON-TAXABLE SALES-WRITING INST")</f>
        <v xml:space="preserve">          4126 - NON-TAXABLE SALES-WRITING INST</v>
      </c>
      <c r="C52" s="11"/>
      <c r="D52" s="3">
        <f>--52.68</f>
        <v>52.68</v>
      </c>
      <c r="E52" s="3"/>
      <c r="F52" s="22"/>
      <c r="G52" s="3"/>
      <c r="H52" s="3">
        <f>--167.03</f>
        <v>167.03</v>
      </c>
      <c r="I52" s="3"/>
      <c r="J52" s="22"/>
      <c r="K52" s="3"/>
      <c r="L52" s="3">
        <f t="shared" si="0"/>
        <v>-114.35</v>
      </c>
      <c r="M52" s="3"/>
      <c r="N52" s="22">
        <f t="shared" si="1"/>
        <v>-0.68460755552894681</v>
      </c>
      <c r="O52" s="11"/>
      <c r="P52" s="3">
        <f>--52.68</f>
        <v>52.68</v>
      </c>
      <c r="Q52" s="3"/>
      <c r="R52" s="22"/>
      <c r="S52" s="3"/>
      <c r="T52" s="3">
        <f>--167.03</f>
        <v>167.03</v>
      </c>
      <c r="U52" s="3"/>
      <c r="V52" s="22"/>
      <c r="W52" s="3"/>
      <c r="X52" s="3">
        <f t="shared" si="2"/>
        <v>-114.35</v>
      </c>
      <c r="Y52" s="3"/>
      <c r="Z52" s="22">
        <f t="shared" si="3"/>
        <v>-0.68460755552894681</v>
      </c>
    </row>
    <row r="53" spans="1:26" s="24" customFormat="1" hidden="1" outlineLevel="1" x14ac:dyDescent="0.25">
      <c r="A53" s="50"/>
      <c r="B53" s="11" t="str">
        <f>CONCATENATE("          ", "4127", " - ", "NON-TAXABLE SALES-SCHOOL SUPPL")</f>
        <v xml:space="preserve">          4127 - NON-TAXABLE SALES-SCHOOL SUPPL</v>
      </c>
      <c r="C53" s="11"/>
      <c r="D53" s="3">
        <f>--72.25</f>
        <v>72.25</v>
      </c>
      <c r="E53" s="3"/>
      <c r="F53" s="22"/>
      <c r="G53" s="3"/>
      <c r="H53" s="3">
        <f>--177.89</f>
        <v>177.89</v>
      </c>
      <c r="I53" s="3"/>
      <c r="J53" s="22"/>
      <c r="K53" s="3"/>
      <c r="L53" s="3">
        <f t="shared" si="0"/>
        <v>-105.63999999999999</v>
      </c>
      <c r="M53" s="3"/>
      <c r="N53" s="22">
        <f t="shared" si="1"/>
        <v>-0.5938501321041092</v>
      </c>
      <c r="O53" s="11"/>
      <c r="P53" s="3">
        <f>--72.25</f>
        <v>72.25</v>
      </c>
      <c r="Q53" s="3"/>
      <c r="R53" s="22"/>
      <c r="S53" s="3"/>
      <c r="T53" s="3">
        <f>--177.89</f>
        <v>177.89</v>
      </c>
      <c r="U53" s="3"/>
      <c r="V53" s="22"/>
      <c r="W53" s="3"/>
      <c r="X53" s="3">
        <f t="shared" si="2"/>
        <v>-105.63999999999999</v>
      </c>
      <c r="Y53" s="3"/>
      <c r="Z53" s="22">
        <f t="shared" si="3"/>
        <v>-0.5938501321041092</v>
      </c>
    </row>
    <row r="54" spans="1:26" s="24" customFormat="1" hidden="1" outlineLevel="1" x14ac:dyDescent="0.25">
      <c r="A54" s="50"/>
      <c r="B54" s="11" t="str">
        <f>CONCATENATE("          ", "4128", " - ", "NON-TAXABLE SALES-ART/TECH")</f>
        <v xml:space="preserve">          4128 - NON-TAXABLE SALES-ART/TECH</v>
      </c>
      <c r="C54" s="11"/>
      <c r="D54" s="3">
        <f>0</f>
        <v>0</v>
      </c>
      <c r="E54" s="3"/>
      <c r="F54" s="22"/>
      <c r="G54" s="3"/>
      <c r="H54" s="3">
        <f>--1.49</f>
        <v>1.49</v>
      </c>
      <c r="I54" s="3"/>
      <c r="J54" s="22"/>
      <c r="K54" s="3"/>
      <c r="L54" s="3">
        <f t="shared" si="0"/>
        <v>-1.49</v>
      </c>
      <c r="M54" s="3"/>
      <c r="N54" s="22">
        <f t="shared" si="1"/>
        <v>-1</v>
      </c>
      <c r="O54" s="11"/>
      <c r="P54" s="3">
        <f>0</f>
        <v>0</v>
      </c>
      <c r="Q54" s="3"/>
      <c r="R54" s="22"/>
      <c r="S54" s="3"/>
      <c r="T54" s="3">
        <f>--1.49</f>
        <v>1.49</v>
      </c>
      <c r="U54" s="3"/>
      <c r="V54" s="22"/>
      <c r="W54" s="3"/>
      <c r="X54" s="3">
        <f t="shared" si="2"/>
        <v>-1.49</v>
      </c>
      <c r="Y54" s="3"/>
      <c r="Z54" s="22">
        <f t="shared" si="3"/>
        <v>-1</v>
      </c>
    </row>
    <row r="55" spans="1:26" s="24" customFormat="1" hidden="1" outlineLevel="1" x14ac:dyDescent="0.25">
      <c r="A55" s="50"/>
      <c r="B55" s="11" t="str">
        <f>CONCATENATE("          ", "4131", " - ", "NON-TAXABLE SALES-FOOD")</f>
        <v xml:space="preserve">          4131 - NON-TAXABLE SALES-FOOD</v>
      </c>
      <c r="C55" s="11"/>
      <c r="D55" s="3">
        <f>--259.43</f>
        <v>259.43</v>
      </c>
      <c r="E55" s="3"/>
      <c r="F55" s="22"/>
      <c r="G55" s="3"/>
      <c r="H55" s="3">
        <f>--269.62</f>
        <v>269.62</v>
      </c>
      <c r="I55" s="3"/>
      <c r="J55" s="22"/>
      <c r="K55" s="3"/>
      <c r="L55" s="3">
        <f t="shared" si="0"/>
        <v>-10.189999999999998</v>
      </c>
      <c r="M55" s="3"/>
      <c r="N55" s="22">
        <f t="shared" si="1"/>
        <v>-3.7793932200875298E-2</v>
      </c>
      <c r="O55" s="11"/>
      <c r="P55" s="3">
        <f>--259.43</f>
        <v>259.43</v>
      </c>
      <c r="Q55" s="3"/>
      <c r="R55" s="22"/>
      <c r="S55" s="3"/>
      <c r="T55" s="3">
        <f>--269.62</f>
        <v>269.62</v>
      </c>
      <c r="U55" s="3"/>
      <c r="V55" s="22"/>
      <c r="W55" s="3"/>
      <c r="X55" s="3">
        <f t="shared" si="2"/>
        <v>-10.189999999999998</v>
      </c>
      <c r="Y55" s="3"/>
      <c r="Z55" s="22">
        <f t="shared" si="3"/>
        <v>-3.7793932200875298E-2</v>
      </c>
    </row>
    <row r="56" spans="1:26" s="24" customFormat="1" hidden="1" outlineLevel="1" x14ac:dyDescent="0.25">
      <c r="A56" s="50"/>
      <c r="B56" s="11" t="str">
        <f>CONCATENATE("          ", "4132", " - ", "NON-TAXABLE SALES-JUICE")</f>
        <v xml:space="preserve">          4132 - NON-TAXABLE SALES-JUICE</v>
      </c>
      <c r="C56" s="11"/>
      <c r="D56" s="3">
        <f>--22.49</f>
        <v>22.49</v>
      </c>
      <c r="E56" s="3"/>
      <c r="F56" s="22"/>
      <c r="G56" s="3"/>
      <c r="H56" s="3">
        <f>--45.31</f>
        <v>45.31</v>
      </c>
      <c r="I56" s="3"/>
      <c r="J56" s="22"/>
      <c r="K56" s="3"/>
      <c r="L56" s="3">
        <f t="shared" si="0"/>
        <v>-22.820000000000004</v>
      </c>
      <c r="M56" s="3"/>
      <c r="N56" s="22">
        <f t="shared" si="1"/>
        <v>-0.50364158022511596</v>
      </c>
      <c r="O56" s="11"/>
      <c r="P56" s="3">
        <f>--22.49</f>
        <v>22.49</v>
      </c>
      <c r="Q56" s="3"/>
      <c r="R56" s="22"/>
      <c r="S56" s="3"/>
      <c r="T56" s="3">
        <f>--45.31</f>
        <v>45.31</v>
      </c>
      <c r="U56" s="3"/>
      <c r="V56" s="22"/>
      <c r="W56" s="3"/>
      <c r="X56" s="3">
        <f t="shared" si="2"/>
        <v>-22.820000000000004</v>
      </c>
      <c r="Y56" s="3"/>
      <c r="Z56" s="22">
        <f t="shared" si="3"/>
        <v>-0.50364158022511596</v>
      </c>
    </row>
    <row r="57" spans="1:26" s="24" customFormat="1" hidden="1" outlineLevel="1" x14ac:dyDescent="0.25">
      <c r="A57" s="50"/>
      <c r="B57" s="11" t="str">
        <f>CONCATENATE("          ", "4133", " - ", "NON-TAXABLE SALES-CANDY")</f>
        <v xml:space="preserve">          4133 - NON-TAXABLE SALES-CANDY</v>
      </c>
      <c r="C57" s="11"/>
      <c r="D57" s="3">
        <f>--68.28</f>
        <v>68.28</v>
      </c>
      <c r="E57" s="3"/>
      <c r="F57" s="22"/>
      <c r="G57" s="3"/>
      <c r="H57" s="3">
        <f>--472.22</f>
        <v>472.22</v>
      </c>
      <c r="I57" s="3"/>
      <c r="J57" s="22"/>
      <c r="K57" s="3"/>
      <c r="L57" s="3">
        <f t="shared" si="0"/>
        <v>-403.94000000000005</v>
      </c>
      <c r="M57" s="3"/>
      <c r="N57" s="22">
        <f t="shared" si="1"/>
        <v>-0.85540637838295719</v>
      </c>
      <c r="O57" s="11"/>
      <c r="P57" s="3">
        <f>--68.28</f>
        <v>68.28</v>
      </c>
      <c r="Q57" s="3"/>
      <c r="R57" s="22"/>
      <c r="S57" s="3"/>
      <c r="T57" s="3">
        <f>--472.22</f>
        <v>472.22</v>
      </c>
      <c r="U57" s="3"/>
      <c r="V57" s="22"/>
      <c r="W57" s="3"/>
      <c r="X57" s="3">
        <f t="shared" si="2"/>
        <v>-403.94000000000005</v>
      </c>
      <c r="Y57" s="3"/>
      <c r="Z57" s="22">
        <f t="shared" si="3"/>
        <v>-0.85540637838295719</v>
      </c>
    </row>
    <row r="58" spans="1:26" s="24" customFormat="1" hidden="1" outlineLevel="1" x14ac:dyDescent="0.25">
      <c r="A58" s="50"/>
      <c r="B58" s="11" t="str">
        <f>CONCATENATE("          ", "4134", " - ", "NON-TAXABLE SALES-SODA")</f>
        <v xml:space="preserve">          4134 - NON-TAXABLE SALES-SODA</v>
      </c>
      <c r="C58" s="11"/>
      <c r="D58" s="3">
        <f>--45.53</f>
        <v>45.53</v>
      </c>
      <c r="E58" s="3"/>
      <c r="F58" s="22"/>
      <c r="G58" s="3"/>
      <c r="H58" s="3">
        <f>0</f>
        <v>0</v>
      </c>
      <c r="I58" s="3"/>
      <c r="J58" s="22"/>
      <c r="K58" s="3"/>
      <c r="L58" s="3">
        <f t="shared" si="0"/>
        <v>45.53</v>
      </c>
      <c r="M58" s="3"/>
      <c r="N58" s="22">
        <f t="shared" si="1"/>
        <v>0</v>
      </c>
      <c r="O58" s="11"/>
      <c r="P58" s="3">
        <f>--45.53</f>
        <v>45.53</v>
      </c>
      <c r="Q58" s="3"/>
      <c r="R58" s="22"/>
      <c r="S58" s="3"/>
      <c r="T58" s="3">
        <f>0</f>
        <v>0</v>
      </c>
      <c r="U58" s="3"/>
      <c r="V58" s="22"/>
      <c r="W58" s="3"/>
      <c r="X58" s="3">
        <f t="shared" si="2"/>
        <v>45.53</v>
      </c>
      <c r="Y58" s="3"/>
      <c r="Z58" s="22">
        <f t="shared" si="3"/>
        <v>0</v>
      </c>
    </row>
    <row r="59" spans="1:26" s="24" customFormat="1" hidden="1" outlineLevel="1" x14ac:dyDescent="0.25">
      <c r="A59" s="50"/>
      <c r="B59" s="11" t="str">
        <f>CONCATENATE("          ", "4135", " - ", "NON-TAXABLE SALES")</f>
        <v xml:space="preserve">          4135 - NON-TAXABLE SALES</v>
      </c>
      <c r="C59" s="11"/>
      <c r="D59" s="3">
        <f>0</f>
        <v>0</v>
      </c>
      <c r="E59" s="3"/>
      <c r="F59" s="22"/>
      <c r="G59" s="3"/>
      <c r="H59" s="3">
        <f>--21.54</f>
        <v>21.54</v>
      </c>
      <c r="I59" s="3"/>
      <c r="J59" s="22"/>
      <c r="K59" s="3"/>
      <c r="L59" s="3">
        <f t="shared" si="0"/>
        <v>-21.54</v>
      </c>
      <c r="M59" s="3"/>
      <c r="N59" s="22">
        <f t="shared" si="1"/>
        <v>-1</v>
      </c>
      <c r="O59" s="11"/>
      <c r="P59" s="3">
        <f>0</f>
        <v>0</v>
      </c>
      <c r="Q59" s="3"/>
      <c r="R59" s="22"/>
      <c r="S59" s="3"/>
      <c r="T59" s="3">
        <f>--21.54</f>
        <v>21.54</v>
      </c>
      <c r="U59" s="3"/>
      <c r="V59" s="22"/>
      <c r="W59" s="3"/>
      <c r="X59" s="3">
        <f t="shared" si="2"/>
        <v>-21.54</v>
      </c>
      <c r="Y59" s="3"/>
      <c r="Z59" s="22">
        <f t="shared" si="3"/>
        <v>-1</v>
      </c>
    </row>
    <row r="60" spans="1:26" s="24" customFormat="1" hidden="1" outlineLevel="1" x14ac:dyDescent="0.25">
      <c r="A60" s="50"/>
      <c r="B60" s="11" t="str">
        <f>CONCATENATE("          ", "4137", " - ", "NON-TAXABLE SALES-WATER")</f>
        <v xml:space="preserve">          4137 - NON-TAXABLE SALES-WATER</v>
      </c>
      <c r="C60" s="11"/>
      <c r="D60" s="3">
        <f>--68.25</f>
        <v>68.25</v>
      </c>
      <c r="E60" s="3"/>
      <c r="F60" s="22"/>
      <c r="G60" s="3"/>
      <c r="H60" s="3">
        <f>--53.02</f>
        <v>53.02</v>
      </c>
      <c r="I60" s="3"/>
      <c r="J60" s="22"/>
      <c r="K60" s="3"/>
      <c r="L60" s="3">
        <f t="shared" si="0"/>
        <v>15.229999999999997</v>
      </c>
      <c r="M60" s="3"/>
      <c r="N60" s="22">
        <f t="shared" si="1"/>
        <v>0.28725009430403614</v>
      </c>
      <c r="O60" s="11"/>
      <c r="P60" s="3">
        <f>--68.25</f>
        <v>68.25</v>
      </c>
      <c r="Q60" s="3"/>
      <c r="R60" s="22"/>
      <c r="S60" s="3"/>
      <c r="T60" s="3">
        <f>--53.02</f>
        <v>53.02</v>
      </c>
      <c r="U60" s="3"/>
      <c r="V60" s="22"/>
      <c r="W60" s="3"/>
      <c r="X60" s="3">
        <f t="shared" si="2"/>
        <v>15.229999999999997</v>
      </c>
      <c r="Y60" s="3"/>
      <c r="Z60" s="22">
        <f t="shared" si="3"/>
        <v>0.28725009430403614</v>
      </c>
    </row>
    <row r="61" spans="1:26" s="24" customFormat="1" hidden="1" outlineLevel="1" x14ac:dyDescent="0.25">
      <c r="A61" s="50"/>
      <c r="B61" s="11" t="str">
        <f>CONCATENATE("          ", "4140", " - ", "NON-TAXABLE SALES-LOGO CLOTHIN")</f>
        <v xml:space="preserve">          4140 - NON-TAXABLE SALES-LOGO CLOTHIN</v>
      </c>
      <c r="C61" s="11"/>
      <c r="D61" s="3">
        <f>--6846.24</f>
        <v>6846.24</v>
      </c>
      <c r="E61" s="3"/>
      <c r="F61" s="22"/>
      <c r="G61" s="3"/>
      <c r="H61" s="3">
        <f>--3163.67</f>
        <v>3163.67</v>
      </c>
      <c r="I61" s="3"/>
      <c r="J61" s="22"/>
      <c r="K61" s="3"/>
      <c r="L61" s="3">
        <f t="shared" si="0"/>
        <v>3682.5699999999997</v>
      </c>
      <c r="M61" s="3"/>
      <c r="N61" s="22">
        <f t="shared" si="1"/>
        <v>1.164018371069043</v>
      </c>
      <c r="O61" s="11"/>
      <c r="P61" s="3">
        <f>--6846.24</f>
        <v>6846.24</v>
      </c>
      <c r="Q61" s="3"/>
      <c r="R61" s="22"/>
      <c r="S61" s="3"/>
      <c r="T61" s="3">
        <f>--3163.67</f>
        <v>3163.67</v>
      </c>
      <c r="U61" s="3"/>
      <c r="V61" s="22"/>
      <c r="W61" s="3"/>
      <c r="X61" s="3">
        <f t="shared" si="2"/>
        <v>3682.5699999999997</v>
      </c>
      <c r="Y61" s="3"/>
      <c r="Z61" s="22">
        <f t="shared" si="3"/>
        <v>1.164018371069043</v>
      </c>
    </row>
    <row r="62" spans="1:26" s="24" customFormat="1" hidden="1" outlineLevel="1" x14ac:dyDescent="0.25">
      <c r="A62" s="50"/>
      <c r="B62" s="11" t="str">
        <f>CONCATENATE("          ", "4141", " - ", "NON-TAXABLE SALES-LOGO GIFTS")</f>
        <v xml:space="preserve">          4141 - NON-TAXABLE SALES-LOGO GIFTS</v>
      </c>
      <c r="C62" s="11"/>
      <c r="D62" s="3">
        <f>--1200.19</f>
        <v>1200.19</v>
      </c>
      <c r="E62" s="3"/>
      <c r="F62" s="22"/>
      <c r="G62" s="3"/>
      <c r="H62" s="3">
        <f>--262.15</f>
        <v>262.14999999999998</v>
      </c>
      <c r="I62" s="3"/>
      <c r="J62" s="22"/>
      <c r="K62" s="3"/>
      <c r="L62" s="3">
        <f t="shared" si="0"/>
        <v>938.04000000000008</v>
      </c>
      <c r="M62" s="3"/>
      <c r="N62" s="22">
        <f t="shared" si="1"/>
        <v>3.5782567232500484</v>
      </c>
      <c r="O62" s="11"/>
      <c r="P62" s="3">
        <f>--1200.19</f>
        <v>1200.19</v>
      </c>
      <c r="Q62" s="3"/>
      <c r="R62" s="22"/>
      <c r="S62" s="3"/>
      <c r="T62" s="3">
        <f>--262.15</f>
        <v>262.14999999999998</v>
      </c>
      <c r="U62" s="3"/>
      <c r="V62" s="22"/>
      <c r="W62" s="3"/>
      <c r="X62" s="3">
        <f t="shared" si="2"/>
        <v>938.04000000000008</v>
      </c>
      <c r="Y62" s="3"/>
      <c r="Z62" s="22">
        <f t="shared" si="3"/>
        <v>3.5782567232500484</v>
      </c>
    </row>
    <row r="63" spans="1:26" s="24" customFormat="1" hidden="1" outlineLevel="1" x14ac:dyDescent="0.25">
      <c r="A63" s="50"/>
      <c r="B63" s="11" t="str">
        <f>CONCATENATE("          ", "4142", " - ", "NON-TAXABLE SALES-EVERYDAY GIF")</f>
        <v xml:space="preserve">          4142 - NON-TAXABLE SALES-EVERYDAY GIF</v>
      </c>
      <c r="C63" s="11"/>
      <c r="D63" s="3">
        <f>--640.17</f>
        <v>640.16999999999996</v>
      </c>
      <c r="E63" s="3"/>
      <c r="F63" s="22"/>
      <c r="G63" s="3"/>
      <c r="H63" s="3">
        <f>--342.44</f>
        <v>342.44</v>
      </c>
      <c r="I63" s="3"/>
      <c r="J63" s="22"/>
      <c r="K63" s="3"/>
      <c r="L63" s="3">
        <f t="shared" si="0"/>
        <v>297.72999999999996</v>
      </c>
      <c r="M63" s="3"/>
      <c r="N63" s="22">
        <f t="shared" si="1"/>
        <v>0.86943698166102079</v>
      </c>
      <c r="O63" s="11"/>
      <c r="P63" s="3">
        <f>--640.17</f>
        <v>640.16999999999996</v>
      </c>
      <c r="Q63" s="3"/>
      <c r="R63" s="22"/>
      <c r="S63" s="3"/>
      <c r="T63" s="3">
        <f>--342.44</f>
        <v>342.44</v>
      </c>
      <c r="U63" s="3"/>
      <c r="V63" s="22"/>
      <c r="W63" s="3"/>
      <c r="X63" s="3">
        <f t="shared" si="2"/>
        <v>297.72999999999996</v>
      </c>
      <c r="Y63" s="3"/>
      <c r="Z63" s="22">
        <f t="shared" si="3"/>
        <v>0.86943698166102079</v>
      </c>
    </row>
    <row r="64" spans="1:26" s="24" customFormat="1" hidden="1" outlineLevel="1" x14ac:dyDescent="0.25">
      <c r="A64" s="50"/>
      <c r="B64" s="11" t="str">
        <f>CONCATENATE("          ", "4144", " - ", "NON-TAXABLE SALES-ACCESSORIES")</f>
        <v xml:space="preserve">          4144 - NON-TAXABLE SALES-ACCESSORIES</v>
      </c>
      <c r="C64" s="11"/>
      <c r="D64" s="3">
        <f>--47.85</f>
        <v>47.85</v>
      </c>
      <c r="E64" s="3"/>
      <c r="F64" s="22"/>
      <c r="G64" s="3"/>
      <c r="H64" s="3">
        <f>--21.9</f>
        <v>21.9</v>
      </c>
      <c r="I64" s="3"/>
      <c r="J64" s="22"/>
      <c r="K64" s="3"/>
      <c r="L64" s="3">
        <f t="shared" si="0"/>
        <v>25.950000000000003</v>
      </c>
      <c r="M64" s="3"/>
      <c r="N64" s="22">
        <f t="shared" si="1"/>
        <v>1.1849315068493154</v>
      </c>
      <c r="O64" s="11"/>
      <c r="P64" s="3">
        <f>--47.85</f>
        <v>47.85</v>
      </c>
      <c r="Q64" s="3"/>
      <c r="R64" s="22"/>
      <c r="S64" s="3"/>
      <c r="T64" s="3">
        <f>--21.9</f>
        <v>21.9</v>
      </c>
      <c r="U64" s="3"/>
      <c r="V64" s="22"/>
      <c r="W64" s="3"/>
      <c r="X64" s="3">
        <f t="shared" si="2"/>
        <v>25.950000000000003</v>
      </c>
      <c r="Y64" s="3"/>
      <c r="Z64" s="22">
        <f t="shared" si="3"/>
        <v>1.1849315068493154</v>
      </c>
    </row>
    <row r="65" spans="1:26" s="24" customFormat="1" hidden="1" outlineLevel="1" x14ac:dyDescent="0.25">
      <c r="A65" s="50"/>
      <c r="B65" s="11" t="str">
        <f>CONCATENATE("          ", "4145", " - ", "NON-TAXABLE SALES-SPECIAL ORDE")</f>
        <v xml:space="preserve">          4145 - NON-TAXABLE SALES-SPECIAL ORDE</v>
      </c>
      <c r="C65" s="11"/>
      <c r="D65" s="3">
        <f>--35496</f>
        <v>35496</v>
      </c>
      <c r="E65" s="3"/>
      <c r="F65" s="22"/>
      <c r="G65" s="3"/>
      <c r="H65" s="3">
        <f>0</f>
        <v>0</v>
      </c>
      <c r="I65" s="3"/>
      <c r="J65" s="22"/>
      <c r="K65" s="3"/>
      <c r="L65" s="3">
        <f t="shared" si="0"/>
        <v>35496</v>
      </c>
      <c r="M65" s="3"/>
      <c r="N65" s="22">
        <f t="shared" si="1"/>
        <v>0</v>
      </c>
      <c r="O65" s="11"/>
      <c r="P65" s="3">
        <f>--35496</f>
        <v>35496</v>
      </c>
      <c r="Q65" s="3"/>
      <c r="R65" s="22"/>
      <c r="S65" s="3"/>
      <c r="T65" s="3">
        <f>0</f>
        <v>0</v>
      </c>
      <c r="U65" s="3"/>
      <c r="V65" s="22"/>
      <c r="W65" s="3"/>
      <c r="X65" s="3">
        <f t="shared" si="2"/>
        <v>35496</v>
      </c>
      <c r="Y65" s="3"/>
      <c r="Z65" s="22">
        <f t="shared" si="3"/>
        <v>0</v>
      </c>
    </row>
    <row r="66" spans="1:26" s="24" customFormat="1" hidden="1" outlineLevel="1" x14ac:dyDescent="0.25">
      <c r="A66" s="50"/>
      <c r="B66" s="11" t="str">
        <f>CONCATENATE("          ", "4146", " - ", "NON-TAXABLE SALES-COIN OP MACH")</f>
        <v xml:space="preserve">          4146 - NON-TAXABLE SALES-COIN OP MACH</v>
      </c>
      <c r="C66" s="11"/>
      <c r="D66" s="3">
        <f>0</f>
        <v>0</v>
      </c>
      <c r="E66" s="3"/>
      <c r="F66" s="22"/>
      <c r="G66" s="3"/>
      <c r="H66" s="3">
        <f>--2067.1</f>
        <v>2067.1</v>
      </c>
      <c r="I66" s="3"/>
      <c r="J66" s="22"/>
      <c r="K66" s="3"/>
      <c r="L66" s="3">
        <f t="shared" si="0"/>
        <v>-2067.1</v>
      </c>
      <c r="M66" s="3"/>
      <c r="N66" s="22">
        <f t="shared" si="1"/>
        <v>-1</v>
      </c>
      <c r="O66" s="11"/>
      <c r="P66" s="3">
        <f>0</f>
        <v>0</v>
      </c>
      <c r="Q66" s="3"/>
      <c r="R66" s="22"/>
      <c r="S66" s="3"/>
      <c r="T66" s="3">
        <f>--2067.1</f>
        <v>2067.1</v>
      </c>
      <c r="U66" s="3"/>
      <c r="V66" s="22"/>
      <c r="W66" s="3"/>
      <c r="X66" s="3">
        <f t="shared" si="2"/>
        <v>-2067.1</v>
      </c>
      <c r="Y66" s="3"/>
      <c r="Z66" s="22">
        <f t="shared" si="3"/>
        <v>-1</v>
      </c>
    </row>
    <row r="67" spans="1:26" s="24" customFormat="1" hidden="1" outlineLevel="1" x14ac:dyDescent="0.25">
      <c r="A67" s="50"/>
      <c r="B67" s="11" t="str">
        <f>CONCATENATE("          ", "4147", " - ", "NON-TAXABLE SALES-MISC")</f>
        <v xml:space="preserve">          4147 - NON-TAXABLE SALES-MISC</v>
      </c>
      <c r="C67" s="11"/>
      <c r="D67" s="3">
        <f>--1</f>
        <v>1</v>
      </c>
      <c r="E67" s="3"/>
      <c r="F67" s="22"/>
      <c r="G67" s="3"/>
      <c r="H67" s="3">
        <f>--16.5</f>
        <v>16.5</v>
      </c>
      <c r="I67" s="3"/>
      <c r="J67" s="22"/>
      <c r="K67" s="3"/>
      <c r="L67" s="3">
        <f t="shared" si="0"/>
        <v>-15.5</v>
      </c>
      <c r="M67" s="3"/>
      <c r="N67" s="22">
        <f t="shared" si="1"/>
        <v>-0.93939393939393945</v>
      </c>
      <c r="O67" s="11"/>
      <c r="P67" s="3">
        <f>--1</f>
        <v>1</v>
      </c>
      <c r="Q67" s="3"/>
      <c r="R67" s="22"/>
      <c r="S67" s="3"/>
      <c r="T67" s="3">
        <f>--16.5</f>
        <v>16.5</v>
      </c>
      <c r="U67" s="3"/>
      <c r="V67" s="22"/>
      <c r="W67" s="3"/>
      <c r="X67" s="3">
        <f t="shared" si="2"/>
        <v>-15.5</v>
      </c>
      <c r="Y67" s="3"/>
      <c r="Z67" s="22">
        <f t="shared" si="3"/>
        <v>-0.93939393939393945</v>
      </c>
    </row>
    <row r="68" spans="1:26" s="24" customFormat="1" hidden="1" outlineLevel="1" x14ac:dyDescent="0.25">
      <c r="A68" s="50"/>
      <c r="B68" s="11" t="str">
        <f>CONCATENATE("          ", "4201", " - ", "SALES RETURN TAXABLE-NEW TEXT")</f>
        <v xml:space="preserve">          4201 - SALES RETURN TAXABLE-NEW TEXT</v>
      </c>
      <c r="C68" s="11"/>
      <c r="D68" s="3">
        <f>-633.4</f>
        <v>-633.4</v>
      </c>
      <c r="E68" s="3"/>
      <c r="F68" s="22"/>
      <c r="G68" s="3"/>
      <c r="H68" s="3">
        <f>-607.15</f>
        <v>-607.15</v>
      </c>
      <c r="I68" s="3"/>
      <c r="J68" s="22"/>
      <c r="K68" s="3"/>
      <c r="L68" s="3">
        <f t="shared" si="0"/>
        <v>-26.25</v>
      </c>
      <c r="M68" s="3"/>
      <c r="N68" s="22">
        <f t="shared" si="1"/>
        <v>4.3234785473112082E-2</v>
      </c>
      <c r="O68" s="11"/>
      <c r="P68" s="3">
        <f>-633.4</f>
        <v>-633.4</v>
      </c>
      <c r="Q68" s="3"/>
      <c r="R68" s="22"/>
      <c r="S68" s="3"/>
      <c r="T68" s="3">
        <f>-607.15</f>
        <v>-607.15</v>
      </c>
      <c r="U68" s="3"/>
      <c r="V68" s="22"/>
      <c r="W68" s="3"/>
      <c r="X68" s="3">
        <f t="shared" si="2"/>
        <v>-26.25</v>
      </c>
      <c r="Y68" s="3"/>
      <c r="Z68" s="22">
        <f t="shared" si="3"/>
        <v>4.3234785473112082E-2</v>
      </c>
    </row>
    <row r="69" spans="1:26" s="24" customFormat="1" hidden="1" outlineLevel="1" x14ac:dyDescent="0.25">
      <c r="A69" s="50"/>
      <c r="B69" s="11" t="str">
        <f>CONCATENATE("          ", "4202", " - ", "SALES RETURN TAXABLE-USED TEXT")</f>
        <v xml:space="preserve">          4202 - SALES RETURN TAXABLE-USED TEXT</v>
      </c>
      <c r="C69" s="11"/>
      <c r="D69" s="3">
        <f>-178.35</f>
        <v>-178.35</v>
      </c>
      <c r="E69" s="3"/>
      <c r="F69" s="22"/>
      <c r="G69" s="3"/>
      <c r="H69" s="3">
        <f>-721.45</f>
        <v>-721.45</v>
      </c>
      <c r="I69" s="3"/>
      <c r="J69" s="22"/>
      <c r="K69" s="3"/>
      <c r="L69" s="3">
        <f t="shared" si="0"/>
        <v>543.1</v>
      </c>
      <c r="M69" s="3"/>
      <c r="N69" s="22">
        <f t="shared" si="1"/>
        <v>-0.75278952110333353</v>
      </c>
      <c r="O69" s="11"/>
      <c r="P69" s="3">
        <f>-178.35</f>
        <v>-178.35</v>
      </c>
      <c r="Q69" s="3"/>
      <c r="R69" s="22"/>
      <c r="S69" s="3"/>
      <c r="T69" s="3">
        <f>-721.45</f>
        <v>-721.45</v>
      </c>
      <c r="U69" s="3"/>
      <c r="V69" s="22"/>
      <c r="W69" s="3"/>
      <c r="X69" s="3">
        <f t="shared" si="2"/>
        <v>543.1</v>
      </c>
      <c r="Y69" s="3"/>
      <c r="Z69" s="22">
        <f t="shared" si="3"/>
        <v>-0.75278952110333353</v>
      </c>
    </row>
    <row r="70" spans="1:26" s="24" customFormat="1" hidden="1" outlineLevel="1" x14ac:dyDescent="0.25">
      <c r="A70" s="50"/>
      <c r="B70" s="11" t="str">
        <f>CONCATENATE("          ", "4225", " - ", "SALES RETURN TAXABLE-TEST FORM")</f>
        <v xml:space="preserve">          4225 - SALES RETURN TAXABLE-TEST FORM</v>
      </c>
      <c r="C70" s="11"/>
      <c r="D70" s="3">
        <f>0</f>
        <v>0</v>
      </c>
      <c r="E70" s="3"/>
      <c r="F70" s="22"/>
      <c r="G70" s="3"/>
      <c r="H70" s="3">
        <f>-4.08</f>
        <v>-4.08</v>
      </c>
      <c r="I70" s="3"/>
      <c r="J70" s="22"/>
      <c r="K70" s="3"/>
      <c r="L70" s="3">
        <f t="shared" si="0"/>
        <v>4.08</v>
      </c>
      <c r="M70" s="3"/>
      <c r="N70" s="22">
        <f t="shared" si="1"/>
        <v>-1</v>
      </c>
      <c r="O70" s="11"/>
      <c r="P70" s="3">
        <f>0</f>
        <v>0</v>
      </c>
      <c r="Q70" s="3"/>
      <c r="R70" s="22"/>
      <c r="S70" s="3"/>
      <c r="T70" s="3">
        <f>-4.08</f>
        <v>-4.08</v>
      </c>
      <c r="U70" s="3"/>
      <c r="V70" s="22"/>
      <c r="W70" s="3"/>
      <c r="X70" s="3">
        <f t="shared" si="2"/>
        <v>4.08</v>
      </c>
      <c r="Y70" s="3"/>
      <c r="Z70" s="22">
        <f t="shared" si="3"/>
        <v>-1</v>
      </c>
    </row>
    <row r="71" spans="1:26" s="24" customFormat="1" hidden="1" outlineLevel="1" x14ac:dyDescent="0.25">
      <c r="A71" s="50"/>
      <c r="B71" s="11" t="str">
        <f>CONCATENATE("          ", "4226", " - ", "SALES RETURN TAXABLE-WRITING I")</f>
        <v xml:space="preserve">          4226 - SALES RETURN TAXABLE-WRITING I</v>
      </c>
      <c r="C71" s="11"/>
      <c r="D71" s="3">
        <f>-6.38</f>
        <v>-6.38</v>
      </c>
      <c r="E71" s="3"/>
      <c r="F71" s="22"/>
      <c r="G71" s="3"/>
      <c r="H71" s="3">
        <f>-63.93</f>
        <v>-63.93</v>
      </c>
      <c r="I71" s="3"/>
      <c r="J71" s="22"/>
      <c r="K71" s="3"/>
      <c r="L71" s="3">
        <f t="shared" si="0"/>
        <v>57.55</v>
      </c>
      <c r="M71" s="3"/>
      <c r="N71" s="22">
        <f t="shared" si="1"/>
        <v>-0.90020334741123098</v>
      </c>
      <c r="O71" s="11"/>
      <c r="P71" s="3">
        <f>-6.38</f>
        <v>-6.38</v>
      </c>
      <c r="Q71" s="3"/>
      <c r="R71" s="22"/>
      <c r="S71" s="3"/>
      <c r="T71" s="3">
        <f>-63.93</f>
        <v>-63.93</v>
      </c>
      <c r="U71" s="3"/>
      <c r="V71" s="22"/>
      <c r="W71" s="3"/>
      <c r="X71" s="3">
        <f t="shared" si="2"/>
        <v>57.55</v>
      </c>
      <c r="Y71" s="3"/>
      <c r="Z71" s="22">
        <f t="shared" si="3"/>
        <v>-0.90020334741123098</v>
      </c>
    </row>
    <row r="72" spans="1:26" s="24" customFormat="1" hidden="1" outlineLevel="1" x14ac:dyDescent="0.25">
      <c r="A72" s="50"/>
      <c r="B72" s="11" t="str">
        <f>CONCATENATE("          ", "4227", " - ", "SALES RETURN TAXABLE-SCHOOL SU")</f>
        <v xml:space="preserve">          4227 - SALES RETURN TAXABLE-SCHOOL SU</v>
      </c>
      <c r="C72" s="11"/>
      <c r="D72" s="3">
        <f>-56.77</f>
        <v>-56.77</v>
      </c>
      <c r="E72" s="3"/>
      <c r="F72" s="22"/>
      <c r="G72" s="3"/>
      <c r="H72" s="3">
        <f>-165.44</f>
        <v>-165.44</v>
      </c>
      <c r="I72" s="3"/>
      <c r="J72" s="22"/>
      <c r="K72" s="3"/>
      <c r="L72" s="3">
        <f t="shared" si="0"/>
        <v>108.66999999999999</v>
      </c>
      <c r="M72" s="3"/>
      <c r="N72" s="22">
        <f t="shared" si="1"/>
        <v>-0.65685444874274657</v>
      </c>
      <c r="O72" s="11"/>
      <c r="P72" s="3">
        <f>-56.77</f>
        <v>-56.77</v>
      </c>
      <c r="Q72" s="3"/>
      <c r="R72" s="22"/>
      <c r="S72" s="3"/>
      <c r="T72" s="3">
        <f>-165.44</f>
        <v>-165.44</v>
      </c>
      <c r="U72" s="3"/>
      <c r="V72" s="22"/>
      <c r="W72" s="3"/>
      <c r="X72" s="3">
        <f t="shared" si="2"/>
        <v>108.66999999999999</v>
      </c>
      <c r="Y72" s="3"/>
      <c r="Z72" s="22">
        <f t="shared" si="3"/>
        <v>-0.65685444874274657</v>
      </c>
    </row>
    <row r="73" spans="1:26" s="24" customFormat="1" hidden="1" outlineLevel="1" x14ac:dyDescent="0.25">
      <c r="A73" s="50"/>
      <c r="B73" s="11" t="str">
        <f>CONCATENATE("          ", "4228", " - ", "SALES RETURN TAXABLE-ART/TECH")</f>
        <v xml:space="preserve">          4228 - SALES RETURN TAXABLE-ART/TECH</v>
      </c>
      <c r="C73" s="11"/>
      <c r="D73" s="3">
        <f>0</f>
        <v>0</v>
      </c>
      <c r="E73" s="3"/>
      <c r="F73" s="22"/>
      <c r="G73" s="3"/>
      <c r="H73" s="3">
        <f>-10.37</f>
        <v>-10.37</v>
      </c>
      <c r="I73" s="3"/>
      <c r="J73" s="22"/>
      <c r="K73" s="3"/>
      <c r="L73" s="3">
        <f t="shared" si="0"/>
        <v>10.37</v>
      </c>
      <c r="M73" s="3"/>
      <c r="N73" s="22">
        <f t="shared" si="1"/>
        <v>-1</v>
      </c>
      <c r="O73" s="11"/>
      <c r="P73" s="3">
        <f>0</f>
        <v>0</v>
      </c>
      <c r="Q73" s="3"/>
      <c r="R73" s="22"/>
      <c r="S73" s="3"/>
      <c r="T73" s="3">
        <f>-10.37</f>
        <v>-10.37</v>
      </c>
      <c r="U73" s="3"/>
      <c r="V73" s="22"/>
      <c r="W73" s="3"/>
      <c r="X73" s="3">
        <f t="shared" si="2"/>
        <v>10.37</v>
      </c>
      <c r="Y73" s="3"/>
      <c r="Z73" s="22">
        <f t="shared" si="3"/>
        <v>-1</v>
      </c>
    </row>
    <row r="74" spans="1:26" s="24" customFormat="1" hidden="1" outlineLevel="1" x14ac:dyDescent="0.25">
      <c r="A74" s="50"/>
      <c r="B74" s="11" t="str">
        <f>CONCATENATE("          ", "4240", " - ", "SALES RETURN TAXABLE-LOGO CLOT")</f>
        <v xml:space="preserve">          4240 - SALES RETURN TAXABLE-LOGO CLOT</v>
      </c>
      <c r="C74" s="11"/>
      <c r="D74" s="3">
        <f>-3368.1</f>
        <v>-3368.1</v>
      </c>
      <c r="E74" s="3"/>
      <c r="F74" s="22"/>
      <c r="G74" s="3"/>
      <c r="H74" s="3">
        <f>-4446.84</f>
        <v>-4446.84</v>
      </c>
      <c r="I74" s="3"/>
      <c r="J74" s="22"/>
      <c r="K74" s="3"/>
      <c r="L74" s="3">
        <f t="shared" si="0"/>
        <v>1078.7400000000002</v>
      </c>
      <c r="M74" s="3"/>
      <c r="N74" s="22">
        <f t="shared" si="1"/>
        <v>-0.24258574628275364</v>
      </c>
      <c r="O74" s="11"/>
      <c r="P74" s="3">
        <f>-3368.1</f>
        <v>-3368.1</v>
      </c>
      <c r="Q74" s="3"/>
      <c r="R74" s="22"/>
      <c r="S74" s="3"/>
      <c r="T74" s="3">
        <f>-4446.84</f>
        <v>-4446.84</v>
      </c>
      <c r="U74" s="3"/>
      <c r="V74" s="22"/>
      <c r="W74" s="3"/>
      <c r="X74" s="3">
        <f t="shared" si="2"/>
        <v>1078.7400000000002</v>
      </c>
      <c r="Y74" s="3"/>
      <c r="Z74" s="22">
        <f t="shared" si="3"/>
        <v>-0.24258574628275364</v>
      </c>
    </row>
    <row r="75" spans="1:26" s="24" customFormat="1" hidden="1" outlineLevel="1" x14ac:dyDescent="0.25">
      <c r="A75" s="50"/>
      <c r="B75" s="11" t="str">
        <f>CONCATENATE("          ", "4241", " - ", "SALES RETURN TAXABLE-LOGO GIFT")</f>
        <v xml:space="preserve">          4241 - SALES RETURN TAXABLE-LOGO GIFT</v>
      </c>
      <c r="C75" s="11"/>
      <c r="D75" s="3">
        <f>-341.98</f>
        <v>-341.98</v>
      </c>
      <c r="E75" s="3"/>
      <c r="F75" s="22"/>
      <c r="G75" s="3"/>
      <c r="H75" s="3">
        <f>-718.9</f>
        <v>-718.9</v>
      </c>
      <c r="I75" s="3"/>
      <c r="J75" s="22"/>
      <c r="K75" s="3"/>
      <c r="L75" s="3">
        <f t="shared" si="0"/>
        <v>376.91999999999996</v>
      </c>
      <c r="M75" s="3"/>
      <c r="N75" s="22">
        <f t="shared" si="1"/>
        <v>-0.52430101544025587</v>
      </c>
      <c r="O75" s="11"/>
      <c r="P75" s="3">
        <f>-341.98</f>
        <v>-341.98</v>
      </c>
      <c r="Q75" s="3"/>
      <c r="R75" s="22"/>
      <c r="S75" s="3"/>
      <c r="T75" s="3">
        <f>-718.9</f>
        <v>-718.9</v>
      </c>
      <c r="U75" s="3"/>
      <c r="V75" s="22"/>
      <c r="W75" s="3"/>
      <c r="X75" s="3">
        <f t="shared" si="2"/>
        <v>376.91999999999996</v>
      </c>
      <c r="Y75" s="3"/>
      <c r="Z75" s="22">
        <f t="shared" si="3"/>
        <v>-0.52430101544025587</v>
      </c>
    </row>
    <row r="76" spans="1:26" s="24" customFormat="1" hidden="1" outlineLevel="1" x14ac:dyDescent="0.25">
      <c r="A76" s="50"/>
      <c r="B76" s="11" t="str">
        <f>CONCATENATE("          ", "4242", " - ", "SALES RETURN TAXABLE-EVERYDAY")</f>
        <v xml:space="preserve">          4242 - SALES RETURN TAXABLE-EVERYDAY</v>
      </c>
      <c r="C76" s="11"/>
      <c r="D76" s="3">
        <f>-178.96</f>
        <v>-178.96</v>
      </c>
      <c r="E76" s="3"/>
      <c r="F76" s="22"/>
      <c r="G76" s="3"/>
      <c r="H76" s="3">
        <f>-373.98</f>
        <v>-373.98</v>
      </c>
      <c r="I76" s="3"/>
      <c r="J76" s="22"/>
      <c r="K76" s="3"/>
      <c r="L76" s="3">
        <f t="shared" si="0"/>
        <v>195.02</v>
      </c>
      <c r="M76" s="3"/>
      <c r="N76" s="22">
        <f t="shared" si="1"/>
        <v>-0.52147173645649503</v>
      </c>
      <c r="O76" s="11"/>
      <c r="P76" s="3">
        <f>-178.96</f>
        <v>-178.96</v>
      </c>
      <c r="Q76" s="3"/>
      <c r="R76" s="22"/>
      <c r="S76" s="3"/>
      <c r="T76" s="3">
        <f>-373.98</f>
        <v>-373.98</v>
      </c>
      <c r="U76" s="3"/>
      <c r="V76" s="22"/>
      <c r="W76" s="3"/>
      <c r="X76" s="3">
        <f t="shared" si="2"/>
        <v>195.02</v>
      </c>
      <c r="Y76" s="3"/>
      <c r="Z76" s="22">
        <f t="shared" si="3"/>
        <v>-0.52147173645649503</v>
      </c>
    </row>
    <row r="77" spans="1:26" s="24" customFormat="1" hidden="1" outlineLevel="1" x14ac:dyDescent="0.25">
      <c r="A77" s="50"/>
      <c r="B77" s="11" t="str">
        <f>CONCATENATE("          ", "4244", " - ", "SALES RETURN TAXABLE-ACCESSORI")</f>
        <v xml:space="preserve">          4244 - SALES RETURN TAXABLE-ACCESSORI</v>
      </c>
      <c r="C77" s="11"/>
      <c r="D77" s="3">
        <f>0</f>
        <v>0</v>
      </c>
      <c r="E77" s="3"/>
      <c r="F77" s="22"/>
      <c r="G77" s="3"/>
      <c r="H77" s="3">
        <f>-106.79</f>
        <v>-106.79</v>
      </c>
      <c r="I77" s="3"/>
      <c r="J77" s="22"/>
      <c r="K77" s="3"/>
      <c r="L77" s="3">
        <f t="shared" si="0"/>
        <v>106.79</v>
      </c>
      <c r="M77" s="3"/>
      <c r="N77" s="22">
        <f t="shared" si="1"/>
        <v>-1</v>
      </c>
      <c r="O77" s="11"/>
      <c r="P77" s="3">
        <f>0</f>
        <v>0</v>
      </c>
      <c r="Q77" s="3"/>
      <c r="R77" s="22"/>
      <c r="S77" s="3"/>
      <c r="T77" s="3">
        <f>-106.79</f>
        <v>-106.79</v>
      </c>
      <c r="U77" s="3"/>
      <c r="V77" s="22"/>
      <c r="W77" s="3"/>
      <c r="X77" s="3">
        <f t="shared" si="2"/>
        <v>106.79</v>
      </c>
      <c r="Y77" s="3"/>
      <c r="Z77" s="22">
        <f t="shared" si="3"/>
        <v>-1</v>
      </c>
    </row>
    <row r="78" spans="1:26" s="24" customFormat="1" hidden="1" outlineLevel="1" x14ac:dyDescent="0.25">
      <c r="A78" s="50"/>
      <c r="B78" s="11" t="str">
        <f>CONCATENATE("          ", "4245", " - ", "SALES RETURN TAXABLE-SPECIAL O")</f>
        <v xml:space="preserve">          4245 - SALES RETURN TAXABLE-SPECIAL O</v>
      </c>
      <c r="C78" s="11"/>
      <c r="D78" s="3">
        <f>-1121</f>
        <v>-1121</v>
      </c>
      <c r="E78" s="3"/>
      <c r="F78" s="22"/>
      <c r="G78" s="3"/>
      <c r="H78" s="3">
        <f>0</f>
        <v>0</v>
      </c>
      <c r="I78" s="3"/>
      <c r="J78" s="22"/>
      <c r="K78" s="3"/>
      <c r="L78" s="3">
        <f t="shared" si="0"/>
        <v>-1121</v>
      </c>
      <c r="M78" s="3"/>
      <c r="N78" s="22">
        <f t="shared" si="1"/>
        <v>0</v>
      </c>
      <c r="O78" s="11"/>
      <c r="P78" s="3">
        <f>-1121</f>
        <v>-1121</v>
      </c>
      <c r="Q78" s="3"/>
      <c r="R78" s="22"/>
      <c r="S78" s="3"/>
      <c r="T78" s="3">
        <f>0</f>
        <v>0</v>
      </c>
      <c r="U78" s="3"/>
      <c r="V78" s="22"/>
      <c r="W78" s="3"/>
      <c r="X78" s="3">
        <f t="shared" si="2"/>
        <v>-1121</v>
      </c>
      <c r="Y78" s="3"/>
      <c r="Z78" s="22">
        <f t="shared" si="3"/>
        <v>0</v>
      </c>
    </row>
    <row r="79" spans="1:26" s="24" customFormat="1" hidden="1" outlineLevel="1" x14ac:dyDescent="0.25">
      <c r="A79" s="50"/>
      <c r="B79" s="11" t="str">
        <f>CONCATENATE("          ", "4292", " - ", "SALES RETURN TAXABLE-GRAD MERC")</f>
        <v xml:space="preserve">          4292 - SALES RETURN TAXABLE-GRAD MERC</v>
      </c>
      <c r="C79" s="11"/>
      <c r="D79" s="3">
        <f t="shared" ref="D79:D80" si="14">0</f>
        <v>0</v>
      </c>
      <c r="E79" s="3"/>
      <c r="F79" s="22"/>
      <c r="G79" s="3"/>
      <c r="H79" s="3">
        <f>-9.95</f>
        <v>-9.9499999999999993</v>
      </c>
      <c r="I79" s="3"/>
      <c r="J79" s="22"/>
      <c r="K79" s="3"/>
      <c r="L79" s="3">
        <f t="shared" si="0"/>
        <v>9.9499999999999993</v>
      </c>
      <c r="M79" s="3"/>
      <c r="N79" s="22">
        <f t="shared" si="1"/>
        <v>-1</v>
      </c>
      <c r="O79" s="11"/>
      <c r="P79" s="3">
        <f t="shared" ref="P79:P80" si="15">0</f>
        <v>0</v>
      </c>
      <c r="Q79" s="3"/>
      <c r="R79" s="22"/>
      <c r="S79" s="3"/>
      <c r="T79" s="3">
        <f>-9.95</f>
        <v>-9.9499999999999993</v>
      </c>
      <c r="U79" s="3"/>
      <c r="V79" s="22"/>
      <c r="W79" s="3"/>
      <c r="X79" s="3">
        <f t="shared" si="2"/>
        <v>9.9499999999999993</v>
      </c>
      <c r="Y79" s="3"/>
      <c r="Z79" s="22">
        <f t="shared" si="3"/>
        <v>-1</v>
      </c>
    </row>
    <row r="80" spans="1:26" s="24" customFormat="1" hidden="1" outlineLevel="1" x14ac:dyDescent="0.25">
      <c r="A80" s="50"/>
      <c r="B80" s="11" t="str">
        <f>CONCATENATE("          ", "4301", " - ", "SALES RETURN NON TAXABLE-NEW T")</f>
        <v xml:space="preserve">          4301 - SALES RETURN NON TAXABLE-NEW T</v>
      </c>
      <c r="C80" s="11"/>
      <c r="D80" s="3">
        <f t="shared" si="14"/>
        <v>0</v>
      </c>
      <c r="E80" s="3"/>
      <c r="F80" s="22"/>
      <c r="G80" s="3"/>
      <c r="H80" s="3">
        <f>-254.59</f>
        <v>-254.59</v>
      </c>
      <c r="I80" s="3"/>
      <c r="J80" s="22"/>
      <c r="K80" s="3"/>
      <c r="L80" s="3">
        <f t="shared" si="0"/>
        <v>254.59</v>
      </c>
      <c r="M80" s="3"/>
      <c r="N80" s="22">
        <f t="shared" si="1"/>
        <v>-1</v>
      </c>
      <c r="O80" s="11"/>
      <c r="P80" s="3">
        <f t="shared" si="15"/>
        <v>0</v>
      </c>
      <c r="Q80" s="3"/>
      <c r="R80" s="22"/>
      <c r="S80" s="3"/>
      <c r="T80" s="3">
        <f>-254.59</f>
        <v>-254.59</v>
      </c>
      <c r="U80" s="3"/>
      <c r="V80" s="22"/>
      <c r="W80" s="3"/>
      <c r="X80" s="3">
        <f t="shared" si="2"/>
        <v>254.59</v>
      </c>
      <c r="Y80" s="3"/>
      <c r="Z80" s="22">
        <f t="shared" si="3"/>
        <v>-1</v>
      </c>
    </row>
    <row r="81" spans="1:26" s="24" customFormat="1" hidden="1" outlineLevel="1" x14ac:dyDescent="0.25">
      <c r="A81" s="50"/>
      <c r="B81" s="11" t="str">
        <f>CONCATENATE("          ", "4302", " - ", "SALES RETURN NON TAXABLE-TEXT")</f>
        <v xml:space="preserve">          4302 - SALES RETURN NON TAXABLE-TEXT</v>
      </c>
      <c r="C81" s="11"/>
      <c r="D81" s="3">
        <f>-63.67</f>
        <v>-63.67</v>
      </c>
      <c r="E81" s="3"/>
      <c r="F81" s="22"/>
      <c r="G81" s="3"/>
      <c r="H81" s="3">
        <f t="shared" ref="H81:H82" si="16">0</f>
        <v>0</v>
      </c>
      <c r="I81" s="3"/>
      <c r="J81" s="22"/>
      <c r="K81" s="3"/>
      <c r="L81" s="3">
        <f t="shared" si="0"/>
        <v>-63.67</v>
      </c>
      <c r="M81" s="3"/>
      <c r="N81" s="22">
        <f t="shared" si="1"/>
        <v>0</v>
      </c>
      <c r="O81" s="11"/>
      <c r="P81" s="3">
        <f>-63.67</f>
        <v>-63.67</v>
      </c>
      <c r="Q81" s="3"/>
      <c r="R81" s="22"/>
      <c r="S81" s="3"/>
      <c r="T81" s="3">
        <f t="shared" ref="T81:T82" si="17">0</f>
        <v>0</v>
      </c>
      <c r="U81" s="3"/>
      <c r="V81" s="22"/>
      <c r="W81" s="3"/>
      <c r="X81" s="3">
        <f t="shared" si="2"/>
        <v>-63.67</v>
      </c>
      <c r="Y81" s="3"/>
      <c r="Z81" s="22">
        <f t="shared" si="3"/>
        <v>0</v>
      </c>
    </row>
    <row r="82" spans="1:26" s="24" customFormat="1" hidden="1" outlineLevel="1" x14ac:dyDescent="0.25">
      <c r="A82" s="50"/>
      <c r="B82" s="11" t="str">
        <f>CONCATENATE("          ", "4304", " - ", "SALES RETURN NON TAXABLE-DIGIT")</f>
        <v xml:space="preserve">          4304 - SALES RETURN NON TAXABLE-DIGIT</v>
      </c>
      <c r="C82" s="11"/>
      <c r="D82" s="3">
        <f>-452.05</f>
        <v>-452.05</v>
      </c>
      <c r="E82" s="3"/>
      <c r="F82" s="22"/>
      <c r="G82" s="3"/>
      <c r="H82" s="3">
        <f t="shared" si="16"/>
        <v>0</v>
      </c>
      <c r="I82" s="3"/>
      <c r="J82" s="22"/>
      <c r="K82" s="3"/>
      <c r="L82" s="3">
        <f t="shared" si="0"/>
        <v>-452.05</v>
      </c>
      <c r="M82" s="3"/>
      <c r="N82" s="22">
        <f t="shared" si="1"/>
        <v>0</v>
      </c>
      <c r="O82" s="11"/>
      <c r="P82" s="3">
        <f>-452.05</f>
        <v>-452.05</v>
      </c>
      <c r="Q82" s="3"/>
      <c r="R82" s="22"/>
      <c r="S82" s="3"/>
      <c r="T82" s="3">
        <f t="shared" si="17"/>
        <v>0</v>
      </c>
      <c r="U82" s="3"/>
      <c r="V82" s="22"/>
      <c r="W82" s="3"/>
      <c r="X82" s="3">
        <f t="shared" si="2"/>
        <v>-452.05</v>
      </c>
      <c r="Y82" s="3"/>
      <c r="Z82" s="22">
        <f t="shared" si="3"/>
        <v>0</v>
      </c>
    </row>
    <row r="83" spans="1:26" s="24" customFormat="1" hidden="1" outlineLevel="1" x14ac:dyDescent="0.25">
      <c r="A83" s="50"/>
      <c r="B83" s="11" t="str">
        <f>CONCATENATE("          ", "4311", " - ", "SALES RETURN NON TAXABLE-NO VA")</f>
        <v xml:space="preserve">          4311 - SALES RETURN NON TAXABLE-NO VA</v>
      </c>
      <c r="C83" s="11"/>
      <c r="D83" s="3">
        <f>0</f>
        <v>0</v>
      </c>
      <c r="E83" s="3"/>
      <c r="F83" s="22"/>
      <c r="G83" s="3"/>
      <c r="H83" s="3">
        <f>-31.98</f>
        <v>-31.98</v>
      </c>
      <c r="I83" s="3"/>
      <c r="J83" s="22"/>
      <c r="K83" s="3"/>
      <c r="L83" s="3">
        <f t="shared" si="0"/>
        <v>31.98</v>
      </c>
      <c r="M83" s="3"/>
      <c r="N83" s="22">
        <f t="shared" si="1"/>
        <v>-1</v>
      </c>
      <c r="O83" s="11"/>
      <c r="P83" s="3">
        <f>0</f>
        <v>0</v>
      </c>
      <c r="Q83" s="3"/>
      <c r="R83" s="22"/>
      <c r="S83" s="3"/>
      <c r="T83" s="3">
        <f>-31.98</f>
        <v>-31.98</v>
      </c>
      <c r="U83" s="3"/>
      <c r="V83" s="22"/>
      <c r="W83" s="3"/>
      <c r="X83" s="3">
        <f t="shared" si="2"/>
        <v>31.98</v>
      </c>
      <c r="Y83" s="3"/>
      <c r="Z83" s="22">
        <f t="shared" si="3"/>
        <v>-1</v>
      </c>
    </row>
    <row r="84" spans="1:26" s="24" customFormat="1" hidden="1" outlineLevel="1" x14ac:dyDescent="0.25">
      <c r="A84" s="50"/>
      <c r="B84" s="11" t="str">
        <f>CONCATENATE("          ", "4340", " - ", "SALES RETURN NON TAXABLE-LOGO")</f>
        <v xml:space="preserve">          4340 - SALES RETURN NON TAXABLE-LOGO</v>
      </c>
      <c r="C84" s="11"/>
      <c r="D84" s="3">
        <f>-434.24</f>
        <v>-434.24</v>
      </c>
      <c r="E84" s="3"/>
      <c r="F84" s="22"/>
      <c r="G84" s="3"/>
      <c r="H84" s="3">
        <f>-223.55</f>
        <v>-223.55</v>
      </c>
      <c r="I84" s="3"/>
      <c r="J84" s="22"/>
      <c r="K84" s="3"/>
      <c r="L84" s="3">
        <f t="shared" si="0"/>
        <v>-210.69</v>
      </c>
      <c r="M84" s="3"/>
      <c r="N84" s="22">
        <f t="shared" si="1"/>
        <v>0.94247371952583314</v>
      </c>
      <c r="O84" s="11"/>
      <c r="P84" s="3">
        <f>-434.24</f>
        <v>-434.24</v>
      </c>
      <c r="Q84" s="3"/>
      <c r="R84" s="22"/>
      <c r="S84" s="3"/>
      <c r="T84" s="3">
        <f>-223.55</f>
        <v>-223.55</v>
      </c>
      <c r="U84" s="3"/>
      <c r="V84" s="22"/>
      <c r="W84" s="3"/>
      <c r="X84" s="3">
        <f t="shared" si="2"/>
        <v>-210.69</v>
      </c>
      <c r="Y84" s="3"/>
      <c r="Z84" s="22">
        <f t="shared" si="3"/>
        <v>0.94247371952583314</v>
      </c>
    </row>
    <row r="85" spans="1:26" s="24" customFormat="1" hidden="1" outlineLevel="1" x14ac:dyDescent="0.25">
      <c r="A85" s="50"/>
      <c r="B85" s="11" t="str">
        <f>CONCATENATE("          ", "4341", " - ", "SALES RETURN NON TAXABLE-LOGO")</f>
        <v xml:space="preserve">          4341 - SALES RETURN NON TAXABLE-LOGO</v>
      </c>
      <c r="C85" s="11"/>
      <c r="D85" s="3">
        <f>-16.95</f>
        <v>-16.95</v>
      </c>
      <c r="E85" s="3"/>
      <c r="F85" s="22"/>
      <c r="G85" s="3"/>
      <c r="H85" s="3">
        <f t="shared" ref="H85:H86" si="18">0</f>
        <v>0</v>
      </c>
      <c r="I85" s="3"/>
      <c r="J85" s="22"/>
      <c r="K85" s="3"/>
      <c r="L85" s="3">
        <f t="shared" si="0"/>
        <v>-16.95</v>
      </c>
      <c r="M85" s="3"/>
      <c r="N85" s="22">
        <f t="shared" si="1"/>
        <v>0</v>
      </c>
      <c r="O85" s="11"/>
      <c r="P85" s="3">
        <f>-16.95</f>
        <v>-16.95</v>
      </c>
      <c r="Q85" s="3"/>
      <c r="R85" s="22"/>
      <c r="S85" s="3"/>
      <c r="T85" s="3">
        <f t="shared" ref="T85:T86" si="19">0</f>
        <v>0</v>
      </c>
      <c r="U85" s="3"/>
      <c r="V85" s="22"/>
      <c r="W85" s="3"/>
      <c r="X85" s="3">
        <f t="shared" si="2"/>
        <v>-16.95</v>
      </c>
      <c r="Y85" s="3"/>
      <c r="Z85" s="22">
        <f t="shared" si="3"/>
        <v>0</v>
      </c>
    </row>
    <row r="86" spans="1:26" s="24" customFormat="1" hidden="1" outlineLevel="1" x14ac:dyDescent="0.25">
      <c r="A86" s="50"/>
      <c r="B86" s="11" t="str">
        <f>CONCATENATE("          ", "4342", " - ", "SALES RETURN NON TAXABLE-EVERY")</f>
        <v xml:space="preserve">          4342 - SALES RETURN NON TAXABLE-EVERY</v>
      </c>
      <c r="C86" s="11"/>
      <c r="D86" s="3">
        <f>-79.85</f>
        <v>-79.849999999999994</v>
      </c>
      <c r="E86" s="3"/>
      <c r="F86" s="22"/>
      <c r="G86" s="3"/>
      <c r="H86" s="3">
        <f t="shared" si="18"/>
        <v>0</v>
      </c>
      <c r="I86" s="3"/>
      <c r="J86" s="22"/>
      <c r="K86" s="3"/>
      <c r="L86" s="3">
        <f t="shared" si="0"/>
        <v>-79.849999999999994</v>
      </c>
      <c r="M86" s="3"/>
      <c r="N86" s="22">
        <f t="shared" si="1"/>
        <v>0</v>
      </c>
      <c r="O86" s="11"/>
      <c r="P86" s="3">
        <f>-79.85</f>
        <v>-79.849999999999994</v>
      </c>
      <c r="Q86" s="3"/>
      <c r="R86" s="22"/>
      <c r="S86" s="3"/>
      <c r="T86" s="3">
        <f t="shared" si="19"/>
        <v>0</v>
      </c>
      <c r="U86" s="3"/>
      <c r="V86" s="22"/>
      <c r="W86" s="3"/>
      <c r="X86" s="3">
        <f t="shared" si="2"/>
        <v>-79.849999999999994</v>
      </c>
      <c r="Y86" s="3"/>
      <c r="Z86" s="22">
        <f t="shared" si="3"/>
        <v>0</v>
      </c>
    </row>
    <row r="87" spans="1:26" x14ac:dyDescent="0.25">
      <c r="A87" s="9"/>
      <c r="B87" s="10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collapsed="1" x14ac:dyDescent="0.25">
      <c r="A88" s="10"/>
      <c r="B88" s="25" t="s">
        <v>8</v>
      </c>
      <c r="C88" s="10"/>
      <c r="D88" s="4">
        <f>SUM(OSRRefD16x_0)</f>
        <v>141395.27000000002</v>
      </c>
      <c r="E88" s="4"/>
      <c r="F88" s="12">
        <f t="shared" ref="F88:F124" si="20">IF(D$12=0,0,D88/D$12)</f>
        <v>0.62106108805724169</v>
      </c>
      <c r="G88" s="4"/>
      <c r="H88" s="4">
        <f>SUM(OSRRefH16x_0)</f>
        <v>193922.42999999996</v>
      </c>
      <c r="I88" s="4"/>
      <c r="J88" s="12">
        <f t="shared" ref="J88:J124" si="21">IF(H$12=0,0,H88/H$12)</f>
        <v>0.55101245280494826</v>
      </c>
      <c r="K88" s="4"/>
      <c r="L88" s="4">
        <f t="shared" ref="L88:L124" si="22">+D88-H88</f>
        <v>-52527.159999999945</v>
      </c>
      <c r="M88" s="4"/>
      <c r="N88" s="12">
        <f t="shared" ref="N88:N124" si="23">IF(H88=0,0,L88/H88)</f>
        <v>-0.27086686155902623</v>
      </c>
      <c r="O88" s="10"/>
      <c r="P88" s="4">
        <f>SUM(OSRRefP16x_0)</f>
        <v>141395.27000000002</v>
      </c>
      <c r="Q88" s="4"/>
      <c r="R88" s="12">
        <f t="shared" ref="R88:R124" si="24">IF(P$12=0,0,P88/P$12)</f>
        <v>0.62106108805724169</v>
      </c>
      <c r="S88" s="4"/>
      <c r="T88" s="4">
        <f>SUM(OSRRefT16x_0)</f>
        <v>193922.42999999996</v>
      </c>
      <c r="U88" s="4"/>
      <c r="V88" s="12">
        <f t="shared" ref="V88:V124" si="25">IF(T$12=0,0,T88/T$12)</f>
        <v>0.55101245280494826</v>
      </c>
      <c r="W88" s="4"/>
      <c r="X88" s="4">
        <f t="shared" ref="X88:X124" si="26">+P88-T88</f>
        <v>-52527.159999999945</v>
      </c>
      <c r="Y88" s="4"/>
      <c r="Z88" s="12">
        <f t="shared" ref="Z88:Z124" si="27">IF(T88=0,0,X88/T88)</f>
        <v>-0.27086686155902623</v>
      </c>
    </row>
    <row r="89" spans="1:26" s="24" customFormat="1" hidden="1" outlineLevel="1" x14ac:dyDescent="0.25">
      <c r="A89" s="50"/>
      <c r="B89" s="11" t="str">
        <f>CONCATENATE("          ", "5001", " - ", "PURCHASES @ COST-NEW TEXT")</f>
        <v xml:space="preserve">          5001 - PURCHASES @ COST-NEW TEXT</v>
      </c>
      <c r="C89" s="11"/>
      <c r="D89" s="3">
        <v>153110.63</v>
      </c>
      <c r="E89" s="3"/>
      <c r="F89" s="22">
        <f t="shared" si="20"/>
        <v>0.67251934566785532</v>
      </c>
      <c r="G89" s="3"/>
      <c r="H89" s="3">
        <v>343994.56</v>
      </c>
      <c r="I89" s="3"/>
      <c r="J89" s="22">
        <f t="shared" si="21"/>
        <v>0.97742837822916617</v>
      </c>
      <c r="K89" s="3"/>
      <c r="L89" s="3">
        <f t="shared" si="22"/>
        <v>-190883.93</v>
      </c>
      <c r="M89" s="3"/>
      <c r="N89" s="22">
        <f t="shared" si="23"/>
        <v>-0.5549039205736277</v>
      </c>
      <c r="O89" s="11"/>
      <c r="P89" s="3">
        <v>153110.63</v>
      </c>
      <c r="Q89" s="3"/>
      <c r="R89" s="22">
        <f t="shared" si="24"/>
        <v>0.67251934566785532</v>
      </c>
      <c r="S89" s="3"/>
      <c r="T89" s="3">
        <v>343994.56</v>
      </c>
      <c r="U89" s="3"/>
      <c r="V89" s="22">
        <f t="shared" si="25"/>
        <v>0.97742837822916617</v>
      </c>
      <c r="W89" s="3"/>
      <c r="X89" s="3">
        <f t="shared" si="26"/>
        <v>-190883.93</v>
      </c>
      <c r="Y89" s="3"/>
      <c r="Z89" s="22">
        <f t="shared" si="27"/>
        <v>-0.5549039205736277</v>
      </c>
    </row>
    <row r="90" spans="1:26" s="24" customFormat="1" hidden="1" outlineLevel="1" x14ac:dyDescent="0.25">
      <c r="A90" s="50"/>
      <c r="B90" s="11" t="str">
        <f>CONCATENATE("          ", "5002", " - ", "PURCHASES @ COST-USED TEXT")</f>
        <v xml:space="preserve">          5002 - PURCHASES @ COST-USED TEXT</v>
      </c>
      <c r="C90" s="11"/>
      <c r="D90" s="3">
        <v>60324.850000000006</v>
      </c>
      <c r="E90" s="3"/>
      <c r="F90" s="22">
        <f t="shared" si="20"/>
        <v>0.26496937965385897</v>
      </c>
      <c r="G90" s="3"/>
      <c r="H90" s="3">
        <v>110293.25</v>
      </c>
      <c r="I90" s="3"/>
      <c r="J90" s="22">
        <f t="shared" si="21"/>
        <v>0.3133879572895687</v>
      </c>
      <c r="K90" s="3"/>
      <c r="L90" s="3">
        <f t="shared" si="22"/>
        <v>-49968.399999999994</v>
      </c>
      <c r="M90" s="3"/>
      <c r="N90" s="22">
        <f t="shared" si="23"/>
        <v>-0.45305039066307318</v>
      </c>
      <c r="O90" s="11"/>
      <c r="P90" s="3">
        <v>60324.850000000006</v>
      </c>
      <c r="Q90" s="3"/>
      <c r="R90" s="22">
        <f t="shared" si="24"/>
        <v>0.26496937965385897</v>
      </c>
      <c r="S90" s="3"/>
      <c r="T90" s="3">
        <v>110293.25</v>
      </c>
      <c r="U90" s="3"/>
      <c r="V90" s="22">
        <f t="shared" si="25"/>
        <v>0.3133879572895687</v>
      </c>
      <c r="W90" s="3"/>
      <c r="X90" s="3">
        <f t="shared" si="26"/>
        <v>-49968.399999999994</v>
      </c>
      <c r="Y90" s="3"/>
      <c r="Z90" s="22">
        <f t="shared" si="27"/>
        <v>-0.45305039066307318</v>
      </c>
    </row>
    <row r="91" spans="1:26" s="24" customFormat="1" hidden="1" outlineLevel="1" x14ac:dyDescent="0.25">
      <c r="A91" s="50"/>
      <c r="B91" s="11" t="str">
        <f>CONCATENATE("          ", "5003", " - ", "PURCHASES @ COST-RENTAL TEXT")</f>
        <v xml:space="preserve">          5003 - PURCHASES @ COST-RENTAL TEXT</v>
      </c>
      <c r="C91" s="11"/>
      <c r="D91" s="3">
        <v>-11926.64</v>
      </c>
      <c r="E91" s="3"/>
      <c r="F91" s="22">
        <f t="shared" si="20"/>
        <v>-5.2386278658876066E-2</v>
      </c>
      <c r="G91" s="3"/>
      <c r="H91" s="3">
        <v>38295.800000000003</v>
      </c>
      <c r="I91" s="3"/>
      <c r="J91" s="22">
        <f t="shared" si="21"/>
        <v>0.10881393498486866</v>
      </c>
      <c r="K91" s="3"/>
      <c r="L91" s="3">
        <f t="shared" si="22"/>
        <v>-50222.44</v>
      </c>
      <c r="M91" s="3"/>
      <c r="N91" s="22">
        <f t="shared" si="23"/>
        <v>-1.311434674298487</v>
      </c>
      <c r="O91" s="11"/>
      <c r="P91" s="3">
        <v>-11926.64</v>
      </c>
      <c r="Q91" s="3"/>
      <c r="R91" s="22">
        <f t="shared" si="24"/>
        <v>-5.2386278658876066E-2</v>
      </c>
      <c r="S91" s="3"/>
      <c r="T91" s="3">
        <v>38295.800000000003</v>
      </c>
      <c r="U91" s="3"/>
      <c r="V91" s="22">
        <f t="shared" si="25"/>
        <v>0.10881393498486866</v>
      </c>
      <c r="W91" s="3"/>
      <c r="X91" s="3">
        <f t="shared" si="26"/>
        <v>-50222.44</v>
      </c>
      <c r="Y91" s="3"/>
      <c r="Z91" s="22">
        <f t="shared" si="27"/>
        <v>-1.311434674298487</v>
      </c>
    </row>
    <row r="92" spans="1:26" s="24" customFormat="1" hidden="1" outlineLevel="1" x14ac:dyDescent="0.25">
      <c r="A92" s="50"/>
      <c r="B92" s="11" t="str">
        <f>CONCATENATE("          ", "5004", " - ", "PURCHASES @ COST-DIGITAL TEXT")</f>
        <v xml:space="preserve">          5004 - PURCHASES @ COST-DIGITAL TEXT</v>
      </c>
      <c r="C92" s="11"/>
      <c r="D92" s="3">
        <v>4925.4799999999996</v>
      </c>
      <c r="E92" s="3"/>
      <c r="F92" s="22">
        <f t="shared" si="20"/>
        <v>2.163455657324451E-2</v>
      </c>
      <c r="G92" s="3"/>
      <c r="H92" s="3">
        <v>133958.57</v>
      </c>
      <c r="I92" s="3"/>
      <c r="J92" s="22">
        <f t="shared" si="21"/>
        <v>0.38063075132641117</v>
      </c>
      <c r="K92" s="3"/>
      <c r="L92" s="3">
        <f t="shared" si="22"/>
        <v>-129033.09000000001</v>
      </c>
      <c r="M92" s="3"/>
      <c r="N92" s="22">
        <f t="shared" si="23"/>
        <v>-0.96323131845913257</v>
      </c>
      <c r="O92" s="11"/>
      <c r="P92" s="3">
        <v>4925.4799999999996</v>
      </c>
      <c r="Q92" s="3"/>
      <c r="R92" s="22">
        <f t="shared" si="24"/>
        <v>2.163455657324451E-2</v>
      </c>
      <c r="S92" s="3"/>
      <c r="T92" s="3">
        <v>133958.57</v>
      </c>
      <c r="U92" s="3"/>
      <c r="V92" s="22">
        <f t="shared" si="25"/>
        <v>0.38063075132641117</v>
      </c>
      <c r="W92" s="3"/>
      <c r="X92" s="3">
        <f t="shared" si="26"/>
        <v>-129033.09000000001</v>
      </c>
      <c r="Y92" s="3"/>
      <c r="Z92" s="22">
        <f t="shared" si="27"/>
        <v>-0.96323131845913257</v>
      </c>
    </row>
    <row r="93" spans="1:26" s="24" customFormat="1" hidden="1" outlineLevel="1" x14ac:dyDescent="0.25">
      <c r="A93" s="50"/>
      <c r="B93" s="11" t="str">
        <f>CONCATENATE("          ", "5011", " - ", "PURCHASES @ COST-NO VALUE TEXT")</f>
        <v xml:space="preserve">          5011 - PURCHASES @ COST-NO VALUE TEXT</v>
      </c>
      <c r="C93" s="11"/>
      <c r="D93" s="3"/>
      <c r="E93" s="3"/>
      <c r="F93" s="22">
        <f t="shared" si="20"/>
        <v>0</v>
      </c>
      <c r="G93" s="3"/>
      <c r="H93" s="3">
        <v>288</v>
      </c>
      <c r="I93" s="3"/>
      <c r="J93" s="22">
        <f t="shared" si="21"/>
        <v>8.1832507156508476E-4</v>
      </c>
      <c r="K93" s="3"/>
      <c r="L93" s="3">
        <f t="shared" si="22"/>
        <v>-288</v>
      </c>
      <c r="M93" s="3"/>
      <c r="N93" s="22">
        <f t="shared" si="23"/>
        <v>-1</v>
      </c>
      <c r="O93" s="11"/>
      <c r="P93" s="3"/>
      <c r="Q93" s="3"/>
      <c r="R93" s="22">
        <f t="shared" si="24"/>
        <v>0</v>
      </c>
      <c r="S93" s="3"/>
      <c r="T93" s="3">
        <v>288</v>
      </c>
      <c r="U93" s="3"/>
      <c r="V93" s="22">
        <f t="shared" si="25"/>
        <v>8.1832507156508476E-4</v>
      </c>
      <c r="W93" s="3"/>
      <c r="X93" s="3">
        <f t="shared" si="26"/>
        <v>-288</v>
      </c>
      <c r="Y93" s="3"/>
      <c r="Z93" s="22">
        <f t="shared" si="27"/>
        <v>-1</v>
      </c>
    </row>
    <row r="94" spans="1:26" s="24" customFormat="1" hidden="1" outlineLevel="1" x14ac:dyDescent="0.25">
      <c r="A94" s="50"/>
      <c r="B94" s="11" t="str">
        <f>CONCATENATE("          ", "5013", " - ", "PURCHASES @ COST-TRADE BOOKS")</f>
        <v xml:space="preserve">          5013 - PURCHASES @ COST-TRADE BOOKS</v>
      </c>
      <c r="C94" s="11"/>
      <c r="D94" s="3">
        <v>108.54</v>
      </c>
      <c r="E94" s="3"/>
      <c r="F94" s="22">
        <f t="shared" si="20"/>
        <v>4.7674841243086142E-4</v>
      </c>
      <c r="G94" s="3"/>
      <c r="H94" s="3">
        <v>204.9</v>
      </c>
      <c r="I94" s="3"/>
      <c r="J94" s="22">
        <f t="shared" si="21"/>
        <v>5.8220419154057595E-4</v>
      </c>
      <c r="K94" s="3"/>
      <c r="L94" s="3">
        <f t="shared" si="22"/>
        <v>-96.36</v>
      </c>
      <c r="M94" s="3"/>
      <c r="N94" s="22">
        <f t="shared" si="23"/>
        <v>-0.47027818448023423</v>
      </c>
      <c r="O94" s="11"/>
      <c r="P94" s="3">
        <v>108.54</v>
      </c>
      <c r="Q94" s="3"/>
      <c r="R94" s="22">
        <f t="shared" si="24"/>
        <v>4.7674841243086142E-4</v>
      </c>
      <c r="S94" s="3"/>
      <c r="T94" s="3">
        <v>204.9</v>
      </c>
      <c r="U94" s="3"/>
      <c r="V94" s="22">
        <f t="shared" si="25"/>
        <v>5.8220419154057595E-4</v>
      </c>
      <c r="W94" s="3"/>
      <c r="X94" s="3">
        <f t="shared" si="26"/>
        <v>-96.36</v>
      </c>
      <c r="Y94" s="3"/>
      <c r="Z94" s="22">
        <f t="shared" si="27"/>
        <v>-0.47027818448023423</v>
      </c>
    </row>
    <row r="95" spans="1:26" s="24" customFormat="1" hidden="1" outlineLevel="1" x14ac:dyDescent="0.25">
      <c r="A95" s="50"/>
      <c r="B95" s="11" t="str">
        <f>CONCATENATE("          ", "5014", " - ", "PURCHASES @ COST-REMAINDERS")</f>
        <v xml:space="preserve">          5014 - PURCHASES @ COST-REMAINDERS</v>
      </c>
      <c r="C95" s="11"/>
      <c r="D95" s="3">
        <v>-12.51</v>
      </c>
      <c r="E95" s="3"/>
      <c r="F95" s="22">
        <f t="shared" si="20"/>
        <v>-5.494861469974273E-5</v>
      </c>
      <c r="G95" s="3"/>
      <c r="H95" s="3">
        <v>100.48</v>
      </c>
      <c r="I95" s="3"/>
      <c r="J95" s="22">
        <f t="shared" si="21"/>
        <v>2.8550452496826293E-4</v>
      </c>
      <c r="K95" s="3"/>
      <c r="L95" s="3">
        <f t="shared" si="22"/>
        <v>-112.99000000000001</v>
      </c>
      <c r="M95" s="3"/>
      <c r="N95" s="22">
        <f t="shared" si="23"/>
        <v>-1.1245023885350318</v>
      </c>
      <c r="O95" s="11"/>
      <c r="P95" s="3">
        <v>-12.51</v>
      </c>
      <c r="Q95" s="3"/>
      <c r="R95" s="22">
        <f t="shared" si="24"/>
        <v>-5.494861469974273E-5</v>
      </c>
      <c r="S95" s="3"/>
      <c r="T95" s="3">
        <v>100.48</v>
      </c>
      <c r="U95" s="3"/>
      <c r="V95" s="22">
        <f t="shared" si="25"/>
        <v>2.8550452496826293E-4</v>
      </c>
      <c r="W95" s="3"/>
      <c r="X95" s="3">
        <f t="shared" si="26"/>
        <v>-112.99000000000001</v>
      </c>
      <c r="Y95" s="3"/>
      <c r="Z95" s="22">
        <f t="shared" si="27"/>
        <v>-1.1245023885350318</v>
      </c>
    </row>
    <row r="96" spans="1:26" s="24" customFormat="1" hidden="1" outlineLevel="1" x14ac:dyDescent="0.25">
      <c r="A96" s="50"/>
      <c r="B96" s="11" t="str">
        <f>CONCATENATE("          ", "5018", " - ", "PURCHASES @ COST-STUDY GUIDES")</f>
        <v xml:space="preserve">          5018 - PURCHASES @ COST-STUDY GUIDES</v>
      </c>
      <c r="C96" s="11"/>
      <c r="D96" s="3"/>
      <c r="E96" s="3"/>
      <c r="F96" s="22">
        <f t="shared" si="20"/>
        <v>0</v>
      </c>
      <c r="G96" s="3"/>
      <c r="H96" s="3">
        <v>503.93</v>
      </c>
      <c r="I96" s="3"/>
      <c r="J96" s="22">
        <f t="shared" si="21"/>
        <v>1.4318699767840041E-3</v>
      </c>
      <c r="K96" s="3"/>
      <c r="L96" s="3">
        <f t="shared" si="22"/>
        <v>-503.93</v>
      </c>
      <c r="M96" s="3"/>
      <c r="N96" s="22">
        <f t="shared" si="23"/>
        <v>-1</v>
      </c>
      <c r="O96" s="11"/>
      <c r="P96" s="3"/>
      <c r="Q96" s="3"/>
      <c r="R96" s="22">
        <f t="shared" si="24"/>
        <v>0</v>
      </c>
      <c r="S96" s="3"/>
      <c r="T96" s="3">
        <v>503.93</v>
      </c>
      <c r="U96" s="3"/>
      <c r="V96" s="22">
        <f t="shared" si="25"/>
        <v>1.4318699767840041E-3</v>
      </c>
      <c r="W96" s="3"/>
      <c r="X96" s="3">
        <f t="shared" si="26"/>
        <v>-503.93</v>
      </c>
      <c r="Y96" s="3"/>
      <c r="Z96" s="22">
        <f t="shared" si="27"/>
        <v>-1</v>
      </c>
    </row>
    <row r="97" spans="1:26" s="24" customFormat="1" hidden="1" outlineLevel="1" x14ac:dyDescent="0.25">
      <c r="A97" s="50"/>
      <c r="B97" s="11" t="str">
        <f>CONCATENATE("          ", "5025", " - ", "PURCHASES @ COST-TEST FORMS")</f>
        <v xml:space="preserve">          5025 - PURCHASES @ COST-TEST FORMS</v>
      </c>
      <c r="C97" s="11"/>
      <c r="D97" s="3"/>
      <c r="E97" s="3"/>
      <c r="F97" s="22">
        <f t="shared" si="20"/>
        <v>0</v>
      </c>
      <c r="G97" s="3"/>
      <c r="H97" s="3">
        <v>879.12</v>
      </c>
      <c r="I97" s="3"/>
      <c r="J97" s="22">
        <f t="shared" si="21"/>
        <v>2.497937280952421E-3</v>
      </c>
      <c r="K97" s="3"/>
      <c r="L97" s="3">
        <f t="shared" si="22"/>
        <v>-879.12</v>
      </c>
      <c r="M97" s="3"/>
      <c r="N97" s="22">
        <f t="shared" si="23"/>
        <v>-1</v>
      </c>
      <c r="O97" s="11"/>
      <c r="P97" s="3"/>
      <c r="Q97" s="3"/>
      <c r="R97" s="22">
        <f t="shared" si="24"/>
        <v>0</v>
      </c>
      <c r="S97" s="3"/>
      <c r="T97" s="3">
        <v>879.12</v>
      </c>
      <c r="U97" s="3"/>
      <c r="V97" s="22">
        <f t="shared" si="25"/>
        <v>2.497937280952421E-3</v>
      </c>
      <c r="W97" s="3"/>
      <c r="X97" s="3">
        <f t="shared" si="26"/>
        <v>-879.12</v>
      </c>
      <c r="Y97" s="3"/>
      <c r="Z97" s="22">
        <f t="shared" si="27"/>
        <v>-1</v>
      </c>
    </row>
    <row r="98" spans="1:26" s="24" customFormat="1" hidden="1" outlineLevel="1" x14ac:dyDescent="0.25">
      <c r="A98" s="50"/>
      <c r="B98" s="11" t="str">
        <f>CONCATENATE("          ", "5026", " - ", "PURCHASES @ COST-WRITING INSTR")</f>
        <v xml:space="preserve">          5026 - PURCHASES @ COST-WRITING INSTR</v>
      </c>
      <c r="C98" s="11"/>
      <c r="D98" s="3"/>
      <c r="E98" s="3"/>
      <c r="F98" s="22">
        <f t="shared" si="20"/>
        <v>0</v>
      </c>
      <c r="G98" s="3"/>
      <c r="H98" s="3">
        <v>10331.040000000001</v>
      </c>
      <c r="I98" s="3"/>
      <c r="J98" s="22">
        <f t="shared" si="21"/>
        <v>2.9354684192158868E-2</v>
      </c>
      <c r="K98" s="3"/>
      <c r="L98" s="3">
        <f t="shared" si="22"/>
        <v>-10331.040000000001</v>
      </c>
      <c r="M98" s="3"/>
      <c r="N98" s="22">
        <f t="shared" si="23"/>
        <v>-1</v>
      </c>
      <c r="O98" s="11"/>
      <c r="P98" s="3"/>
      <c r="Q98" s="3"/>
      <c r="R98" s="22">
        <f t="shared" si="24"/>
        <v>0</v>
      </c>
      <c r="S98" s="3"/>
      <c r="T98" s="3">
        <v>10331.040000000001</v>
      </c>
      <c r="U98" s="3"/>
      <c r="V98" s="22">
        <f t="shared" si="25"/>
        <v>2.9354684192158868E-2</v>
      </c>
      <c r="W98" s="3"/>
      <c r="X98" s="3">
        <f t="shared" si="26"/>
        <v>-10331.040000000001</v>
      </c>
      <c r="Y98" s="3"/>
      <c r="Z98" s="22">
        <f t="shared" si="27"/>
        <v>-1</v>
      </c>
    </row>
    <row r="99" spans="1:26" s="24" customFormat="1" hidden="1" outlineLevel="1" x14ac:dyDescent="0.25">
      <c r="A99" s="50"/>
      <c r="B99" s="11" t="str">
        <f>CONCATENATE("          ", "5027", " - ", "PURCHASES @ COST-SCHOOL SUPPLI")</f>
        <v xml:space="preserve">          5027 - PURCHASES @ COST-SCHOOL SUPPLI</v>
      </c>
      <c r="C99" s="11"/>
      <c r="D99" s="3">
        <v>8503.4</v>
      </c>
      <c r="E99" s="3"/>
      <c r="F99" s="22">
        <f t="shared" si="20"/>
        <v>3.7350123919887478E-2</v>
      </c>
      <c r="G99" s="3"/>
      <c r="H99" s="3">
        <v>50115.47</v>
      </c>
      <c r="I99" s="3"/>
      <c r="J99" s="22">
        <f t="shared" si="21"/>
        <v>0.14239842213287451</v>
      </c>
      <c r="K99" s="3"/>
      <c r="L99" s="3">
        <f t="shared" si="22"/>
        <v>-41612.07</v>
      </c>
      <c r="M99" s="3"/>
      <c r="N99" s="22">
        <f t="shared" si="23"/>
        <v>-0.83032385010057774</v>
      </c>
      <c r="O99" s="11"/>
      <c r="P99" s="3">
        <v>8503.4</v>
      </c>
      <c r="Q99" s="3"/>
      <c r="R99" s="22">
        <f t="shared" si="24"/>
        <v>3.7350123919887478E-2</v>
      </c>
      <c r="S99" s="3"/>
      <c r="T99" s="3">
        <v>50115.47</v>
      </c>
      <c r="U99" s="3"/>
      <c r="V99" s="22">
        <f t="shared" si="25"/>
        <v>0.14239842213287451</v>
      </c>
      <c r="W99" s="3"/>
      <c r="X99" s="3">
        <f t="shared" si="26"/>
        <v>-41612.07</v>
      </c>
      <c r="Y99" s="3"/>
      <c r="Z99" s="22">
        <f t="shared" si="27"/>
        <v>-0.83032385010057774</v>
      </c>
    </row>
    <row r="100" spans="1:26" s="24" customFormat="1" hidden="1" outlineLevel="1" x14ac:dyDescent="0.25">
      <c r="A100" s="50"/>
      <c r="B100" s="11" t="str">
        <f>CONCATENATE("          ", "5028", " - ", "PURCHASES @ COST-ART/TECH")</f>
        <v xml:space="preserve">          5028 - PURCHASES @ COST-ART/TECH</v>
      </c>
      <c r="C100" s="11"/>
      <c r="D100" s="3"/>
      <c r="E100" s="3"/>
      <c r="F100" s="22">
        <f t="shared" si="20"/>
        <v>0</v>
      </c>
      <c r="G100" s="3"/>
      <c r="H100" s="3">
        <v>28027.649999999998</v>
      </c>
      <c r="I100" s="3"/>
      <c r="J100" s="22">
        <f t="shared" si="21"/>
        <v>7.9637946847399818E-2</v>
      </c>
      <c r="K100" s="3"/>
      <c r="L100" s="3">
        <f t="shared" si="22"/>
        <v>-28027.649999999998</v>
      </c>
      <c r="M100" s="3"/>
      <c r="N100" s="22">
        <f t="shared" si="23"/>
        <v>-1</v>
      </c>
      <c r="O100" s="11"/>
      <c r="P100" s="3"/>
      <c r="Q100" s="3"/>
      <c r="R100" s="22">
        <f t="shared" si="24"/>
        <v>0</v>
      </c>
      <c r="S100" s="3"/>
      <c r="T100" s="3">
        <v>28027.649999999998</v>
      </c>
      <c r="U100" s="3"/>
      <c r="V100" s="22">
        <f t="shared" si="25"/>
        <v>7.9637946847399818E-2</v>
      </c>
      <c r="W100" s="3"/>
      <c r="X100" s="3">
        <f t="shared" si="26"/>
        <v>-28027.649999999998</v>
      </c>
      <c r="Y100" s="3"/>
      <c r="Z100" s="22">
        <f t="shared" si="27"/>
        <v>-1</v>
      </c>
    </row>
    <row r="101" spans="1:26" s="24" customFormat="1" hidden="1" outlineLevel="1" x14ac:dyDescent="0.25">
      <c r="A101" s="50"/>
      <c r="B101" s="11" t="str">
        <f>CONCATENATE("          ", "5032", " - ", "PURCHASES @ COST-JUICE")</f>
        <v xml:space="preserve">          5032 - PURCHASES @ COST-JUICE</v>
      </c>
      <c r="C101" s="11"/>
      <c r="D101" s="3"/>
      <c r="E101" s="3"/>
      <c r="F101" s="22">
        <f t="shared" si="20"/>
        <v>0</v>
      </c>
      <c r="G101" s="3"/>
      <c r="H101" s="3">
        <v>114.42</v>
      </c>
      <c r="I101" s="3"/>
      <c r="J101" s="22">
        <f t="shared" si="21"/>
        <v>3.2511373155721181E-4</v>
      </c>
      <c r="K101" s="3"/>
      <c r="L101" s="3">
        <f t="shared" si="22"/>
        <v>-114.42</v>
      </c>
      <c r="M101" s="3"/>
      <c r="N101" s="22">
        <f t="shared" si="23"/>
        <v>-1</v>
      </c>
      <c r="O101" s="11"/>
      <c r="P101" s="3"/>
      <c r="Q101" s="3"/>
      <c r="R101" s="22">
        <f t="shared" si="24"/>
        <v>0</v>
      </c>
      <c r="S101" s="3"/>
      <c r="T101" s="3">
        <v>114.42</v>
      </c>
      <c r="U101" s="3"/>
      <c r="V101" s="22">
        <f t="shared" si="25"/>
        <v>3.2511373155721181E-4</v>
      </c>
      <c r="W101" s="3"/>
      <c r="X101" s="3">
        <f t="shared" si="26"/>
        <v>-114.42</v>
      </c>
      <c r="Y101" s="3"/>
      <c r="Z101" s="22">
        <f t="shared" si="27"/>
        <v>-1</v>
      </c>
    </row>
    <row r="102" spans="1:26" s="24" customFormat="1" hidden="1" outlineLevel="1" x14ac:dyDescent="0.25">
      <c r="A102" s="50"/>
      <c r="B102" s="11" t="str">
        <f>CONCATENATE("          ", "5034", " - ", "PURCHASES @ COST-SODA")</f>
        <v xml:space="preserve">          5034 - PURCHASES @ COST-SODA</v>
      </c>
      <c r="C102" s="11"/>
      <c r="D102" s="3"/>
      <c r="E102" s="3"/>
      <c r="F102" s="22">
        <f t="shared" si="20"/>
        <v>0</v>
      </c>
      <c r="G102" s="3"/>
      <c r="H102" s="3">
        <v>-61.54</v>
      </c>
      <c r="I102" s="3"/>
      <c r="J102" s="22">
        <f t="shared" si="21"/>
        <v>-1.7486015591706706E-4</v>
      </c>
      <c r="K102" s="3"/>
      <c r="L102" s="3">
        <f t="shared" si="22"/>
        <v>61.54</v>
      </c>
      <c r="M102" s="3"/>
      <c r="N102" s="22">
        <f t="shared" si="23"/>
        <v>-1</v>
      </c>
      <c r="O102" s="11"/>
      <c r="P102" s="3"/>
      <c r="Q102" s="3"/>
      <c r="R102" s="22">
        <f t="shared" si="24"/>
        <v>0</v>
      </c>
      <c r="S102" s="3"/>
      <c r="T102" s="3">
        <v>-61.54</v>
      </c>
      <c r="U102" s="3"/>
      <c r="V102" s="22">
        <f t="shared" si="25"/>
        <v>-1.7486015591706706E-4</v>
      </c>
      <c r="W102" s="3"/>
      <c r="X102" s="3">
        <f t="shared" si="26"/>
        <v>61.54</v>
      </c>
      <c r="Y102" s="3"/>
      <c r="Z102" s="22">
        <f t="shared" si="27"/>
        <v>-1</v>
      </c>
    </row>
    <row r="103" spans="1:26" s="24" customFormat="1" hidden="1" outlineLevel="1" x14ac:dyDescent="0.25">
      <c r="A103" s="50"/>
      <c r="B103" s="11" t="str">
        <f>CONCATENATE("          ", "5037", " - ", "PURCHASES @ COST-WATER")</f>
        <v xml:space="preserve">          5037 - PURCHASES @ COST-WATER</v>
      </c>
      <c r="C103" s="11"/>
      <c r="D103" s="3"/>
      <c r="E103" s="3"/>
      <c r="F103" s="22">
        <f t="shared" si="20"/>
        <v>0</v>
      </c>
      <c r="G103" s="3"/>
      <c r="H103" s="3">
        <v>33.58</v>
      </c>
      <c r="I103" s="3"/>
      <c r="J103" s="22">
        <f t="shared" si="21"/>
        <v>9.5414430219290089E-5</v>
      </c>
      <c r="K103" s="3"/>
      <c r="L103" s="3">
        <f t="shared" si="22"/>
        <v>-33.58</v>
      </c>
      <c r="M103" s="3"/>
      <c r="N103" s="22">
        <f t="shared" si="23"/>
        <v>-1</v>
      </c>
      <c r="O103" s="11"/>
      <c r="P103" s="3"/>
      <c r="Q103" s="3"/>
      <c r="R103" s="22">
        <f t="shared" si="24"/>
        <v>0</v>
      </c>
      <c r="S103" s="3"/>
      <c r="T103" s="3">
        <v>33.58</v>
      </c>
      <c r="U103" s="3"/>
      <c r="V103" s="22">
        <f t="shared" si="25"/>
        <v>9.5414430219290089E-5</v>
      </c>
      <c r="W103" s="3"/>
      <c r="X103" s="3">
        <f t="shared" si="26"/>
        <v>-33.58</v>
      </c>
      <c r="Y103" s="3"/>
      <c r="Z103" s="22">
        <f t="shared" si="27"/>
        <v>-1</v>
      </c>
    </row>
    <row r="104" spans="1:26" s="24" customFormat="1" hidden="1" outlineLevel="1" x14ac:dyDescent="0.25">
      <c r="A104" s="50"/>
      <c r="B104" s="11" t="str">
        <f>CONCATENATE("          ", "5040", " - ", "PURCHASES @ COST-LOGO CLOTHING")</f>
        <v xml:space="preserve">          5040 - PURCHASES @ COST-LOGO CLOTHING</v>
      </c>
      <c r="C104" s="11"/>
      <c r="D104" s="3">
        <v>1723.07</v>
      </c>
      <c r="E104" s="3"/>
      <c r="F104" s="22">
        <f t="shared" si="20"/>
        <v>7.5683700664017353E-3</v>
      </c>
      <c r="G104" s="3"/>
      <c r="H104" s="3">
        <v>78921.570000000007</v>
      </c>
      <c r="I104" s="3"/>
      <c r="J104" s="22">
        <f t="shared" si="21"/>
        <v>0.2242482618690238</v>
      </c>
      <c r="K104" s="3"/>
      <c r="L104" s="3">
        <f t="shared" si="22"/>
        <v>-77198.5</v>
      </c>
      <c r="M104" s="3"/>
      <c r="N104" s="22">
        <f t="shared" si="23"/>
        <v>-0.97816731218094111</v>
      </c>
      <c r="O104" s="11"/>
      <c r="P104" s="3">
        <v>1723.07</v>
      </c>
      <c r="Q104" s="3"/>
      <c r="R104" s="22">
        <f t="shared" si="24"/>
        <v>7.5683700664017353E-3</v>
      </c>
      <c r="S104" s="3"/>
      <c r="T104" s="3">
        <v>78921.570000000007</v>
      </c>
      <c r="U104" s="3"/>
      <c r="V104" s="22">
        <f t="shared" si="25"/>
        <v>0.2242482618690238</v>
      </c>
      <c r="W104" s="3"/>
      <c r="X104" s="3">
        <f t="shared" si="26"/>
        <v>-77198.5</v>
      </c>
      <c r="Y104" s="3"/>
      <c r="Z104" s="22">
        <f t="shared" si="27"/>
        <v>-0.97816731218094111</v>
      </c>
    </row>
    <row r="105" spans="1:26" s="24" customFormat="1" hidden="1" outlineLevel="1" x14ac:dyDescent="0.25">
      <c r="A105" s="50"/>
      <c r="B105" s="11" t="str">
        <f>CONCATENATE("          ", "5041", " - ", "PURCHASES @ COST-LOGO GIFTS")</f>
        <v xml:space="preserve">          5041 - PURCHASES @ COST-LOGO GIFTS</v>
      </c>
      <c r="C105" s="11"/>
      <c r="D105" s="3">
        <v>-713.75</v>
      </c>
      <c r="E105" s="3"/>
      <c r="F105" s="22">
        <f t="shared" si="20"/>
        <v>-3.1350578530728516E-3</v>
      </c>
      <c r="G105" s="3"/>
      <c r="H105" s="3">
        <v>11950.27</v>
      </c>
      <c r="I105" s="3"/>
      <c r="J105" s="22">
        <f t="shared" si="21"/>
        <v>3.3955574836708628E-2</v>
      </c>
      <c r="K105" s="3"/>
      <c r="L105" s="3">
        <f t="shared" si="22"/>
        <v>-12664.02</v>
      </c>
      <c r="M105" s="3"/>
      <c r="N105" s="22">
        <f t="shared" si="23"/>
        <v>-1.0597266839996085</v>
      </c>
      <c r="O105" s="11"/>
      <c r="P105" s="3">
        <v>-713.75</v>
      </c>
      <c r="Q105" s="3"/>
      <c r="R105" s="22">
        <f t="shared" si="24"/>
        <v>-3.1350578530728516E-3</v>
      </c>
      <c r="S105" s="3"/>
      <c r="T105" s="3">
        <v>11950.27</v>
      </c>
      <c r="U105" s="3"/>
      <c r="V105" s="22">
        <f t="shared" si="25"/>
        <v>3.3955574836708628E-2</v>
      </c>
      <c r="W105" s="3"/>
      <c r="X105" s="3">
        <f t="shared" si="26"/>
        <v>-12664.02</v>
      </c>
      <c r="Y105" s="3"/>
      <c r="Z105" s="22">
        <f t="shared" si="27"/>
        <v>-1.0597266839996085</v>
      </c>
    </row>
    <row r="106" spans="1:26" s="24" customFormat="1" hidden="1" outlineLevel="1" x14ac:dyDescent="0.25">
      <c r="A106" s="50"/>
      <c r="B106" s="11" t="str">
        <f>CONCATENATE("          ", "5042", " - ", "PURCHASES @ COST-EVERYDAY GIFT")</f>
        <v xml:space="preserve">          5042 - PURCHASES @ COST-EVERYDAY GIFT</v>
      </c>
      <c r="C106" s="11"/>
      <c r="D106" s="3">
        <v>236.16</v>
      </c>
      <c r="E106" s="3"/>
      <c r="F106" s="22">
        <f t="shared" si="20"/>
        <v>1.0373033451232009E-3</v>
      </c>
      <c r="G106" s="3"/>
      <c r="H106" s="3">
        <v>7752.36</v>
      </c>
      <c r="I106" s="3"/>
      <c r="J106" s="22">
        <f t="shared" si="21"/>
        <v>2.2027606082632985E-2</v>
      </c>
      <c r="K106" s="3"/>
      <c r="L106" s="3">
        <f t="shared" si="22"/>
        <v>-7516.2</v>
      </c>
      <c r="M106" s="3"/>
      <c r="N106" s="22">
        <f t="shared" si="23"/>
        <v>-0.96953701840471807</v>
      </c>
      <c r="O106" s="11"/>
      <c r="P106" s="3">
        <v>236.16</v>
      </c>
      <c r="Q106" s="3"/>
      <c r="R106" s="22">
        <f t="shared" si="24"/>
        <v>1.0373033451232009E-3</v>
      </c>
      <c r="S106" s="3"/>
      <c r="T106" s="3">
        <v>7752.36</v>
      </c>
      <c r="U106" s="3"/>
      <c r="V106" s="22">
        <f t="shared" si="25"/>
        <v>2.2027606082632985E-2</v>
      </c>
      <c r="W106" s="3"/>
      <c r="X106" s="3">
        <f t="shared" si="26"/>
        <v>-7516.2</v>
      </c>
      <c r="Y106" s="3"/>
      <c r="Z106" s="22">
        <f t="shared" si="27"/>
        <v>-0.96953701840471807</v>
      </c>
    </row>
    <row r="107" spans="1:26" s="24" customFormat="1" hidden="1" outlineLevel="1" x14ac:dyDescent="0.25">
      <c r="A107" s="50"/>
      <c r="B107" s="11" t="str">
        <f>CONCATENATE("          ", "5043", " - ", "PURCHASES @ COST-CARDS")</f>
        <v xml:space="preserve">          5043 - PURCHASES @ COST-CARDS</v>
      </c>
      <c r="C107" s="11"/>
      <c r="D107" s="3">
        <v>308.7</v>
      </c>
      <c r="E107" s="3"/>
      <c r="F107" s="22">
        <f t="shared" si="20"/>
        <v>1.355926247626745E-3</v>
      </c>
      <c r="G107" s="3"/>
      <c r="H107" s="3">
        <v>498.26</v>
      </c>
      <c r="I107" s="3"/>
      <c r="J107" s="22">
        <f t="shared" si="21"/>
        <v>1.4157592019375664E-3</v>
      </c>
      <c r="K107" s="3"/>
      <c r="L107" s="3">
        <f t="shared" si="22"/>
        <v>-189.56</v>
      </c>
      <c r="M107" s="3"/>
      <c r="N107" s="22">
        <f t="shared" si="23"/>
        <v>-0.38044394492835065</v>
      </c>
      <c r="O107" s="11"/>
      <c r="P107" s="3">
        <v>308.7</v>
      </c>
      <c r="Q107" s="3"/>
      <c r="R107" s="22">
        <f t="shared" si="24"/>
        <v>1.355926247626745E-3</v>
      </c>
      <c r="S107" s="3"/>
      <c r="T107" s="3">
        <v>498.26</v>
      </c>
      <c r="U107" s="3"/>
      <c r="V107" s="22">
        <f t="shared" si="25"/>
        <v>1.4157592019375664E-3</v>
      </c>
      <c r="W107" s="3"/>
      <c r="X107" s="3">
        <f t="shared" si="26"/>
        <v>-189.56</v>
      </c>
      <c r="Y107" s="3"/>
      <c r="Z107" s="22">
        <f t="shared" si="27"/>
        <v>-0.38044394492835065</v>
      </c>
    </row>
    <row r="108" spans="1:26" s="24" customFormat="1" hidden="1" outlineLevel="1" x14ac:dyDescent="0.25">
      <c r="A108" s="50"/>
      <c r="B108" s="11" t="str">
        <f>CONCATENATE("          ", "5044", " - ", "PURCHASES @ COST-ACCESSORIES")</f>
        <v xml:space="preserve">          5044 - PURCHASES @ COST-ACCESSORIES</v>
      </c>
      <c r="C108" s="11"/>
      <c r="D108" s="3"/>
      <c r="E108" s="3"/>
      <c r="F108" s="22">
        <f t="shared" si="20"/>
        <v>0</v>
      </c>
      <c r="G108" s="3"/>
      <c r="H108" s="3">
        <v>4839</v>
      </c>
      <c r="I108" s="3"/>
      <c r="J108" s="22">
        <f t="shared" si="21"/>
        <v>1.3749566046192518E-2</v>
      </c>
      <c r="K108" s="3"/>
      <c r="L108" s="3">
        <f t="shared" si="22"/>
        <v>-4839</v>
      </c>
      <c r="M108" s="3"/>
      <c r="N108" s="22">
        <f t="shared" si="23"/>
        <v>-1</v>
      </c>
      <c r="O108" s="11"/>
      <c r="P108" s="3"/>
      <c r="Q108" s="3"/>
      <c r="R108" s="22">
        <f t="shared" si="24"/>
        <v>0</v>
      </c>
      <c r="S108" s="3"/>
      <c r="T108" s="3">
        <v>4839</v>
      </c>
      <c r="U108" s="3"/>
      <c r="V108" s="22">
        <f t="shared" si="25"/>
        <v>1.3749566046192518E-2</v>
      </c>
      <c r="W108" s="3"/>
      <c r="X108" s="3">
        <f t="shared" si="26"/>
        <v>-4839</v>
      </c>
      <c r="Y108" s="3"/>
      <c r="Z108" s="22">
        <f t="shared" si="27"/>
        <v>-1</v>
      </c>
    </row>
    <row r="109" spans="1:26" s="24" customFormat="1" hidden="1" outlineLevel="1" x14ac:dyDescent="0.25">
      <c r="A109" s="50"/>
      <c r="B109" s="11" t="str">
        <f>CONCATENATE("          ", "5045", " - ", "PURCHASES @ COST-SPECIAL ORDER")</f>
        <v xml:space="preserve">          5045 - PURCHASES @ COST-SPECIAL ORDER</v>
      </c>
      <c r="C109" s="11"/>
      <c r="D109" s="3">
        <v>2756.21</v>
      </c>
      <c r="E109" s="3"/>
      <c r="F109" s="22">
        <f t="shared" si="20"/>
        <v>1.2106308658799194E-2</v>
      </c>
      <c r="G109" s="3"/>
      <c r="H109" s="3">
        <v>15992.849999999999</v>
      </c>
      <c r="I109" s="3"/>
      <c r="J109" s="22">
        <f t="shared" si="21"/>
        <v>4.5442187919373836E-2</v>
      </c>
      <c r="K109" s="3"/>
      <c r="L109" s="3">
        <f t="shared" si="22"/>
        <v>-13236.64</v>
      </c>
      <c r="M109" s="3"/>
      <c r="N109" s="22">
        <f t="shared" si="23"/>
        <v>-0.82765986050016105</v>
      </c>
      <c r="O109" s="11"/>
      <c r="P109" s="3">
        <v>2756.21</v>
      </c>
      <c r="Q109" s="3"/>
      <c r="R109" s="22">
        <f t="shared" si="24"/>
        <v>1.2106308658799194E-2</v>
      </c>
      <c r="S109" s="3"/>
      <c r="T109" s="3">
        <v>15992.849999999999</v>
      </c>
      <c r="U109" s="3"/>
      <c r="V109" s="22">
        <f t="shared" si="25"/>
        <v>4.5442187919373836E-2</v>
      </c>
      <c r="W109" s="3"/>
      <c r="X109" s="3">
        <f t="shared" si="26"/>
        <v>-13236.64</v>
      </c>
      <c r="Y109" s="3"/>
      <c r="Z109" s="22">
        <f t="shared" si="27"/>
        <v>-0.82765986050016105</v>
      </c>
    </row>
    <row r="110" spans="1:26" s="24" customFormat="1" hidden="1" outlineLevel="1" x14ac:dyDescent="0.25">
      <c r="A110" s="50"/>
      <c r="B110" s="11" t="str">
        <f>CONCATENATE("          ", "5092", " - ", "PURCHASES @ COST-GRAD MERCH")</f>
        <v xml:space="preserve">          5092 - PURCHASES @ COST-GRAD MERCH</v>
      </c>
      <c r="C110" s="11"/>
      <c r="D110" s="3"/>
      <c r="E110" s="3"/>
      <c r="F110" s="22">
        <f t="shared" si="20"/>
        <v>0</v>
      </c>
      <c r="G110" s="3"/>
      <c r="H110" s="3">
        <v>1228.5999999999999</v>
      </c>
      <c r="I110" s="3"/>
      <c r="J110" s="22">
        <f t="shared" si="21"/>
        <v>3.4909520240446633E-3</v>
      </c>
      <c r="K110" s="3"/>
      <c r="L110" s="3">
        <f t="shared" si="22"/>
        <v>-1228.5999999999999</v>
      </c>
      <c r="M110" s="3"/>
      <c r="N110" s="22">
        <f t="shared" si="23"/>
        <v>-1</v>
      </c>
      <c r="O110" s="11"/>
      <c r="P110" s="3"/>
      <c r="Q110" s="3"/>
      <c r="R110" s="22">
        <f t="shared" si="24"/>
        <v>0</v>
      </c>
      <c r="S110" s="3"/>
      <c r="T110" s="3">
        <v>1228.5999999999999</v>
      </c>
      <c r="U110" s="3"/>
      <c r="V110" s="22">
        <f t="shared" si="25"/>
        <v>3.4909520240446633E-3</v>
      </c>
      <c r="W110" s="3"/>
      <c r="X110" s="3">
        <f t="shared" si="26"/>
        <v>-1228.5999999999999</v>
      </c>
      <c r="Y110" s="3"/>
      <c r="Z110" s="22">
        <f t="shared" si="27"/>
        <v>-1</v>
      </c>
    </row>
    <row r="111" spans="1:26" s="24" customFormat="1" hidden="1" outlineLevel="1" x14ac:dyDescent="0.25">
      <c r="A111" s="50"/>
      <c r="B111" s="11" t="str">
        <f>CONCATENATE("          ", "5095", " - ", "PURCHASES @ COST-CUSTOMER SERV")</f>
        <v xml:space="preserve">          5095 - PURCHASES @ COST-CUSTOMER SERV</v>
      </c>
      <c r="C111" s="11"/>
      <c r="D111" s="3"/>
      <c r="E111" s="3"/>
      <c r="F111" s="22">
        <f t="shared" si="20"/>
        <v>0</v>
      </c>
      <c r="G111" s="3"/>
      <c r="H111" s="3">
        <v>0</v>
      </c>
      <c r="I111" s="3"/>
      <c r="J111" s="22">
        <f t="shared" si="21"/>
        <v>0</v>
      </c>
      <c r="K111" s="3"/>
      <c r="L111" s="3">
        <f t="shared" si="22"/>
        <v>0</v>
      </c>
      <c r="M111" s="3"/>
      <c r="N111" s="22">
        <f t="shared" si="23"/>
        <v>0</v>
      </c>
      <c r="O111" s="11"/>
      <c r="P111" s="3"/>
      <c r="Q111" s="3"/>
      <c r="R111" s="22">
        <f t="shared" si="24"/>
        <v>0</v>
      </c>
      <c r="S111" s="3"/>
      <c r="T111" s="3">
        <v>0</v>
      </c>
      <c r="U111" s="3"/>
      <c r="V111" s="22">
        <f t="shared" si="25"/>
        <v>0</v>
      </c>
      <c r="W111" s="3"/>
      <c r="X111" s="3">
        <f t="shared" si="26"/>
        <v>0</v>
      </c>
      <c r="Y111" s="3"/>
      <c r="Z111" s="22">
        <f t="shared" si="27"/>
        <v>0</v>
      </c>
    </row>
    <row r="112" spans="1:26" s="24" customFormat="1" hidden="1" outlineLevel="1" x14ac:dyDescent="0.25">
      <c r="A112" s="50"/>
      <c r="B112" s="11" t="str">
        <f>CONCATENATE("          ", "5200", " - ", "PURCHASES OFFSET")</f>
        <v xml:space="preserve">          5200 - PURCHASES OFFSET</v>
      </c>
      <c r="C112" s="11"/>
      <c r="D112" s="3">
        <v>-215765.28</v>
      </c>
      <c r="E112" s="3"/>
      <c r="F112" s="22">
        <f t="shared" si="20"/>
        <v>-0.94772208123917712</v>
      </c>
      <c r="G112" s="3"/>
      <c r="H112" s="3">
        <v>-828869</v>
      </c>
      <c r="I112" s="3"/>
      <c r="J112" s="22">
        <f t="shared" si="21"/>
        <v>-2.3551537629968062</v>
      </c>
      <c r="K112" s="3"/>
      <c r="L112" s="3">
        <f t="shared" si="22"/>
        <v>613103.72</v>
      </c>
      <c r="M112" s="3"/>
      <c r="N112" s="22">
        <f t="shared" si="23"/>
        <v>-0.73968711581685398</v>
      </c>
      <c r="O112" s="11"/>
      <c r="P112" s="3">
        <v>-215765.28</v>
      </c>
      <c r="Q112" s="3"/>
      <c r="R112" s="22">
        <f t="shared" si="24"/>
        <v>-0.94772208123917712</v>
      </c>
      <c r="S112" s="3"/>
      <c r="T112" s="3">
        <v>-828869</v>
      </c>
      <c r="U112" s="3"/>
      <c r="V112" s="22">
        <f t="shared" si="25"/>
        <v>-2.3551537629968062</v>
      </c>
      <c r="W112" s="3"/>
      <c r="X112" s="3">
        <f t="shared" si="26"/>
        <v>613103.72</v>
      </c>
      <c r="Y112" s="3"/>
      <c r="Z112" s="22">
        <f t="shared" si="27"/>
        <v>-0.73968711581685398</v>
      </c>
    </row>
    <row r="113" spans="1:26" s="24" customFormat="1" hidden="1" outlineLevel="1" x14ac:dyDescent="0.25">
      <c r="A113" s="50"/>
      <c r="B113" s="11" t="str">
        <f>CONCATENATE("          ", "5300", " - ", "COG$ OFFSET")</f>
        <v xml:space="preserve">          5300 - COG$ OFFSET</v>
      </c>
      <c r="C113" s="11"/>
      <c r="D113" s="3">
        <v>135628</v>
      </c>
      <c r="E113" s="3"/>
      <c r="F113" s="22">
        <f t="shared" si="20"/>
        <v>0.59572907390061602</v>
      </c>
      <c r="G113" s="3"/>
      <c r="H113" s="3">
        <v>181170</v>
      </c>
      <c r="I113" s="3"/>
      <c r="J113" s="22">
        <f t="shared" si="21"/>
        <v>0.51477761533141109</v>
      </c>
      <c r="K113" s="3"/>
      <c r="L113" s="3">
        <f t="shared" si="22"/>
        <v>-45542</v>
      </c>
      <c r="M113" s="3"/>
      <c r="N113" s="22">
        <f t="shared" si="23"/>
        <v>-0.2513771595738809</v>
      </c>
      <c r="O113" s="11"/>
      <c r="P113" s="3">
        <v>135628</v>
      </c>
      <c r="Q113" s="3"/>
      <c r="R113" s="22">
        <f t="shared" si="24"/>
        <v>0.59572907390061602</v>
      </c>
      <c r="S113" s="3"/>
      <c r="T113" s="3">
        <v>181170</v>
      </c>
      <c r="U113" s="3"/>
      <c r="V113" s="22">
        <f t="shared" si="25"/>
        <v>0.51477761533141109</v>
      </c>
      <c r="W113" s="3"/>
      <c r="X113" s="3">
        <f t="shared" si="26"/>
        <v>-45542</v>
      </c>
      <c r="Y113" s="3"/>
      <c r="Z113" s="22">
        <f t="shared" si="27"/>
        <v>-0.2513771595738809</v>
      </c>
    </row>
    <row r="114" spans="1:26" s="24" customFormat="1" hidden="1" outlineLevel="1" x14ac:dyDescent="0.25">
      <c r="A114" s="50"/>
      <c r="B114" s="11" t="str">
        <f>CONCATENATE("          ", "5500", " - ", "FREIGHT-IN")</f>
        <v xml:space="preserve">          5500 - FREIGHT-IN</v>
      </c>
      <c r="C114" s="11"/>
      <c r="D114" s="3"/>
      <c r="E114" s="3"/>
      <c r="F114" s="22">
        <f t="shared" si="20"/>
        <v>0</v>
      </c>
      <c r="G114" s="3"/>
      <c r="H114" s="3">
        <v>49</v>
      </c>
      <c r="I114" s="3"/>
      <c r="J114" s="22">
        <f t="shared" si="21"/>
        <v>1.3922891842600401E-4</v>
      </c>
      <c r="K114" s="3"/>
      <c r="L114" s="3">
        <f t="shared" si="22"/>
        <v>-49</v>
      </c>
      <c r="M114" s="3"/>
      <c r="N114" s="22">
        <f t="shared" si="23"/>
        <v>-1</v>
      </c>
      <c r="O114" s="11"/>
      <c r="P114" s="3"/>
      <c r="Q114" s="3"/>
      <c r="R114" s="22">
        <f t="shared" si="24"/>
        <v>0</v>
      </c>
      <c r="S114" s="3"/>
      <c r="T114" s="3">
        <v>49</v>
      </c>
      <c r="U114" s="3"/>
      <c r="V114" s="22">
        <f t="shared" si="25"/>
        <v>1.3922891842600401E-4</v>
      </c>
      <c r="W114" s="3"/>
      <c r="X114" s="3">
        <f t="shared" si="26"/>
        <v>-49</v>
      </c>
      <c r="Y114" s="3"/>
      <c r="Z114" s="22">
        <f t="shared" si="27"/>
        <v>-1</v>
      </c>
    </row>
    <row r="115" spans="1:26" s="24" customFormat="1" hidden="1" outlineLevel="1" x14ac:dyDescent="0.25">
      <c r="A115" s="50"/>
      <c r="B115" s="11" t="str">
        <f>CONCATENATE("          ", "5501", " - ", "FREIGHT-IN-NEW TEXT")</f>
        <v xml:space="preserve">          5501 - FREIGHT-IN-NEW TEXT</v>
      </c>
      <c r="C115" s="11"/>
      <c r="D115" s="3">
        <v>802.72</v>
      </c>
      <c r="E115" s="3"/>
      <c r="F115" s="22">
        <f t="shared" si="20"/>
        <v>3.5258474813571134E-3</v>
      </c>
      <c r="G115" s="3"/>
      <c r="H115" s="3">
        <v>1716.08</v>
      </c>
      <c r="I115" s="3"/>
      <c r="J115" s="22">
        <f t="shared" si="21"/>
        <v>4.8760808639285091E-3</v>
      </c>
      <c r="K115" s="3"/>
      <c r="L115" s="3">
        <f t="shared" si="22"/>
        <v>-913.3599999999999</v>
      </c>
      <c r="M115" s="3"/>
      <c r="N115" s="22">
        <f t="shared" si="23"/>
        <v>-0.53223625938184693</v>
      </c>
      <c r="O115" s="11"/>
      <c r="P115" s="3">
        <v>802.72</v>
      </c>
      <c r="Q115" s="3"/>
      <c r="R115" s="22">
        <f t="shared" si="24"/>
        <v>3.5258474813571134E-3</v>
      </c>
      <c r="S115" s="3"/>
      <c r="T115" s="3">
        <v>1716.08</v>
      </c>
      <c r="U115" s="3"/>
      <c r="V115" s="22">
        <f t="shared" si="25"/>
        <v>4.8760808639285091E-3</v>
      </c>
      <c r="W115" s="3"/>
      <c r="X115" s="3">
        <f t="shared" si="26"/>
        <v>-913.3599999999999</v>
      </c>
      <c r="Y115" s="3"/>
      <c r="Z115" s="22">
        <f t="shared" si="27"/>
        <v>-0.53223625938184693</v>
      </c>
    </row>
    <row r="116" spans="1:26" s="24" customFormat="1" hidden="1" outlineLevel="1" x14ac:dyDescent="0.25">
      <c r="A116" s="50"/>
      <c r="B116" s="11" t="str">
        <f>CONCATENATE("          ", "5502", " - ", "FREIGHT-IN-USED TEXT")</f>
        <v xml:space="preserve">          5502 - FREIGHT-IN-USED TEXT</v>
      </c>
      <c r="C116" s="11"/>
      <c r="D116" s="3">
        <v>47.89</v>
      </c>
      <c r="E116" s="3"/>
      <c r="F116" s="22">
        <f t="shared" si="20"/>
        <v>2.1035085195608949E-4</v>
      </c>
      <c r="G116" s="3"/>
      <c r="H116" s="3">
        <v>277.49</v>
      </c>
      <c r="I116" s="3"/>
      <c r="J116" s="22">
        <f t="shared" si="21"/>
        <v>7.8846188926595619E-4</v>
      </c>
      <c r="K116" s="3"/>
      <c r="L116" s="3">
        <f t="shared" si="22"/>
        <v>-229.60000000000002</v>
      </c>
      <c r="M116" s="3"/>
      <c r="N116" s="22">
        <f t="shared" si="23"/>
        <v>-0.82741720422357568</v>
      </c>
      <c r="O116" s="11"/>
      <c r="P116" s="3">
        <v>47.89</v>
      </c>
      <c r="Q116" s="3"/>
      <c r="R116" s="22">
        <f t="shared" si="24"/>
        <v>2.1035085195608949E-4</v>
      </c>
      <c r="S116" s="3"/>
      <c r="T116" s="3">
        <v>277.49</v>
      </c>
      <c r="U116" s="3"/>
      <c r="V116" s="22">
        <f t="shared" si="25"/>
        <v>7.8846188926595619E-4</v>
      </c>
      <c r="W116" s="3"/>
      <c r="X116" s="3">
        <f t="shared" si="26"/>
        <v>-229.60000000000002</v>
      </c>
      <c r="Y116" s="3"/>
      <c r="Z116" s="22">
        <f t="shared" si="27"/>
        <v>-0.82741720422357568</v>
      </c>
    </row>
    <row r="117" spans="1:26" s="24" customFormat="1" hidden="1" outlineLevel="1" x14ac:dyDescent="0.25">
      <c r="A117" s="50"/>
      <c r="B117" s="11" t="str">
        <f>CONCATENATE("          ", "5526", " - ", "FREIGHT-IN-WRITING INSTRUMENTS")</f>
        <v xml:space="preserve">          5526 - FREIGHT-IN-WRITING INSTRUMENTS</v>
      </c>
      <c r="C117" s="11"/>
      <c r="D117" s="3"/>
      <c r="E117" s="3"/>
      <c r="F117" s="22">
        <f t="shared" si="20"/>
        <v>0</v>
      </c>
      <c r="G117" s="3"/>
      <c r="H117" s="3">
        <v>39.11</v>
      </c>
      <c r="I117" s="3"/>
      <c r="J117" s="22">
        <f t="shared" si="21"/>
        <v>1.1112740815593911E-4</v>
      </c>
      <c r="K117" s="3"/>
      <c r="L117" s="3">
        <f t="shared" si="22"/>
        <v>-39.11</v>
      </c>
      <c r="M117" s="3"/>
      <c r="N117" s="22">
        <f t="shared" si="23"/>
        <v>-1</v>
      </c>
      <c r="O117" s="11"/>
      <c r="P117" s="3"/>
      <c r="Q117" s="3"/>
      <c r="R117" s="22">
        <f t="shared" si="24"/>
        <v>0</v>
      </c>
      <c r="S117" s="3"/>
      <c r="T117" s="3">
        <v>39.11</v>
      </c>
      <c r="U117" s="3"/>
      <c r="V117" s="22">
        <f t="shared" si="25"/>
        <v>1.1112740815593911E-4</v>
      </c>
      <c r="W117" s="3"/>
      <c r="X117" s="3">
        <f t="shared" si="26"/>
        <v>-39.11</v>
      </c>
      <c r="Y117" s="3"/>
      <c r="Z117" s="22">
        <f t="shared" si="27"/>
        <v>-1</v>
      </c>
    </row>
    <row r="118" spans="1:26" s="24" customFormat="1" hidden="1" outlineLevel="1" x14ac:dyDescent="0.25">
      <c r="A118" s="50"/>
      <c r="B118" s="11" t="str">
        <f>CONCATENATE("          ", "5527", " - ", "FREIGHT-IN-SCHOOL SUPPLIES")</f>
        <v xml:space="preserve">          5527 - FREIGHT-IN-SCHOOL SUPPLIES</v>
      </c>
      <c r="C118" s="11"/>
      <c r="D118" s="3"/>
      <c r="E118" s="3"/>
      <c r="F118" s="22">
        <f t="shared" si="20"/>
        <v>0</v>
      </c>
      <c r="G118" s="3"/>
      <c r="H118" s="3">
        <v>250.02</v>
      </c>
      <c r="I118" s="3"/>
      <c r="J118" s="22">
        <f t="shared" si="21"/>
        <v>7.1040845275243921E-4</v>
      </c>
      <c r="K118" s="3"/>
      <c r="L118" s="3">
        <f t="shared" si="22"/>
        <v>-250.02</v>
      </c>
      <c r="M118" s="3"/>
      <c r="N118" s="22">
        <f t="shared" si="23"/>
        <v>-1</v>
      </c>
      <c r="O118" s="11"/>
      <c r="P118" s="3"/>
      <c r="Q118" s="3"/>
      <c r="R118" s="22">
        <f t="shared" si="24"/>
        <v>0</v>
      </c>
      <c r="S118" s="3"/>
      <c r="T118" s="3">
        <v>250.02</v>
      </c>
      <c r="U118" s="3"/>
      <c r="V118" s="22">
        <f t="shared" si="25"/>
        <v>7.1040845275243921E-4</v>
      </c>
      <c r="W118" s="3"/>
      <c r="X118" s="3">
        <f t="shared" si="26"/>
        <v>-250.02</v>
      </c>
      <c r="Y118" s="3"/>
      <c r="Z118" s="22">
        <f t="shared" si="27"/>
        <v>-1</v>
      </c>
    </row>
    <row r="119" spans="1:26" s="24" customFormat="1" hidden="1" outlineLevel="1" x14ac:dyDescent="0.25">
      <c r="A119" s="50"/>
      <c r="B119" s="11" t="str">
        <f>CONCATENATE("          ", "5528", " - ", "FREIGHT-IN-ART/TECH")</f>
        <v xml:space="preserve">          5528 - FREIGHT-IN-ART/TECH</v>
      </c>
      <c r="C119" s="11"/>
      <c r="D119" s="3">
        <v>38.049999999999997</v>
      </c>
      <c r="E119" s="3"/>
      <c r="F119" s="22">
        <f t="shared" si="20"/>
        <v>1.6712987924262277E-4</v>
      </c>
      <c r="G119" s="3"/>
      <c r="H119" s="3">
        <v>44.35</v>
      </c>
      <c r="I119" s="3"/>
      <c r="J119" s="22">
        <f t="shared" si="21"/>
        <v>1.2601637820802608E-4</v>
      </c>
      <c r="K119" s="3"/>
      <c r="L119" s="3">
        <f t="shared" si="22"/>
        <v>-6.3000000000000043</v>
      </c>
      <c r="M119" s="3"/>
      <c r="N119" s="22">
        <f t="shared" si="23"/>
        <v>-0.14205186020293131</v>
      </c>
      <c r="O119" s="11"/>
      <c r="P119" s="3">
        <v>38.049999999999997</v>
      </c>
      <c r="Q119" s="3"/>
      <c r="R119" s="22">
        <f t="shared" si="24"/>
        <v>1.6712987924262277E-4</v>
      </c>
      <c r="S119" s="3"/>
      <c r="T119" s="3">
        <v>44.35</v>
      </c>
      <c r="U119" s="3"/>
      <c r="V119" s="22">
        <f t="shared" si="25"/>
        <v>1.2601637820802608E-4</v>
      </c>
      <c r="W119" s="3"/>
      <c r="X119" s="3">
        <f t="shared" si="26"/>
        <v>-6.3000000000000043</v>
      </c>
      <c r="Y119" s="3"/>
      <c r="Z119" s="22">
        <f t="shared" si="27"/>
        <v>-0.14205186020293131</v>
      </c>
    </row>
    <row r="120" spans="1:26" s="24" customFormat="1" hidden="1" outlineLevel="1" x14ac:dyDescent="0.25">
      <c r="A120" s="50"/>
      <c r="B120" s="11" t="str">
        <f>CONCATENATE("          ", "5540", " - ", "FREIGHT-IN-LOGO CLOTHING")</f>
        <v xml:space="preserve">          5540 - FREIGHT-IN-LOGO CLOTHING</v>
      </c>
      <c r="C120" s="11"/>
      <c r="D120" s="3">
        <v>909.83</v>
      </c>
      <c r="E120" s="3"/>
      <c r="F120" s="22">
        <f t="shared" si="20"/>
        <v>3.9963147971436392E-3</v>
      </c>
      <c r="G120" s="3"/>
      <c r="H120" s="3">
        <v>395.22</v>
      </c>
      <c r="I120" s="3"/>
      <c r="J120" s="22">
        <f t="shared" si="21"/>
        <v>1.1229806763331696E-3</v>
      </c>
      <c r="K120" s="3"/>
      <c r="L120" s="3">
        <f t="shared" si="22"/>
        <v>514.61</v>
      </c>
      <c r="M120" s="3"/>
      <c r="N120" s="22">
        <f t="shared" si="23"/>
        <v>1.3020849147310358</v>
      </c>
      <c r="O120" s="11"/>
      <c r="P120" s="3">
        <v>909.83</v>
      </c>
      <c r="Q120" s="3"/>
      <c r="R120" s="22">
        <f t="shared" si="24"/>
        <v>3.9963147971436392E-3</v>
      </c>
      <c r="S120" s="3"/>
      <c r="T120" s="3">
        <v>395.22</v>
      </c>
      <c r="U120" s="3"/>
      <c r="V120" s="22">
        <f t="shared" si="25"/>
        <v>1.1229806763331696E-3</v>
      </c>
      <c r="W120" s="3"/>
      <c r="X120" s="3">
        <f t="shared" si="26"/>
        <v>514.61</v>
      </c>
      <c r="Y120" s="3"/>
      <c r="Z120" s="22">
        <f t="shared" si="27"/>
        <v>1.3020849147310358</v>
      </c>
    </row>
    <row r="121" spans="1:26" s="24" customFormat="1" hidden="1" outlineLevel="1" x14ac:dyDescent="0.25">
      <c r="A121" s="50"/>
      <c r="B121" s="11" t="str">
        <f>CONCATENATE("          ", "5541", " - ", "FREIGHT-IN-LOGO GIFTS")</f>
        <v xml:space="preserve">          5541 - FREIGHT-IN-LOGO GIFTS</v>
      </c>
      <c r="C121" s="11"/>
      <c r="D121" s="3">
        <v>83.58</v>
      </c>
      <c r="E121" s="3"/>
      <c r="F121" s="22">
        <f t="shared" si="20"/>
        <v>3.6711472554792148E-4</v>
      </c>
      <c r="G121" s="3"/>
      <c r="H121" s="3">
        <v>314.49</v>
      </c>
      <c r="I121" s="3"/>
      <c r="J121" s="22">
        <f t="shared" si="21"/>
        <v>8.9359392971008163E-4</v>
      </c>
      <c r="K121" s="3"/>
      <c r="L121" s="3">
        <f t="shared" si="22"/>
        <v>-230.91000000000003</v>
      </c>
      <c r="M121" s="3"/>
      <c r="N121" s="22">
        <f t="shared" si="23"/>
        <v>-0.73423638271487179</v>
      </c>
      <c r="O121" s="11"/>
      <c r="P121" s="3">
        <v>83.58</v>
      </c>
      <c r="Q121" s="3"/>
      <c r="R121" s="22">
        <f t="shared" si="24"/>
        <v>3.6711472554792148E-4</v>
      </c>
      <c r="S121" s="3"/>
      <c r="T121" s="3">
        <v>314.49</v>
      </c>
      <c r="U121" s="3"/>
      <c r="V121" s="22">
        <f t="shared" si="25"/>
        <v>8.9359392971008163E-4</v>
      </c>
      <c r="W121" s="3"/>
      <c r="X121" s="3">
        <f t="shared" si="26"/>
        <v>-230.91000000000003</v>
      </c>
      <c r="Y121" s="3"/>
      <c r="Z121" s="22">
        <f t="shared" si="27"/>
        <v>-0.73423638271487179</v>
      </c>
    </row>
    <row r="122" spans="1:26" s="24" customFormat="1" hidden="1" outlineLevel="1" x14ac:dyDescent="0.25">
      <c r="A122" s="50"/>
      <c r="B122" s="11" t="str">
        <f>CONCATENATE("          ", "5542", " - ", "FREIGHT-IN-EVERYDAY GIFTS")</f>
        <v xml:space="preserve">          5542 - FREIGHT-IN-EVERYDAY GIFTS</v>
      </c>
      <c r="C122" s="11"/>
      <c r="D122" s="3">
        <v>5.94</v>
      </c>
      <c r="E122" s="3"/>
      <c r="F122" s="22">
        <f t="shared" si="20"/>
        <v>2.6090709138007341E-5</v>
      </c>
      <c r="G122" s="3"/>
      <c r="H122" s="3">
        <v>29.72</v>
      </c>
      <c r="I122" s="3"/>
      <c r="J122" s="22">
        <f t="shared" si="21"/>
        <v>8.4446601135119165E-5</v>
      </c>
      <c r="K122" s="3"/>
      <c r="L122" s="3">
        <f t="shared" si="22"/>
        <v>-23.779999999999998</v>
      </c>
      <c r="M122" s="3"/>
      <c r="N122" s="22">
        <f t="shared" si="23"/>
        <v>-0.80013458950201877</v>
      </c>
      <c r="O122" s="11"/>
      <c r="P122" s="3">
        <v>5.94</v>
      </c>
      <c r="Q122" s="3"/>
      <c r="R122" s="22">
        <f t="shared" si="24"/>
        <v>2.6090709138007341E-5</v>
      </c>
      <c r="S122" s="3"/>
      <c r="T122" s="3">
        <v>29.72</v>
      </c>
      <c r="U122" s="3"/>
      <c r="V122" s="22">
        <f t="shared" si="25"/>
        <v>8.4446601135119165E-5</v>
      </c>
      <c r="W122" s="3"/>
      <c r="X122" s="3">
        <f t="shared" si="26"/>
        <v>-23.779999999999998</v>
      </c>
      <c r="Y122" s="3"/>
      <c r="Z122" s="22">
        <f t="shared" si="27"/>
        <v>-0.80013458950201877</v>
      </c>
    </row>
    <row r="123" spans="1:26" s="24" customFormat="1" hidden="1" outlineLevel="1" x14ac:dyDescent="0.25">
      <c r="A123" s="50"/>
      <c r="B123" s="11" t="str">
        <f>CONCATENATE("          ", "5544", " - ", "FREIGHT-IN-ACCESSORIES")</f>
        <v xml:space="preserve">          5544 - FREIGHT-IN-ACCESSORIES</v>
      </c>
      <c r="C123" s="11"/>
      <c r="D123" s="3"/>
      <c r="E123" s="3"/>
      <c r="F123" s="22">
        <f t="shared" si="20"/>
        <v>0</v>
      </c>
      <c r="G123" s="3"/>
      <c r="H123" s="3">
        <v>16.73</v>
      </c>
      <c r="I123" s="3"/>
      <c r="J123" s="22">
        <f t="shared" si="21"/>
        <v>4.7536730719735656E-5</v>
      </c>
      <c r="K123" s="3"/>
      <c r="L123" s="3">
        <f t="shared" si="22"/>
        <v>-16.73</v>
      </c>
      <c r="M123" s="3"/>
      <c r="N123" s="22">
        <f t="shared" si="23"/>
        <v>-1</v>
      </c>
      <c r="O123" s="11"/>
      <c r="P123" s="3"/>
      <c r="Q123" s="3"/>
      <c r="R123" s="22">
        <f t="shared" si="24"/>
        <v>0</v>
      </c>
      <c r="S123" s="3"/>
      <c r="T123" s="3">
        <v>16.73</v>
      </c>
      <c r="U123" s="3"/>
      <c r="V123" s="22">
        <f t="shared" si="25"/>
        <v>4.7536730719735656E-5</v>
      </c>
      <c r="W123" s="3"/>
      <c r="X123" s="3">
        <f t="shared" si="26"/>
        <v>-16.73</v>
      </c>
      <c r="Y123" s="3"/>
      <c r="Z123" s="22">
        <f t="shared" si="27"/>
        <v>-1</v>
      </c>
    </row>
    <row r="124" spans="1:26" s="24" customFormat="1" hidden="1" outlineLevel="1" x14ac:dyDescent="0.25">
      <c r="A124" s="50"/>
      <c r="B124" s="11" t="str">
        <f>CONCATENATE("          ", "5545", " - ", "FREIGHT-IN-SPECIAL ORDERS")</f>
        <v xml:space="preserve">          5545 - FREIGHT-IN-SPECIAL ORDERS</v>
      </c>
      <c r="C124" s="11"/>
      <c r="D124" s="3">
        <v>300.39999999999998</v>
      </c>
      <c r="E124" s="3"/>
      <c r="F124" s="22">
        <f t="shared" si="20"/>
        <v>1.3194695328379469E-3</v>
      </c>
      <c r="G124" s="3"/>
      <c r="H124" s="3">
        <v>227.08</v>
      </c>
      <c r="I124" s="3"/>
      <c r="J124" s="22">
        <f t="shared" si="21"/>
        <v>6.4522658767708142E-4</v>
      </c>
      <c r="K124" s="3"/>
      <c r="L124" s="3">
        <f t="shared" si="22"/>
        <v>73.319999999999965</v>
      </c>
      <c r="M124" s="3"/>
      <c r="N124" s="22">
        <f t="shared" si="23"/>
        <v>0.32288180376959646</v>
      </c>
      <c r="O124" s="11"/>
      <c r="P124" s="3">
        <v>300.39999999999998</v>
      </c>
      <c r="Q124" s="3"/>
      <c r="R124" s="22">
        <f t="shared" si="24"/>
        <v>1.3194695328379469E-3</v>
      </c>
      <c r="S124" s="3"/>
      <c r="T124" s="3">
        <v>227.08</v>
      </c>
      <c r="U124" s="3"/>
      <c r="V124" s="22">
        <f t="shared" si="25"/>
        <v>6.4522658767708142E-4</v>
      </c>
      <c r="W124" s="3"/>
      <c r="X124" s="3">
        <f t="shared" si="26"/>
        <v>73.319999999999965</v>
      </c>
      <c r="Y124" s="3"/>
      <c r="Z124" s="22">
        <f t="shared" si="27"/>
        <v>0.32288180376959646</v>
      </c>
    </row>
    <row r="125" spans="1:26" x14ac:dyDescent="0.25">
      <c r="A125" s="9"/>
      <c r="B125" s="10"/>
      <c r="C125" s="10"/>
      <c r="D125" s="2"/>
      <c r="E125" s="2"/>
      <c r="F125" s="6"/>
      <c r="G125" s="2"/>
      <c r="H125" s="2"/>
      <c r="I125" s="2"/>
      <c r="J125" s="6"/>
      <c r="K125" s="2"/>
      <c r="L125" s="2"/>
      <c r="M125" s="2"/>
      <c r="N125" s="6"/>
      <c r="O125" s="10"/>
      <c r="P125" s="2"/>
      <c r="Q125" s="2"/>
      <c r="R125" s="6"/>
      <c r="S125" s="2"/>
      <c r="T125" s="2"/>
      <c r="U125" s="2"/>
      <c r="V125" s="6"/>
      <c r="W125" s="2"/>
      <c r="X125" s="2"/>
      <c r="Y125" s="2"/>
      <c r="Z125" s="6"/>
    </row>
    <row r="126" spans="1:26" s="23" customFormat="1" x14ac:dyDescent="0.25">
      <c r="A126" s="10"/>
      <c r="B126" s="26" t="s">
        <v>6</v>
      </c>
      <c r="C126" s="26"/>
      <c r="D126" s="19">
        <f>D12-D88</f>
        <v>86271.979999999923</v>
      </c>
      <c r="E126" s="13"/>
      <c r="F126" s="20">
        <f>IF(D$12=0,0,D126/D$12)</f>
        <v>0.37893891194275831</v>
      </c>
      <c r="G126" s="13"/>
      <c r="H126" s="19">
        <f>H12-H88</f>
        <v>158015.95000000004</v>
      </c>
      <c r="I126" s="13"/>
      <c r="J126" s="20">
        <f>IF(H$12=0,0,H126/H$12)</f>
        <v>0.44898754719505168</v>
      </c>
      <c r="K126" s="16"/>
      <c r="L126" s="19">
        <f>+D126-H126</f>
        <v>-71743.970000000118</v>
      </c>
      <c r="M126" s="16"/>
      <c r="N126" s="20">
        <f>IF(H126=0,0,L126/H126)</f>
        <v>-0.45402992546005705</v>
      </c>
      <c r="O126" s="25"/>
      <c r="P126" s="19">
        <f>P12-P88</f>
        <v>86271.979999999923</v>
      </c>
      <c r="Q126" s="13"/>
      <c r="R126" s="20">
        <f>IF(P$12=0,0,P126/P$12)</f>
        <v>0.37893891194275831</v>
      </c>
      <c r="S126" s="13"/>
      <c r="T126" s="19">
        <f>T12-T88</f>
        <v>158015.95000000004</v>
      </c>
      <c r="U126" s="13"/>
      <c r="V126" s="20">
        <f>IF(T$12=0,0,T126/T$12)</f>
        <v>0.44898754719505168</v>
      </c>
      <c r="W126" s="16"/>
      <c r="X126" s="19">
        <f>+P126-T126</f>
        <v>-71743.970000000118</v>
      </c>
      <c r="Y126" s="16"/>
      <c r="Z126" s="20">
        <f>IF(T126=0,0,X126/T126)</f>
        <v>-0.45402992546005705</v>
      </c>
    </row>
    <row r="127" spans="1:26" x14ac:dyDescent="0.25">
      <c r="A127" s="9"/>
      <c r="B127" s="10"/>
      <c r="C127" s="9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5" t="s">
        <v>9</v>
      </c>
      <c r="C128" s="10"/>
      <c r="D128" s="21">
        <f>SUM(OSRRefD22x_0)</f>
        <v>318600.79999999993</v>
      </c>
      <c r="E128" s="21"/>
      <c r="F128" s="34">
        <f t="shared" ref="F128:F139" si="28">IF(D$12=0,0,D128/D$12)</f>
        <v>1.3994142767569777</v>
      </c>
      <c r="G128" s="21"/>
      <c r="H128" s="21">
        <f>SUM(OSRRefH22x_0)</f>
        <v>355765.28999999992</v>
      </c>
      <c r="I128" s="21"/>
      <c r="J128" s="34">
        <f t="shared" ref="J128:J139" si="29">IF(H$12=0,0,H128/H$12)</f>
        <v>1.0108738069431356</v>
      </c>
      <c r="K128" s="4"/>
      <c r="L128" s="21">
        <f t="shared" ref="L128:L139" si="30">+D128-H128</f>
        <v>-37164.489999999991</v>
      </c>
      <c r="M128" s="4"/>
      <c r="N128" s="34">
        <f t="shared" ref="N128:N139" si="31">IF(H128=0,0,L128/H128)</f>
        <v>-0.10446350738713155</v>
      </c>
      <c r="O128" s="10"/>
      <c r="P128" s="21">
        <f>SUM(OSRRefP22x_0)</f>
        <v>318600.79999999993</v>
      </c>
      <c r="Q128" s="21"/>
      <c r="R128" s="34">
        <f t="shared" ref="R128:R139" si="32">IF(P$12=0,0,P128/P$12)</f>
        <v>1.3994142767569777</v>
      </c>
      <c r="S128" s="21"/>
      <c r="T128" s="21">
        <f>SUM(OSRRefT22x_0)</f>
        <v>355765.28999999992</v>
      </c>
      <c r="U128" s="21"/>
      <c r="V128" s="34">
        <f t="shared" ref="V128:V139" si="33">IF(T$12=0,0,T128/T$12)</f>
        <v>1.0108738069431356</v>
      </c>
      <c r="W128" s="4"/>
      <c r="X128" s="21">
        <f t="shared" ref="X128:X139" si="34">+P128-T128</f>
        <v>-37164.489999999991</v>
      </c>
      <c r="Y128" s="4"/>
      <c r="Z128" s="34">
        <f t="shared" ref="Z128:Z139" si="35">IF(T128=0,0,X128/T128)</f>
        <v>-0.10446350738713155</v>
      </c>
    </row>
    <row r="129" spans="1:26" s="27" customFormat="1" outlineLevel="1" collapsed="1" x14ac:dyDescent="0.25">
      <c r="A129" s="28"/>
      <c r="B129" s="14" t="str">
        <f>CONCATENATE("     ","*Benefits                                         ")</f>
        <v xml:space="preserve">     *Benefits                                         </v>
      </c>
      <c r="C129" s="14"/>
      <c r="D129" s="1">
        <f>SUM(OSRRefD22_0x_0)</f>
        <v>40666.47</v>
      </c>
      <c r="E129" s="1"/>
      <c r="F129" s="5">
        <f t="shared" si="28"/>
        <v>0.17862239738038743</v>
      </c>
      <c r="G129" s="1"/>
      <c r="H129" s="1">
        <f>SUM(OSRRefH22_0x_0)</f>
        <v>55151.35</v>
      </c>
      <c r="I129" s="1"/>
      <c r="J129" s="5">
        <f t="shared" si="29"/>
        <v>0.15670740429048971</v>
      </c>
      <c r="K129" s="1"/>
      <c r="L129" s="1">
        <f t="shared" si="30"/>
        <v>-14484.879999999997</v>
      </c>
      <c r="M129" s="1"/>
      <c r="N129" s="5">
        <f t="shared" si="31"/>
        <v>-0.26263872053902576</v>
      </c>
      <c r="O129" s="14"/>
      <c r="P129" s="1">
        <f>SUM(OSRRefP22_0x_0)</f>
        <v>40666.47</v>
      </c>
      <c r="Q129" s="1"/>
      <c r="R129" s="5">
        <f t="shared" si="32"/>
        <v>0.17862239738038743</v>
      </c>
      <c r="S129" s="1"/>
      <c r="T129" s="1">
        <f>SUM(OSRRefT22_0x_0)</f>
        <v>55151.35</v>
      </c>
      <c r="U129" s="1"/>
      <c r="V129" s="5">
        <f t="shared" si="33"/>
        <v>0.15670740429048971</v>
      </c>
      <c r="W129" s="1"/>
      <c r="X129" s="1">
        <f t="shared" si="34"/>
        <v>-14484.879999999997</v>
      </c>
      <c r="Y129" s="1"/>
      <c r="Z129" s="5">
        <f t="shared" si="35"/>
        <v>-0.26263872053902576</v>
      </c>
    </row>
    <row r="130" spans="1:26" s="24" customFormat="1" hidden="1" outlineLevel="2" x14ac:dyDescent="0.25">
      <c r="A130" s="29"/>
      <c r="B130" s="11" t="str">
        <f>CONCATENATE("          ", "6111", " - ", "F.I.C.A.")</f>
        <v xml:space="preserve">          6111 - F.I.C.A.</v>
      </c>
      <c r="C130" s="11"/>
      <c r="D130" s="8">
        <v>7566.94</v>
      </c>
      <c r="E130" s="3"/>
      <c r="F130" s="7">
        <f t="shared" si="28"/>
        <v>3.3236840169150378E-2</v>
      </c>
      <c r="G130" s="3"/>
      <c r="H130" s="8">
        <v>10836.64</v>
      </c>
      <c r="I130" s="3"/>
      <c r="J130" s="7">
        <f t="shared" si="29"/>
        <v>3.0791299317795347E-2</v>
      </c>
      <c r="K130" s="3"/>
      <c r="L130" s="8">
        <f t="shared" si="30"/>
        <v>-3269.7</v>
      </c>
      <c r="M130" s="3"/>
      <c r="N130" s="7">
        <f t="shared" si="31"/>
        <v>-0.30172636536786313</v>
      </c>
      <c r="O130" s="11"/>
      <c r="P130" s="8">
        <v>7566.94</v>
      </c>
      <c r="Q130" s="3"/>
      <c r="R130" s="7">
        <f t="shared" si="32"/>
        <v>3.3236840169150378E-2</v>
      </c>
      <c r="S130" s="3"/>
      <c r="T130" s="8">
        <v>10836.64</v>
      </c>
      <c r="U130" s="3"/>
      <c r="V130" s="7">
        <f t="shared" si="33"/>
        <v>3.0791299317795347E-2</v>
      </c>
      <c r="W130" s="3"/>
      <c r="X130" s="8">
        <f t="shared" si="34"/>
        <v>-3269.7</v>
      </c>
      <c r="Y130" s="3"/>
      <c r="Z130" s="7">
        <f t="shared" si="35"/>
        <v>-0.30172636536786313</v>
      </c>
    </row>
    <row r="131" spans="1:26" s="24" customFormat="1" hidden="1" outlineLevel="2" x14ac:dyDescent="0.25">
      <c r="A131" s="29"/>
      <c r="B131" s="11" t="str">
        <f>CONCATENATE("          ", "6112", " - ", "COMPENSATION INSURANCE")</f>
        <v xml:space="preserve">          6112 - COMPENSATION INSURANCE</v>
      </c>
      <c r="C131" s="11"/>
      <c r="D131" s="8">
        <v>1779.03</v>
      </c>
      <c r="E131" s="3"/>
      <c r="F131" s="7">
        <f t="shared" si="28"/>
        <v>7.8141673868331978E-3</v>
      </c>
      <c r="G131" s="3"/>
      <c r="H131" s="8">
        <v>1966.34</v>
      </c>
      <c r="I131" s="3"/>
      <c r="J131" s="7">
        <f t="shared" si="29"/>
        <v>5.5871712542405862E-3</v>
      </c>
      <c r="K131" s="3"/>
      <c r="L131" s="8">
        <f t="shared" si="30"/>
        <v>-187.30999999999995</v>
      </c>
      <c r="M131" s="3"/>
      <c r="N131" s="7">
        <f t="shared" si="31"/>
        <v>-9.5258195429071241E-2</v>
      </c>
      <c r="O131" s="11"/>
      <c r="P131" s="8">
        <v>1779.03</v>
      </c>
      <c r="Q131" s="3"/>
      <c r="R131" s="7">
        <f t="shared" si="32"/>
        <v>7.8141673868331978E-3</v>
      </c>
      <c r="S131" s="3"/>
      <c r="T131" s="8">
        <v>1966.34</v>
      </c>
      <c r="U131" s="3"/>
      <c r="V131" s="7">
        <f t="shared" si="33"/>
        <v>5.5871712542405862E-3</v>
      </c>
      <c r="W131" s="3"/>
      <c r="X131" s="8">
        <f t="shared" si="34"/>
        <v>-187.30999999999995</v>
      </c>
      <c r="Y131" s="3"/>
      <c r="Z131" s="7">
        <f t="shared" si="35"/>
        <v>-9.5258195429071241E-2</v>
      </c>
    </row>
    <row r="132" spans="1:26" s="24" customFormat="1" hidden="1" outlineLevel="2" x14ac:dyDescent="0.25">
      <c r="A132" s="29"/>
      <c r="B132" s="11" t="str">
        <f>CONCATENATE("          ", "6113", " - ", "GROUP INSURANCE")</f>
        <v xml:space="preserve">          6113 - GROUP INSURANCE</v>
      </c>
      <c r="C132" s="11"/>
      <c r="D132" s="8">
        <v>13468.68</v>
      </c>
      <c r="E132" s="3"/>
      <c r="F132" s="7">
        <f t="shared" si="28"/>
        <v>5.9159497029107187E-2</v>
      </c>
      <c r="G132" s="3"/>
      <c r="H132" s="8">
        <v>18530.449999999997</v>
      </c>
      <c r="I132" s="3"/>
      <c r="J132" s="7">
        <f t="shared" si="29"/>
        <v>5.2652541049941742E-2</v>
      </c>
      <c r="K132" s="3"/>
      <c r="L132" s="8">
        <f t="shared" si="30"/>
        <v>-5061.7699999999968</v>
      </c>
      <c r="M132" s="3"/>
      <c r="N132" s="7">
        <f t="shared" si="31"/>
        <v>-0.27315958328049222</v>
      </c>
      <c r="O132" s="11"/>
      <c r="P132" s="8">
        <v>13468.68</v>
      </c>
      <c r="Q132" s="3"/>
      <c r="R132" s="7">
        <f t="shared" si="32"/>
        <v>5.9159497029107187E-2</v>
      </c>
      <c r="S132" s="3"/>
      <c r="T132" s="8">
        <v>18530.449999999997</v>
      </c>
      <c r="U132" s="3"/>
      <c r="V132" s="7">
        <f t="shared" si="33"/>
        <v>5.2652541049941742E-2</v>
      </c>
      <c r="W132" s="3"/>
      <c r="X132" s="8">
        <f t="shared" si="34"/>
        <v>-5061.7699999999968</v>
      </c>
      <c r="Y132" s="3"/>
      <c r="Z132" s="7">
        <f t="shared" si="35"/>
        <v>-0.27315958328049222</v>
      </c>
    </row>
    <row r="133" spans="1:26" s="24" customFormat="1" hidden="1" outlineLevel="2" x14ac:dyDescent="0.25">
      <c r="A133" s="29"/>
      <c r="B133" s="11" t="str">
        <f>CONCATENATE("          ", "6114", " - ", "STATE UNEMPLOYMENT INSURANCE")</f>
        <v xml:space="preserve">          6114 - STATE UNEMPLOYMENT INSURANCE</v>
      </c>
      <c r="C133" s="11"/>
      <c r="D133" s="8">
        <v>275.08999999999997</v>
      </c>
      <c r="E133" s="3"/>
      <c r="F133" s="7">
        <f t="shared" si="28"/>
        <v>1.2082985146084912E-3</v>
      </c>
      <c r="G133" s="3"/>
      <c r="H133" s="8">
        <v>367.04</v>
      </c>
      <c r="I133" s="3"/>
      <c r="J133" s="7">
        <f t="shared" si="29"/>
        <v>1.0429098412057247E-3</v>
      </c>
      <c r="K133" s="3"/>
      <c r="L133" s="8">
        <f t="shared" si="30"/>
        <v>-91.950000000000045</v>
      </c>
      <c r="M133" s="3"/>
      <c r="N133" s="7">
        <f t="shared" si="31"/>
        <v>-0.25051765475152582</v>
      </c>
      <c r="O133" s="11"/>
      <c r="P133" s="8">
        <v>275.08999999999997</v>
      </c>
      <c r="Q133" s="3"/>
      <c r="R133" s="7">
        <f t="shared" si="32"/>
        <v>1.2082985146084912E-3</v>
      </c>
      <c r="S133" s="3"/>
      <c r="T133" s="8">
        <v>367.04</v>
      </c>
      <c r="U133" s="3"/>
      <c r="V133" s="7">
        <f t="shared" si="33"/>
        <v>1.0429098412057247E-3</v>
      </c>
      <c r="W133" s="3"/>
      <c r="X133" s="8">
        <f t="shared" si="34"/>
        <v>-91.950000000000045</v>
      </c>
      <c r="Y133" s="3"/>
      <c r="Z133" s="7">
        <f t="shared" si="35"/>
        <v>-0.25051765475152582</v>
      </c>
    </row>
    <row r="134" spans="1:26" s="24" customFormat="1" hidden="1" outlineLevel="2" x14ac:dyDescent="0.25">
      <c r="A134" s="29"/>
      <c r="B134" s="11" t="str">
        <f>CONCATENATE("          ", "6115", " - ", "P.E.R.S.")</f>
        <v xml:space="preserve">          6115 - P.E.R.S.</v>
      </c>
      <c r="C134" s="11"/>
      <c r="D134" s="8">
        <v>8158.49</v>
      </c>
      <c r="E134" s="3"/>
      <c r="F134" s="7">
        <f t="shared" si="28"/>
        <v>3.5835149763525503E-2</v>
      </c>
      <c r="G134" s="3"/>
      <c r="H134" s="8">
        <v>6114.49</v>
      </c>
      <c r="I134" s="3"/>
      <c r="J134" s="7">
        <f t="shared" si="29"/>
        <v>1.737375162095137E-2</v>
      </c>
      <c r="K134" s="3"/>
      <c r="L134" s="8">
        <f t="shared" si="30"/>
        <v>2044</v>
      </c>
      <c r="M134" s="3"/>
      <c r="N134" s="7">
        <f t="shared" si="31"/>
        <v>0.33428789645579599</v>
      </c>
      <c r="O134" s="11"/>
      <c r="P134" s="8">
        <v>8158.49</v>
      </c>
      <c r="Q134" s="3"/>
      <c r="R134" s="7">
        <f t="shared" si="32"/>
        <v>3.5835149763525503E-2</v>
      </c>
      <c r="S134" s="3"/>
      <c r="T134" s="8">
        <v>6114.49</v>
      </c>
      <c r="U134" s="3"/>
      <c r="V134" s="7">
        <f t="shared" si="33"/>
        <v>1.737375162095137E-2</v>
      </c>
      <c r="W134" s="3"/>
      <c r="X134" s="8">
        <f t="shared" si="34"/>
        <v>2044</v>
      </c>
      <c r="Y134" s="3"/>
      <c r="Z134" s="7">
        <f t="shared" si="35"/>
        <v>0.33428789645579599</v>
      </c>
    </row>
    <row r="135" spans="1:26" s="24" customFormat="1" hidden="1" outlineLevel="2" x14ac:dyDescent="0.25">
      <c r="A135" s="29"/>
      <c r="B135" s="11" t="str">
        <f>CONCATENATE("          ", "6116", " - ", "EDUCATIONAL BENEFITS")</f>
        <v xml:space="preserve">          6116 - EDUCATIONAL BENEFITS</v>
      </c>
      <c r="C135" s="11"/>
      <c r="D135" s="8">
        <v>0</v>
      </c>
      <c r="E135" s="3"/>
      <c r="F135" s="7">
        <f t="shared" si="28"/>
        <v>0</v>
      </c>
      <c r="G135" s="3"/>
      <c r="H135" s="8"/>
      <c r="I135" s="3"/>
      <c r="J135" s="7">
        <f t="shared" si="29"/>
        <v>0</v>
      </c>
      <c r="K135" s="3"/>
      <c r="L135" s="8">
        <f t="shared" si="30"/>
        <v>0</v>
      </c>
      <c r="M135" s="3"/>
      <c r="N135" s="7">
        <f t="shared" si="31"/>
        <v>0</v>
      </c>
      <c r="O135" s="11"/>
      <c r="P135" s="8">
        <v>0</v>
      </c>
      <c r="Q135" s="3"/>
      <c r="R135" s="7">
        <f t="shared" si="32"/>
        <v>0</v>
      </c>
      <c r="S135" s="3"/>
      <c r="T135" s="8"/>
      <c r="U135" s="3"/>
      <c r="V135" s="7">
        <f t="shared" si="33"/>
        <v>0</v>
      </c>
      <c r="W135" s="3"/>
      <c r="X135" s="8">
        <f t="shared" si="34"/>
        <v>0</v>
      </c>
      <c r="Y135" s="3"/>
      <c r="Z135" s="7">
        <f t="shared" si="35"/>
        <v>0</v>
      </c>
    </row>
    <row r="136" spans="1:26" s="24" customFormat="1" hidden="1" outlineLevel="2" x14ac:dyDescent="0.25">
      <c r="A136" s="29"/>
      <c r="B136" s="11" t="str">
        <f>CONCATENATE("          ", "6117", " - ", "RETIREMENT STAFF HOURLY")</f>
        <v xml:space="preserve">          6117 - RETIREMENT STAFF HOURLY</v>
      </c>
      <c r="C136" s="11"/>
      <c r="D136" s="8">
        <v>333.14</v>
      </c>
      <c r="E136" s="3"/>
      <c r="F136" s="7">
        <f t="shared" si="28"/>
        <v>1.4632758993662904E-3</v>
      </c>
      <c r="G136" s="3"/>
      <c r="H136" s="8">
        <v>220.69</v>
      </c>
      <c r="I136" s="3"/>
      <c r="J136" s="7">
        <f t="shared" si="29"/>
        <v>6.2707000015173114E-4</v>
      </c>
      <c r="K136" s="3"/>
      <c r="L136" s="8">
        <f t="shared" si="30"/>
        <v>112.44999999999999</v>
      </c>
      <c r="M136" s="3"/>
      <c r="N136" s="7">
        <f t="shared" si="31"/>
        <v>0.50953826634645882</v>
      </c>
      <c r="O136" s="11"/>
      <c r="P136" s="8">
        <v>333.14</v>
      </c>
      <c r="Q136" s="3"/>
      <c r="R136" s="7">
        <f t="shared" si="32"/>
        <v>1.4632758993662904E-3</v>
      </c>
      <c r="S136" s="3"/>
      <c r="T136" s="8">
        <v>220.69</v>
      </c>
      <c r="U136" s="3"/>
      <c r="V136" s="7">
        <f t="shared" si="33"/>
        <v>6.2707000015173114E-4</v>
      </c>
      <c r="W136" s="3"/>
      <c r="X136" s="8">
        <f t="shared" si="34"/>
        <v>112.44999999999999</v>
      </c>
      <c r="Y136" s="3"/>
      <c r="Z136" s="7">
        <f t="shared" si="35"/>
        <v>0.50953826634645882</v>
      </c>
    </row>
    <row r="137" spans="1:26" s="24" customFormat="1" hidden="1" outlineLevel="2" x14ac:dyDescent="0.25">
      <c r="A137" s="29"/>
      <c r="B137" s="11" t="str">
        <f>CONCATENATE("          ", "6118", " - ", "VACATION")</f>
        <v xml:space="preserve">          6118 - VACATION</v>
      </c>
      <c r="C137" s="11"/>
      <c r="D137" s="8">
        <v>4733.7</v>
      </c>
      <c r="E137" s="3"/>
      <c r="F137" s="7">
        <f t="shared" si="28"/>
        <v>2.0792186842859484E-2</v>
      </c>
      <c r="G137" s="3"/>
      <c r="H137" s="8">
        <v>7334.91</v>
      </c>
      <c r="I137" s="3"/>
      <c r="J137" s="7">
        <f t="shared" si="29"/>
        <v>2.0841460939838387E-2</v>
      </c>
      <c r="K137" s="3"/>
      <c r="L137" s="8">
        <f t="shared" si="30"/>
        <v>-2601.21</v>
      </c>
      <c r="M137" s="3"/>
      <c r="N137" s="7">
        <f t="shared" si="31"/>
        <v>-0.35463420819069358</v>
      </c>
      <c r="O137" s="11"/>
      <c r="P137" s="8">
        <v>4733.7</v>
      </c>
      <c r="Q137" s="3"/>
      <c r="R137" s="7">
        <f t="shared" si="32"/>
        <v>2.0792186842859484E-2</v>
      </c>
      <c r="S137" s="3"/>
      <c r="T137" s="8">
        <v>7334.91</v>
      </c>
      <c r="U137" s="3"/>
      <c r="V137" s="7">
        <f t="shared" si="33"/>
        <v>2.0841460939838387E-2</v>
      </c>
      <c r="W137" s="3"/>
      <c r="X137" s="8">
        <f t="shared" si="34"/>
        <v>-2601.21</v>
      </c>
      <c r="Y137" s="3"/>
      <c r="Z137" s="7">
        <f t="shared" si="35"/>
        <v>-0.35463420819069358</v>
      </c>
    </row>
    <row r="138" spans="1:26" s="24" customFormat="1" hidden="1" outlineLevel="2" x14ac:dyDescent="0.25">
      <c r="A138" s="29"/>
      <c r="B138" s="11" t="str">
        <f>CONCATENATE("          ", "6119", " - ", "SICK LEAVE")</f>
        <v xml:space="preserve">          6119 - SICK LEAVE</v>
      </c>
      <c r="C138" s="11"/>
      <c r="D138" s="8">
        <v>3335.98</v>
      </c>
      <c r="E138" s="3"/>
      <c r="F138" s="7">
        <f t="shared" si="28"/>
        <v>1.465287607242588E-2</v>
      </c>
      <c r="G138" s="3"/>
      <c r="H138" s="8">
        <v>8051.08</v>
      </c>
      <c r="I138" s="3"/>
      <c r="J138" s="7">
        <f t="shared" si="29"/>
        <v>2.2876391031861884E-2</v>
      </c>
      <c r="K138" s="3"/>
      <c r="L138" s="8">
        <f t="shared" si="30"/>
        <v>-4715.1000000000004</v>
      </c>
      <c r="M138" s="3"/>
      <c r="N138" s="7">
        <f t="shared" si="31"/>
        <v>-0.5856481366475057</v>
      </c>
      <c r="O138" s="11"/>
      <c r="P138" s="8">
        <v>3335.98</v>
      </c>
      <c r="Q138" s="3"/>
      <c r="R138" s="7">
        <f t="shared" si="32"/>
        <v>1.465287607242588E-2</v>
      </c>
      <c r="S138" s="3"/>
      <c r="T138" s="8">
        <v>8051.08</v>
      </c>
      <c r="U138" s="3"/>
      <c r="V138" s="7">
        <f t="shared" si="33"/>
        <v>2.2876391031861884E-2</v>
      </c>
      <c r="W138" s="3"/>
      <c r="X138" s="8">
        <f t="shared" si="34"/>
        <v>-4715.1000000000004</v>
      </c>
      <c r="Y138" s="3"/>
      <c r="Z138" s="7">
        <f t="shared" si="35"/>
        <v>-0.5856481366475057</v>
      </c>
    </row>
    <row r="139" spans="1:26" s="24" customFormat="1" hidden="1" outlineLevel="2" x14ac:dyDescent="0.25">
      <c r="A139" s="29"/>
      <c r="B139" s="11" t="str">
        <f>CONCATENATE("          ", "6156", " - ", "EMPLOYEE MEALS")</f>
        <v xml:space="preserve">          6156 - EMPLOYEE MEALS</v>
      </c>
      <c r="C139" s="11"/>
      <c r="D139" s="8">
        <v>1015.42</v>
      </c>
      <c r="E139" s="3"/>
      <c r="F139" s="7">
        <f t="shared" si="28"/>
        <v>4.4601057025110118E-3</v>
      </c>
      <c r="G139" s="3"/>
      <c r="H139" s="8">
        <v>1729.71</v>
      </c>
      <c r="I139" s="3"/>
      <c r="J139" s="7">
        <f t="shared" si="29"/>
        <v>4.9148092345029266E-3</v>
      </c>
      <c r="K139" s="3"/>
      <c r="L139" s="8">
        <f t="shared" si="30"/>
        <v>-714.29000000000008</v>
      </c>
      <c r="M139" s="3"/>
      <c r="N139" s="7">
        <f t="shared" si="31"/>
        <v>-0.41295361650218826</v>
      </c>
      <c r="O139" s="11"/>
      <c r="P139" s="8">
        <v>1015.42</v>
      </c>
      <c r="Q139" s="3"/>
      <c r="R139" s="7">
        <f t="shared" si="32"/>
        <v>4.4601057025110118E-3</v>
      </c>
      <c r="S139" s="3"/>
      <c r="T139" s="8">
        <v>1729.71</v>
      </c>
      <c r="U139" s="3"/>
      <c r="V139" s="7">
        <f t="shared" si="33"/>
        <v>4.9148092345029266E-3</v>
      </c>
      <c r="W139" s="3"/>
      <c r="X139" s="8">
        <f t="shared" si="34"/>
        <v>-714.29000000000008</v>
      </c>
      <c r="Y139" s="3"/>
      <c r="Z139" s="7">
        <f t="shared" si="35"/>
        <v>-0.41295361650218826</v>
      </c>
    </row>
    <row r="140" spans="1:26" s="27" customFormat="1" outlineLevel="1" collapsed="1" x14ac:dyDescent="0.25">
      <c r="A140" s="28"/>
      <c r="B140" s="14" t="str">
        <f>CONCATENATE("     ","*Payroll                                          ")</f>
        <v xml:space="preserve">     *Payroll                                          </v>
      </c>
      <c r="C140" s="14"/>
      <c r="D140" s="1">
        <f>SUM(OSRRefD22_1x_0)</f>
        <v>120477.56000000001</v>
      </c>
      <c r="E140" s="1"/>
      <c r="F140" s="5">
        <f t="shared" ref="F140:F147" si="36">IF(D$12=0,0,D140/D$12)</f>
        <v>0.52918265582774882</v>
      </c>
      <c r="G140" s="1"/>
      <c r="H140" s="1">
        <f>SUM(OSRRefH22_1x_0)</f>
        <v>170297.77</v>
      </c>
      <c r="I140" s="1"/>
      <c r="J140" s="5">
        <f t="shared" ref="J140:J147" si="37">IF(H$12=0,0,H140/H$12)</f>
        <v>0.48388519035633448</v>
      </c>
      <c r="K140" s="1"/>
      <c r="L140" s="1">
        <f t="shared" ref="L140:L147" si="38">+D140-H140</f>
        <v>-49820.209999999977</v>
      </c>
      <c r="M140" s="1"/>
      <c r="N140" s="5">
        <f t="shared" ref="N140:N147" si="39">IF(H140=0,0,L140/H140)</f>
        <v>-0.29254763582635274</v>
      </c>
      <c r="O140" s="14"/>
      <c r="P140" s="1">
        <f>SUM(OSRRefP22_1x_0)</f>
        <v>120477.56000000001</v>
      </c>
      <c r="Q140" s="1"/>
      <c r="R140" s="5">
        <f t="shared" ref="R140:R147" si="40">IF(P$12=0,0,P140/P$12)</f>
        <v>0.52918265582774882</v>
      </c>
      <c r="S140" s="1"/>
      <c r="T140" s="1">
        <f>SUM(OSRRefT22_1x_0)</f>
        <v>170297.77</v>
      </c>
      <c r="U140" s="1"/>
      <c r="V140" s="5">
        <f t="shared" ref="V140:V147" si="41">IF(T$12=0,0,T140/T$12)</f>
        <v>0.48388519035633448</v>
      </c>
      <c r="W140" s="1"/>
      <c r="X140" s="1">
        <f t="shared" ref="X140:X147" si="42">+P140-T140</f>
        <v>-49820.209999999977</v>
      </c>
      <c r="Y140" s="1"/>
      <c r="Z140" s="5">
        <f t="shared" ref="Z140:Z147" si="43">IF(T140=0,0,X140/T140)</f>
        <v>-0.29254763582635274</v>
      </c>
    </row>
    <row r="141" spans="1:26" s="24" customFormat="1" hidden="1" outlineLevel="2" x14ac:dyDescent="0.25">
      <c r="A141" s="29"/>
      <c r="B141" s="11" t="str">
        <f>CONCATENATE("          ", "6001", " - ", "ADMINISTRATIVE SALARIES")</f>
        <v xml:space="preserve">          6001 - ADMINISTRATIVE SALARIES</v>
      </c>
      <c r="C141" s="11"/>
      <c r="D141" s="8">
        <v>4525.8500000000004</v>
      </c>
      <c r="E141" s="3"/>
      <c r="F141" s="7">
        <f t="shared" si="36"/>
        <v>1.9879231641793019E-2</v>
      </c>
      <c r="G141" s="3"/>
      <c r="H141" s="8">
        <v>12860.28</v>
      </c>
      <c r="I141" s="3"/>
      <c r="J141" s="7">
        <f t="shared" si="37"/>
        <v>3.6541283164399405E-2</v>
      </c>
      <c r="K141" s="3"/>
      <c r="L141" s="8">
        <f t="shared" si="38"/>
        <v>-8334.43</v>
      </c>
      <c r="M141" s="3"/>
      <c r="N141" s="7">
        <f t="shared" si="39"/>
        <v>-0.64807531406781194</v>
      </c>
      <c r="O141" s="11"/>
      <c r="P141" s="8">
        <v>4525.8500000000004</v>
      </c>
      <c r="Q141" s="3"/>
      <c r="R141" s="7">
        <f t="shared" si="40"/>
        <v>1.9879231641793019E-2</v>
      </c>
      <c r="S141" s="3"/>
      <c r="T141" s="8">
        <v>12860.28</v>
      </c>
      <c r="U141" s="3"/>
      <c r="V141" s="7">
        <f t="shared" si="41"/>
        <v>3.6541283164399405E-2</v>
      </c>
      <c r="W141" s="3"/>
      <c r="X141" s="8">
        <f t="shared" si="42"/>
        <v>-8334.43</v>
      </c>
      <c r="Y141" s="3"/>
      <c r="Z141" s="7">
        <f t="shared" si="43"/>
        <v>-0.64807531406781194</v>
      </c>
    </row>
    <row r="142" spans="1:26" s="24" customFormat="1" hidden="1" outlineLevel="2" x14ac:dyDescent="0.25">
      <c r="A142" s="29"/>
      <c r="B142" s="11" t="str">
        <f>CONCATENATE("          ", "6002", " - ", "STAFF SALARIES")</f>
        <v xml:space="preserve">          6002 - STAFF SALARIES</v>
      </c>
      <c r="C142" s="11"/>
      <c r="D142" s="8">
        <v>64436.4</v>
      </c>
      <c r="E142" s="3"/>
      <c r="F142" s="7">
        <f t="shared" si="36"/>
        <v>0.28302885021890506</v>
      </c>
      <c r="G142" s="3"/>
      <c r="H142" s="8">
        <v>64127.61</v>
      </c>
      <c r="I142" s="3"/>
      <c r="J142" s="7">
        <f t="shared" si="37"/>
        <v>0.18221260778662446</v>
      </c>
      <c r="K142" s="3"/>
      <c r="L142" s="8">
        <f t="shared" si="38"/>
        <v>308.79000000000087</v>
      </c>
      <c r="M142" s="3"/>
      <c r="N142" s="7">
        <f t="shared" si="39"/>
        <v>4.8152426076693159E-3</v>
      </c>
      <c r="O142" s="11"/>
      <c r="P142" s="8">
        <v>64436.4</v>
      </c>
      <c r="Q142" s="3"/>
      <c r="R142" s="7">
        <f t="shared" si="40"/>
        <v>0.28302885021890506</v>
      </c>
      <c r="S142" s="3"/>
      <c r="T142" s="8">
        <v>64127.61</v>
      </c>
      <c r="U142" s="3"/>
      <c r="V142" s="7">
        <f t="shared" si="41"/>
        <v>0.18221260778662446</v>
      </c>
      <c r="W142" s="3"/>
      <c r="X142" s="8">
        <f t="shared" si="42"/>
        <v>308.79000000000087</v>
      </c>
      <c r="Y142" s="3"/>
      <c r="Z142" s="7">
        <f t="shared" si="43"/>
        <v>4.8152426076693159E-3</v>
      </c>
    </row>
    <row r="143" spans="1:26" s="24" customFormat="1" hidden="1" outlineLevel="2" x14ac:dyDescent="0.25">
      <c r="A143" s="29"/>
      <c r="B143" s="11" t="str">
        <f>CONCATENATE("          ", "6004", " - ", "STAFF HOURLY")</f>
        <v xml:space="preserve">          6004 - STAFF HOURLY</v>
      </c>
      <c r="C143" s="11"/>
      <c r="D143" s="8">
        <v>15713.52</v>
      </c>
      <c r="E143" s="3"/>
      <c r="F143" s="7">
        <f t="shared" si="36"/>
        <v>6.9019676743141606E-2</v>
      </c>
      <c r="G143" s="3"/>
      <c r="H143" s="8">
        <v>2005.93</v>
      </c>
      <c r="I143" s="3"/>
      <c r="J143" s="7">
        <f t="shared" si="37"/>
        <v>5.6996625375158004E-3</v>
      </c>
      <c r="K143" s="3"/>
      <c r="L143" s="8">
        <f t="shared" si="38"/>
        <v>13707.59</v>
      </c>
      <c r="M143" s="3"/>
      <c r="N143" s="7">
        <f t="shared" si="39"/>
        <v>6.8335335729561848</v>
      </c>
      <c r="O143" s="11"/>
      <c r="P143" s="8">
        <v>15713.52</v>
      </c>
      <c r="Q143" s="3"/>
      <c r="R143" s="7">
        <f t="shared" si="40"/>
        <v>6.9019676743141606E-2</v>
      </c>
      <c r="S143" s="3"/>
      <c r="T143" s="8">
        <v>2005.93</v>
      </c>
      <c r="U143" s="3"/>
      <c r="V143" s="7">
        <f t="shared" si="41"/>
        <v>5.6996625375158004E-3</v>
      </c>
      <c r="W143" s="3"/>
      <c r="X143" s="8">
        <f t="shared" si="42"/>
        <v>13707.59</v>
      </c>
      <c r="Y143" s="3"/>
      <c r="Z143" s="7">
        <f t="shared" si="43"/>
        <v>6.8335335729561848</v>
      </c>
    </row>
    <row r="144" spans="1:26" s="24" customFormat="1" hidden="1" outlineLevel="2" x14ac:dyDescent="0.25">
      <c r="A144" s="29"/>
      <c r="B144" s="11" t="str">
        <f>CONCATENATE("          ", "6005", " - ", "TEMPORARY WAGES-HOURLY")</f>
        <v xml:space="preserve">          6005 - TEMPORARY WAGES-HOURLY</v>
      </c>
      <c r="C144" s="11"/>
      <c r="D144" s="8">
        <v>12385.55</v>
      </c>
      <c r="E144" s="3"/>
      <c r="F144" s="7">
        <f t="shared" si="36"/>
        <v>5.4401983596674544E-2</v>
      </c>
      <c r="G144" s="3"/>
      <c r="H144" s="8">
        <v>17378.64</v>
      </c>
      <c r="I144" s="3"/>
      <c r="J144" s="7">
        <f t="shared" si="37"/>
        <v>4.9379780630916123E-2</v>
      </c>
      <c r="K144" s="3"/>
      <c r="L144" s="8">
        <f t="shared" si="38"/>
        <v>-4993.09</v>
      </c>
      <c r="M144" s="3"/>
      <c r="N144" s="7">
        <f t="shared" si="39"/>
        <v>-0.28731189552231939</v>
      </c>
      <c r="O144" s="11"/>
      <c r="P144" s="8">
        <v>12385.55</v>
      </c>
      <c r="Q144" s="3"/>
      <c r="R144" s="7">
        <f t="shared" si="40"/>
        <v>5.4401983596674544E-2</v>
      </c>
      <c r="S144" s="3"/>
      <c r="T144" s="8">
        <v>17378.64</v>
      </c>
      <c r="U144" s="3"/>
      <c r="V144" s="7">
        <f t="shared" si="41"/>
        <v>4.9379780630916123E-2</v>
      </c>
      <c r="W144" s="3"/>
      <c r="X144" s="8">
        <f t="shared" si="42"/>
        <v>-4993.09</v>
      </c>
      <c r="Y144" s="3"/>
      <c r="Z144" s="7">
        <f t="shared" si="43"/>
        <v>-0.28731189552231939</v>
      </c>
    </row>
    <row r="145" spans="1:26" s="24" customFormat="1" hidden="1" outlineLevel="2" x14ac:dyDescent="0.25">
      <c r="A145" s="29"/>
      <c r="B145" s="11" t="str">
        <f>CONCATENATE("          ", "6006", " - ", "TEMPORARY PART TIME")</f>
        <v xml:space="preserve">          6006 - TEMPORARY PART TIME</v>
      </c>
      <c r="C145" s="11"/>
      <c r="D145" s="8">
        <v>2048.21</v>
      </c>
      <c r="E145" s="3"/>
      <c r="F145" s="7">
        <f t="shared" si="36"/>
        <v>8.9965069635619555E-3</v>
      </c>
      <c r="G145" s="3"/>
      <c r="H145" s="8">
        <v>3191.44</v>
      </c>
      <c r="I145" s="3"/>
      <c r="J145" s="7">
        <f t="shared" si="37"/>
        <v>9.0681783555405359E-3</v>
      </c>
      <c r="K145" s="3"/>
      <c r="L145" s="8">
        <f t="shared" si="38"/>
        <v>-1143.23</v>
      </c>
      <c r="M145" s="3"/>
      <c r="N145" s="7">
        <f t="shared" si="39"/>
        <v>-0.35821760709898981</v>
      </c>
      <c r="O145" s="11"/>
      <c r="P145" s="8">
        <v>2048.21</v>
      </c>
      <c r="Q145" s="3"/>
      <c r="R145" s="7">
        <f t="shared" si="40"/>
        <v>8.9965069635619555E-3</v>
      </c>
      <c r="S145" s="3"/>
      <c r="T145" s="8">
        <v>3191.44</v>
      </c>
      <c r="U145" s="3"/>
      <c r="V145" s="7">
        <f t="shared" si="41"/>
        <v>9.0681783555405359E-3</v>
      </c>
      <c r="W145" s="3"/>
      <c r="X145" s="8">
        <f t="shared" si="42"/>
        <v>-1143.23</v>
      </c>
      <c r="Y145" s="3"/>
      <c r="Z145" s="7">
        <f t="shared" si="43"/>
        <v>-0.35821760709898981</v>
      </c>
    </row>
    <row r="146" spans="1:26" s="24" customFormat="1" hidden="1" outlineLevel="2" x14ac:dyDescent="0.25">
      <c r="A146" s="29"/>
      <c r="B146" s="11" t="str">
        <f>CONCATENATE("          ", "6007", " - ", "STUDENT HOURLY")</f>
        <v xml:space="preserve">          6007 - STUDENT HOURLY</v>
      </c>
      <c r="C146" s="11"/>
      <c r="D146" s="8">
        <v>21368.030000000002</v>
      </c>
      <c r="E146" s="3"/>
      <c r="F146" s="7">
        <f t="shared" si="36"/>
        <v>9.3856406663672565E-2</v>
      </c>
      <c r="G146" s="3"/>
      <c r="H146" s="8">
        <v>70418.87</v>
      </c>
      <c r="I146" s="3"/>
      <c r="J146" s="7">
        <f t="shared" si="37"/>
        <v>0.20008863483431388</v>
      </c>
      <c r="K146" s="3"/>
      <c r="L146" s="8">
        <f t="shared" si="38"/>
        <v>-49050.84</v>
      </c>
      <c r="M146" s="3"/>
      <c r="N146" s="7">
        <f t="shared" si="39"/>
        <v>-0.69655818106709178</v>
      </c>
      <c r="O146" s="11"/>
      <c r="P146" s="8">
        <v>21368.030000000002</v>
      </c>
      <c r="Q146" s="3"/>
      <c r="R146" s="7">
        <f t="shared" si="40"/>
        <v>9.3856406663672565E-2</v>
      </c>
      <c r="S146" s="3"/>
      <c r="T146" s="8">
        <v>70418.87</v>
      </c>
      <c r="U146" s="3"/>
      <c r="V146" s="7">
        <f t="shared" si="41"/>
        <v>0.20008863483431388</v>
      </c>
      <c r="W146" s="3"/>
      <c r="X146" s="8">
        <f t="shared" si="42"/>
        <v>-49050.84</v>
      </c>
      <c r="Y146" s="3"/>
      <c r="Z146" s="7">
        <f t="shared" si="43"/>
        <v>-0.69655818106709178</v>
      </c>
    </row>
    <row r="147" spans="1:26" s="24" customFormat="1" hidden="1" outlineLevel="2" x14ac:dyDescent="0.25">
      <c r="A147" s="29"/>
      <c r="B147" s="11" t="str">
        <f>CONCATENATE("          ", "6008", " - ", "STUDENT HOURLY-FICA EXEMPT")</f>
        <v xml:space="preserve">          6008 - STUDENT HOURLY-FICA EXEMPT</v>
      </c>
      <c r="C147" s="11"/>
      <c r="D147" s="8"/>
      <c r="E147" s="3"/>
      <c r="F147" s="7">
        <f t="shared" si="36"/>
        <v>0</v>
      </c>
      <c r="G147" s="3"/>
      <c r="H147" s="8">
        <v>315</v>
      </c>
      <c r="I147" s="3"/>
      <c r="J147" s="7">
        <f t="shared" si="37"/>
        <v>8.9504304702431141E-4</v>
      </c>
      <c r="K147" s="3"/>
      <c r="L147" s="8">
        <f t="shared" si="38"/>
        <v>-315</v>
      </c>
      <c r="M147" s="3"/>
      <c r="N147" s="7">
        <f t="shared" si="39"/>
        <v>-1</v>
      </c>
      <c r="O147" s="11"/>
      <c r="P147" s="8"/>
      <c r="Q147" s="3"/>
      <c r="R147" s="7">
        <f t="shared" si="40"/>
        <v>0</v>
      </c>
      <c r="S147" s="3"/>
      <c r="T147" s="8">
        <v>315</v>
      </c>
      <c r="U147" s="3"/>
      <c r="V147" s="7">
        <f t="shared" si="41"/>
        <v>8.9504304702431141E-4</v>
      </c>
      <c r="W147" s="3"/>
      <c r="X147" s="8">
        <f t="shared" si="42"/>
        <v>-315</v>
      </c>
      <c r="Y147" s="3"/>
      <c r="Z147" s="7">
        <f t="shared" si="43"/>
        <v>-1</v>
      </c>
    </row>
    <row r="148" spans="1:26" s="27" customFormat="1" outlineLevel="1" collapsed="1" x14ac:dyDescent="0.25">
      <c r="A148" s="28"/>
      <c r="B148" s="14" t="str">
        <f>CONCATENATE("     ","Advertising/Promo                                 ")</f>
        <v xml:space="preserve">     Advertising/Promo                                 </v>
      </c>
      <c r="C148" s="14"/>
      <c r="D148" s="1">
        <f>SUM(OSRRefD22_2x_0)</f>
        <v>2590.83</v>
      </c>
      <c r="E148" s="1"/>
      <c r="F148" s="5">
        <f t="shared" ref="F148:F156" si="44">IF(D$12=0,0,D148/D$12)</f>
        <v>1.13798976356942E-2</v>
      </c>
      <c r="G148" s="1"/>
      <c r="H148" s="1">
        <f>SUM(OSRRefH22_2x_0)</f>
        <v>532.29999999999995</v>
      </c>
      <c r="I148" s="1"/>
      <c r="J148" s="5">
        <f t="shared" ref="J148:J156" si="45">IF(H$12=0,0,H148/H$12)</f>
        <v>1.5124806791461617E-3</v>
      </c>
      <c r="K148" s="1"/>
      <c r="L148" s="1">
        <f t="shared" ref="L148:L156" si="46">+D148-H148</f>
        <v>2058.5299999999997</v>
      </c>
      <c r="M148" s="1"/>
      <c r="N148" s="5">
        <f t="shared" ref="N148:N156" si="47">IF(H148=0,0,L148/H148)</f>
        <v>3.8672365207589703</v>
      </c>
      <c r="O148" s="14"/>
      <c r="P148" s="1">
        <f>SUM(OSRRefP22_2x_0)</f>
        <v>2590.83</v>
      </c>
      <c r="Q148" s="1"/>
      <c r="R148" s="5">
        <f t="shared" ref="R148:R156" si="48">IF(P$12=0,0,P148/P$12)</f>
        <v>1.13798976356942E-2</v>
      </c>
      <c r="S148" s="1"/>
      <c r="T148" s="1">
        <f>SUM(OSRRefT22_2x_0)</f>
        <v>532.29999999999995</v>
      </c>
      <c r="U148" s="1"/>
      <c r="V148" s="5">
        <f t="shared" ref="V148:V156" si="49">IF(T$12=0,0,T148/T$12)</f>
        <v>1.5124806791461617E-3</v>
      </c>
      <c r="W148" s="1"/>
      <c r="X148" s="1">
        <f t="shared" ref="X148:X156" si="50">+P148-T148</f>
        <v>2058.5299999999997</v>
      </c>
      <c r="Y148" s="1"/>
      <c r="Z148" s="5">
        <f t="shared" ref="Z148:Z156" si="51">IF(T148=0,0,X148/T148)</f>
        <v>3.8672365207589703</v>
      </c>
    </row>
    <row r="149" spans="1:26" s="24" customFormat="1" hidden="1" outlineLevel="2" x14ac:dyDescent="0.25">
      <c r="A149" s="29"/>
      <c r="B149" s="11" t="str">
        <f>CONCATENATE("          ", "6362", " - ", "ADVERTISING EXPENSE")</f>
        <v xml:space="preserve">          6362 - ADVERTISING EXPENSE</v>
      </c>
      <c r="C149" s="11"/>
      <c r="D149" s="8">
        <v>2590.83</v>
      </c>
      <c r="E149" s="3"/>
      <c r="F149" s="7">
        <f t="shared" si="44"/>
        <v>1.13798976356942E-2</v>
      </c>
      <c r="G149" s="3"/>
      <c r="H149" s="8">
        <v>532.29999999999995</v>
      </c>
      <c r="I149" s="3"/>
      <c r="J149" s="7">
        <f t="shared" si="45"/>
        <v>1.5124806791461617E-3</v>
      </c>
      <c r="K149" s="3"/>
      <c r="L149" s="8">
        <f t="shared" si="46"/>
        <v>2058.5299999999997</v>
      </c>
      <c r="M149" s="3"/>
      <c r="N149" s="7">
        <f t="shared" si="47"/>
        <v>3.8672365207589703</v>
      </c>
      <c r="O149" s="11"/>
      <c r="P149" s="8">
        <v>2590.83</v>
      </c>
      <c r="Q149" s="3"/>
      <c r="R149" s="7">
        <f t="shared" si="48"/>
        <v>1.13798976356942E-2</v>
      </c>
      <c r="S149" s="3"/>
      <c r="T149" s="8">
        <v>532.29999999999995</v>
      </c>
      <c r="U149" s="3"/>
      <c r="V149" s="7">
        <f t="shared" si="49"/>
        <v>1.5124806791461617E-3</v>
      </c>
      <c r="W149" s="3"/>
      <c r="X149" s="8">
        <f t="shared" si="50"/>
        <v>2058.5299999999997</v>
      </c>
      <c r="Y149" s="3"/>
      <c r="Z149" s="7">
        <f t="shared" si="51"/>
        <v>3.8672365207589703</v>
      </c>
    </row>
    <row r="150" spans="1:26" s="27" customFormat="1" outlineLevel="1" collapsed="1" x14ac:dyDescent="0.25">
      <c r="A150" s="28"/>
      <c r="B150" s="14" t="str">
        <f>CONCATENATE("     ","Bad Debts/Over/Short                              ")</f>
        <v xml:space="preserve">     Bad Debts/Over/Short                              </v>
      </c>
      <c r="C150" s="14"/>
      <c r="D150" s="1">
        <f>SUM(OSRRefD22_3x_0)</f>
        <v>4.9800000000000004</v>
      </c>
      <c r="E150" s="1"/>
      <c r="F150" s="5">
        <f t="shared" si="44"/>
        <v>2.1874028873278884E-5</v>
      </c>
      <c r="G150" s="1"/>
      <c r="H150" s="1">
        <f>SUM(OSRRefH22_3x_0)</f>
        <v>-18.7</v>
      </c>
      <c r="I150" s="1"/>
      <c r="J150" s="5">
        <f t="shared" si="45"/>
        <v>-5.3134301521760708E-5</v>
      </c>
      <c r="K150" s="1"/>
      <c r="L150" s="1">
        <f t="shared" si="46"/>
        <v>23.68</v>
      </c>
      <c r="M150" s="1"/>
      <c r="N150" s="5">
        <f t="shared" si="47"/>
        <v>-1.2663101604278075</v>
      </c>
      <c r="O150" s="14"/>
      <c r="P150" s="1">
        <f>SUM(OSRRefP22_3x_0)</f>
        <v>4.9800000000000004</v>
      </c>
      <c r="Q150" s="1"/>
      <c r="R150" s="5">
        <f t="shared" si="48"/>
        <v>2.1874028873278884E-5</v>
      </c>
      <c r="S150" s="1"/>
      <c r="T150" s="1">
        <f>SUM(OSRRefT22_3x_0)</f>
        <v>-18.7</v>
      </c>
      <c r="U150" s="1"/>
      <c r="V150" s="5">
        <f t="shared" si="49"/>
        <v>-5.3134301521760708E-5</v>
      </c>
      <c r="W150" s="1"/>
      <c r="X150" s="1">
        <f t="shared" si="50"/>
        <v>23.68</v>
      </c>
      <c r="Y150" s="1"/>
      <c r="Z150" s="5">
        <f t="shared" si="51"/>
        <v>-1.2663101604278075</v>
      </c>
    </row>
    <row r="151" spans="1:26" s="24" customFormat="1" hidden="1" outlineLevel="2" x14ac:dyDescent="0.25">
      <c r="A151" s="29"/>
      <c r="B151" s="11" t="str">
        <f>CONCATENATE("          ", "6272", " - ", "CASH (OVER/SHORT)")</f>
        <v xml:space="preserve">          6272 - CASH (OVER/SHORT)</v>
      </c>
      <c r="C151" s="11"/>
      <c r="D151" s="8">
        <v>4.9800000000000004</v>
      </c>
      <c r="E151" s="3"/>
      <c r="F151" s="7">
        <f t="shared" si="44"/>
        <v>2.1874028873278884E-5</v>
      </c>
      <c r="G151" s="3"/>
      <c r="H151" s="8">
        <v>-18.7</v>
      </c>
      <c r="I151" s="3"/>
      <c r="J151" s="7">
        <f t="shared" si="45"/>
        <v>-5.3134301521760708E-5</v>
      </c>
      <c r="K151" s="3"/>
      <c r="L151" s="8">
        <f t="shared" si="46"/>
        <v>23.68</v>
      </c>
      <c r="M151" s="3"/>
      <c r="N151" s="7">
        <f t="shared" si="47"/>
        <v>-1.2663101604278075</v>
      </c>
      <c r="O151" s="11"/>
      <c r="P151" s="8">
        <v>4.9800000000000004</v>
      </c>
      <c r="Q151" s="3"/>
      <c r="R151" s="7">
        <f t="shared" si="48"/>
        <v>2.1874028873278884E-5</v>
      </c>
      <c r="S151" s="3"/>
      <c r="T151" s="8">
        <v>-18.7</v>
      </c>
      <c r="U151" s="3"/>
      <c r="V151" s="7">
        <f t="shared" si="49"/>
        <v>-5.3134301521760708E-5</v>
      </c>
      <c r="W151" s="3"/>
      <c r="X151" s="8">
        <f t="shared" si="50"/>
        <v>23.68</v>
      </c>
      <c r="Y151" s="3"/>
      <c r="Z151" s="7">
        <f t="shared" si="51"/>
        <v>-1.2663101604278075</v>
      </c>
    </row>
    <row r="152" spans="1:26" s="27" customFormat="1" outlineLevel="1" collapsed="1" x14ac:dyDescent="0.25">
      <c r="A152" s="28"/>
      <c r="B152" s="14" t="str">
        <f>CONCATENATE("     ","Bank/card Fees                                    ")</f>
        <v xml:space="preserve">     Bank/card Fees                                    </v>
      </c>
      <c r="C152" s="14"/>
      <c r="D152" s="1">
        <f>SUM(OSRRefD22_4x_0)</f>
        <v>3117.21</v>
      </c>
      <c r="E152" s="1"/>
      <c r="F152" s="5">
        <f t="shared" si="44"/>
        <v>1.3691956133348124E-2</v>
      </c>
      <c r="G152" s="1"/>
      <c r="H152" s="1">
        <f>SUM(OSRRefH22_4x_0)</f>
        <v>5785.89</v>
      </c>
      <c r="I152" s="1"/>
      <c r="J152" s="5">
        <f t="shared" si="45"/>
        <v>1.6440065445547599E-2</v>
      </c>
      <c r="K152" s="1"/>
      <c r="L152" s="1">
        <f t="shared" si="46"/>
        <v>-2668.6800000000003</v>
      </c>
      <c r="M152" s="1"/>
      <c r="N152" s="5">
        <f t="shared" si="47"/>
        <v>-0.46123932532419387</v>
      </c>
      <c r="O152" s="14"/>
      <c r="P152" s="1">
        <f>SUM(OSRRefP22_4x_0)</f>
        <v>3117.21</v>
      </c>
      <c r="Q152" s="1"/>
      <c r="R152" s="5">
        <f t="shared" si="48"/>
        <v>1.3691956133348124E-2</v>
      </c>
      <c r="S152" s="1"/>
      <c r="T152" s="1">
        <f>SUM(OSRRefT22_4x_0)</f>
        <v>5785.89</v>
      </c>
      <c r="U152" s="1"/>
      <c r="V152" s="5">
        <f t="shared" si="49"/>
        <v>1.6440065445547599E-2</v>
      </c>
      <c r="W152" s="1"/>
      <c r="X152" s="1">
        <f t="shared" si="50"/>
        <v>-2668.6800000000003</v>
      </c>
      <c r="Y152" s="1"/>
      <c r="Z152" s="5">
        <f t="shared" si="51"/>
        <v>-0.46123932532419387</v>
      </c>
    </row>
    <row r="153" spans="1:26" s="24" customFormat="1" hidden="1" outlineLevel="2" x14ac:dyDescent="0.25">
      <c r="A153" s="29"/>
      <c r="B153" s="11" t="str">
        <f>CONCATENATE("          ", "6381", " - ", "BANK/CREDIT CARD FEES")</f>
        <v xml:space="preserve">          6381 - BANK/CREDIT CARD FEES</v>
      </c>
      <c r="C153" s="11"/>
      <c r="D153" s="8">
        <v>3117.21</v>
      </c>
      <c r="E153" s="3"/>
      <c r="F153" s="7">
        <f t="shared" si="44"/>
        <v>1.3691956133348124E-2</v>
      </c>
      <c r="G153" s="3"/>
      <c r="H153" s="8">
        <v>5785.89</v>
      </c>
      <c r="I153" s="3"/>
      <c r="J153" s="7">
        <f t="shared" si="45"/>
        <v>1.6440065445547599E-2</v>
      </c>
      <c r="K153" s="3"/>
      <c r="L153" s="8">
        <f t="shared" si="46"/>
        <v>-2668.6800000000003</v>
      </c>
      <c r="M153" s="3"/>
      <c r="N153" s="7">
        <f t="shared" si="47"/>
        <v>-0.46123932532419387</v>
      </c>
      <c r="O153" s="11"/>
      <c r="P153" s="8">
        <v>3117.21</v>
      </c>
      <c r="Q153" s="3"/>
      <c r="R153" s="7">
        <f t="shared" si="48"/>
        <v>1.3691956133348124E-2</v>
      </c>
      <c r="S153" s="3"/>
      <c r="T153" s="8">
        <v>5785.89</v>
      </c>
      <c r="U153" s="3"/>
      <c r="V153" s="7">
        <f t="shared" si="49"/>
        <v>1.6440065445547599E-2</v>
      </c>
      <c r="W153" s="3"/>
      <c r="X153" s="8">
        <f t="shared" si="50"/>
        <v>-2668.6800000000003</v>
      </c>
      <c r="Y153" s="3"/>
      <c r="Z153" s="7">
        <f t="shared" si="51"/>
        <v>-0.46123932532419387</v>
      </c>
    </row>
    <row r="154" spans="1:26" s="27" customFormat="1" outlineLevel="1" collapsed="1" x14ac:dyDescent="0.25">
      <c r="A154" s="28"/>
      <c r="B154" s="14" t="str">
        <f>CONCATENATE("     ","Depreciation                                      ")</f>
        <v xml:space="preserve">     Depreciation                                      </v>
      </c>
      <c r="C154" s="14"/>
      <c r="D154" s="1">
        <f>SUM(OSRRefD22_5x_0)</f>
        <v>30346.86</v>
      </c>
      <c r="E154" s="1"/>
      <c r="F154" s="5">
        <f t="shared" si="44"/>
        <v>0.13329479756091406</v>
      </c>
      <c r="G154" s="1"/>
      <c r="H154" s="1">
        <f>SUM(OSRRefH22_5x_0)</f>
        <v>29607.43</v>
      </c>
      <c r="I154" s="1"/>
      <c r="J154" s="5">
        <f t="shared" si="45"/>
        <v>8.4126744005584161E-2</v>
      </c>
      <c r="K154" s="1"/>
      <c r="L154" s="1">
        <f t="shared" si="46"/>
        <v>739.43000000000029</v>
      </c>
      <c r="M154" s="1"/>
      <c r="N154" s="5">
        <f t="shared" si="47"/>
        <v>2.4974474312697871E-2</v>
      </c>
      <c r="O154" s="14"/>
      <c r="P154" s="1">
        <f>SUM(OSRRefP22_5x_0)</f>
        <v>30346.86</v>
      </c>
      <c r="Q154" s="1"/>
      <c r="R154" s="5">
        <f t="shared" si="48"/>
        <v>0.13329479756091406</v>
      </c>
      <c r="S154" s="1"/>
      <c r="T154" s="1">
        <f>SUM(OSRRefT22_5x_0)</f>
        <v>29607.43</v>
      </c>
      <c r="U154" s="1"/>
      <c r="V154" s="5">
        <f t="shared" si="49"/>
        <v>8.4126744005584161E-2</v>
      </c>
      <c r="W154" s="1"/>
      <c r="X154" s="1">
        <f t="shared" si="50"/>
        <v>739.43000000000029</v>
      </c>
      <c r="Y154" s="1"/>
      <c r="Z154" s="5">
        <f t="shared" si="51"/>
        <v>2.4974474312697871E-2</v>
      </c>
    </row>
    <row r="155" spans="1:26" s="24" customFormat="1" hidden="1" outlineLevel="2" x14ac:dyDescent="0.25">
      <c r="A155" s="29"/>
      <c r="B155" s="11" t="str">
        <f>CONCATENATE("          ", "6321", " - ", "BUILDING DEPRECIATION")</f>
        <v xml:space="preserve">          6321 - BUILDING DEPRECIATION</v>
      </c>
      <c r="C155" s="11"/>
      <c r="D155" s="8">
        <v>16396.52</v>
      </c>
      <c r="E155" s="3"/>
      <c r="F155" s="7">
        <f t="shared" si="44"/>
        <v>7.2019669056484867E-2</v>
      </c>
      <c r="G155" s="3"/>
      <c r="H155" s="8">
        <v>16396.52</v>
      </c>
      <c r="I155" s="3"/>
      <c r="J155" s="7">
        <f t="shared" si="45"/>
        <v>4.6589178480619248E-2</v>
      </c>
      <c r="K155" s="3"/>
      <c r="L155" s="8">
        <f t="shared" si="46"/>
        <v>0</v>
      </c>
      <c r="M155" s="3"/>
      <c r="N155" s="7">
        <f t="shared" si="47"/>
        <v>0</v>
      </c>
      <c r="O155" s="11"/>
      <c r="P155" s="8">
        <v>16396.52</v>
      </c>
      <c r="Q155" s="3"/>
      <c r="R155" s="7">
        <f t="shared" si="48"/>
        <v>7.2019669056484867E-2</v>
      </c>
      <c r="S155" s="3"/>
      <c r="T155" s="8">
        <v>16396.52</v>
      </c>
      <c r="U155" s="3"/>
      <c r="V155" s="7">
        <f t="shared" si="49"/>
        <v>4.6589178480619248E-2</v>
      </c>
      <c r="W155" s="3"/>
      <c r="X155" s="8">
        <f t="shared" si="50"/>
        <v>0</v>
      </c>
      <c r="Y155" s="3"/>
      <c r="Z155" s="7">
        <f t="shared" si="51"/>
        <v>0</v>
      </c>
    </row>
    <row r="156" spans="1:26" s="24" customFormat="1" hidden="1" outlineLevel="2" x14ac:dyDescent="0.25">
      <c r="A156" s="29"/>
      <c r="B156" s="11" t="str">
        <f>CONCATENATE("          ", "6322", " - ", "EQUIPMENT DEPRECIATION EXPENSE")</f>
        <v xml:space="preserve">          6322 - EQUIPMENT DEPRECIATION EXPENSE</v>
      </c>
      <c r="C156" s="11"/>
      <c r="D156" s="8">
        <v>13950.34</v>
      </c>
      <c r="E156" s="3"/>
      <c r="F156" s="7">
        <f t="shared" si="44"/>
        <v>6.1275128504429177E-2</v>
      </c>
      <c r="G156" s="3"/>
      <c r="H156" s="8">
        <v>13210.91</v>
      </c>
      <c r="I156" s="3"/>
      <c r="J156" s="7">
        <f t="shared" si="45"/>
        <v>3.7537565524964907E-2</v>
      </c>
      <c r="K156" s="3"/>
      <c r="L156" s="8">
        <f t="shared" si="46"/>
        <v>739.43000000000029</v>
      </c>
      <c r="M156" s="3"/>
      <c r="N156" s="7">
        <f t="shared" si="47"/>
        <v>5.5971163227968419E-2</v>
      </c>
      <c r="O156" s="11"/>
      <c r="P156" s="8">
        <v>13950.34</v>
      </c>
      <c r="Q156" s="3"/>
      <c r="R156" s="7">
        <f t="shared" si="48"/>
        <v>6.1275128504429177E-2</v>
      </c>
      <c r="S156" s="3"/>
      <c r="T156" s="8">
        <v>13210.91</v>
      </c>
      <c r="U156" s="3"/>
      <c r="V156" s="7">
        <f t="shared" si="49"/>
        <v>3.7537565524964907E-2</v>
      </c>
      <c r="W156" s="3"/>
      <c r="X156" s="8">
        <f t="shared" si="50"/>
        <v>739.43000000000029</v>
      </c>
      <c r="Y156" s="3"/>
      <c r="Z156" s="7">
        <f t="shared" si="51"/>
        <v>5.5971163227968419E-2</v>
      </c>
    </row>
    <row r="157" spans="1:26" s="27" customFormat="1" outlineLevel="1" collapsed="1" x14ac:dyDescent="0.25">
      <c r="A157" s="28"/>
      <c r="B157" s="14" t="str">
        <f>CONCATENATE("     ","Discounts and Markdowns                           ")</f>
        <v xml:space="preserve">     Discounts and Markdowns                           </v>
      </c>
      <c r="C157" s="14"/>
      <c r="D157" s="1">
        <f>SUM(OSRRefD22_6x_0)</f>
        <v>0</v>
      </c>
      <c r="E157" s="1"/>
      <c r="F157" s="5">
        <f t="shared" ref="F157:F159" si="52">IF(D$12=0,0,D157/D$12)</f>
        <v>0</v>
      </c>
      <c r="G157" s="1"/>
      <c r="H157" s="1">
        <f>SUM(OSRRefH22_6x_0)</f>
        <v>24489.05</v>
      </c>
      <c r="I157" s="1"/>
      <c r="J157" s="5">
        <f t="shared" ref="J157:J159" si="53">IF(H$12=0,0,H157/H$12)</f>
        <v>6.9583345811843542E-2</v>
      </c>
      <c r="K157" s="1"/>
      <c r="L157" s="1">
        <f t="shared" ref="L157:L159" si="54">+D157-H157</f>
        <v>-24489.05</v>
      </c>
      <c r="M157" s="1"/>
      <c r="N157" s="5">
        <f t="shared" ref="N157:N159" si="55">IF(H157=0,0,L157/H157)</f>
        <v>-1</v>
      </c>
      <c r="O157" s="14"/>
      <c r="P157" s="1">
        <f>SUM(OSRRefP22_6x_0)</f>
        <v>0</v>
      </c>
      <c r="Q157" s="1"/>
      <c r="R157" s="5">
        <f t="shared" ref="R157:R159" si="56">IF(P$12=0,0,P157/P$12)</f>
        <v>0</v>
      </c>
      <c r="S157" s="1"/>
      <c r="T157" s="1">
        <f>SUM(OSRRefT22_6x_0)</f>
        <v>24489.05</v>
      </c>
      <c r="U157" s="1"/>
      <c r="V157" s="5">
        <f t="shared" ref="V157:V159" si="57">IF(T$12=0,0,T157/T$12)</f>
        <v>6.9583345811843542E-2</v>
      </c>
      <c r="W157" s="1"/>
      <c r="X157" s="1">
        <f t="shared" ref="X157:X159" si="58">+P157-T157</f>
        <v>-24489.05</v>
      </c>
      <c r="Y157" s="1"/>
      <c r="Z157" s="5">
        <f t="shared" ref="Z157:Z159" si="59">IF(T157=0,0,X157/T157)</f>
        <v>-1</v>
      </c>
    </row>
    <row r="158" spans="1:26" s="24" customFormat="1" hidden="1" outlineLevel="2" x14ac:dyDescent="0.25">
      <c r="A158" s="29"/>
      <c r="B158" s="11" t="str">
        <f>CONCATENATE("          ", "6382", " - ", "DISCOUNTS/MARK DOWNS")</f>
        <v xml:space="preserve">          6382 - DISCOUNTS/MARK DOWNS</v>
      </c>
      <c r="C158" s="11"/>
      <c r="D158" s="8"/>
      <c r="E158" s="3"/>
      <c r="F158" s="7">
        <f t="shared" si="52"/>
        <v>0</v>
      </c>
      <c r="G158" s="3"/>
      <c r="H158" s="8">
        <v>24932.76</v>
      </c>
      <c r="I158" s="3"/>
      <c r="J158" s="7">
        <f t="shared" si="53"/>
        <v>7.0844106289288472E-2</v>
      </c>
      <c r="K158" s="3"/>
      <c r="L158" s="8">
        <f t="shared" si="54"/>
        <v>-24932.76</v>
      </c>
      <c r="M158" s="3"/>
      <c r="N158" s="7">
        <f t="shared" si="55"/>
        <v>-1</v>
      </c>
      <c r="O158" s="11"/>
      <c r="P158" s="8"/>
      <c r="Q158" s="3"/>
      <c r="R158" s="7">
        <f t="shared" si="56"/>
        <v>0</v>
      </c>
      <c r="S158" s="3"/>
      <c r="T158" s="8">
        <v>24932.76</v>
      </c>
      <c r="U158" s="3"/>
      <c r="V158" s="7">
        <f t="shared" si="57"/>
        <v>7.0844106289288472E-2</v>
      </c>
      <c r="W158" s="3"/>
      <c r="X158" s="8">
        <f t="shared" si="58"/>
        <v>-24932.76</v>
      </c>
      <c r="Y158" s="3"/>
      <c r="Z158" s="7">
        <f t="shared" si="59"/>
        <v>-1</v>
      </c>
    </row>
    <row r="159" spans="1:26" s="24" customFormat="1" hidden="1" outlineLevel="2" x14ac:dyDescent="0.25">
      <c r="A159" s="29"/>
      <c r="B159" s="11" t="str">
        <f>CONCATENATE("          ", "9175", " - ", "EARNED DISCOUNTS")</f>
        <v xml:space="preserve">          9175 - EARNED DISCOUNTS</v>
      </c>
      <c r="C159" s="11"/>
      <c r="D159" s="8"/>
      <c r="E159" s="3"/>
      <c r="F159" s="7">
        <f t="shared" si="52"/>
        <v>0</v>
      </c>
      <c r="G159" s="3"/>
      <c r="H159" s="8">
        <v>-443.71</v>
      </c>
      <c r="I159" s="3"/>
      <c r="J159" s="7">
        <f t="shared" si="53"/>
        <v>-1.2607604774449435E-3</v>
      </c>
      <c r="K159" s="3"/>
      <c r="L159" s="8">
        <f t="shared" si="54"/>
        <v>443.71</v>
      </c>
      <c r="M159" s="3"/>
      <c r="N159" s="7">
        <f t="shared" si="55"/>
        <v>-1</v>
      </c>
      <c r="O159" s="11"/>
      <c r="P159" s="8"/>
      <c r="Q159" s="3"/>
      <c r="R159" s="7">
        <f t="shared" si="56"/>
        <v>0</v>
      </c>
      <c r="S159" s="3"/>
      <c r="T159" s="8">
        <v>-443.71</v>
      </c>
      <c r="U159" s="3"/>
      <c r="V159" s="7">
        <f t="shared" si="57"/>
        <v>-1.2607604774449435E-3</v>
      </c>
      <c r="W159" s="3"/>
      <c r="X159" s="8">
        <f t="shared" si="58"/>
        <v>443.71</v>
      </c>
      <c r="Y159" s="3"/>
      <c r="Z159" s="7">
        <f t="shared" si="59"/>
        <v>-1</v>
      </c>
    </row>
    <row r="160" spans="1:26" s="27" customFormat="1" outlineLevel="1" collapsed="1" x14ac:dyDescent="0.25">
      <c r="A160" s="28"/>
      <c r="B160" s="14" t="str">
        <f>CONCATENATE("     ","Donations                                         ")</f>
        <v xml:space="preserve">     Donations                                         </v>
      </c>
      <c r="C160" s="14"/>
      <c r="D160" s="1">
        <f>SUM(OSRRefD22_7x_0)</f>
        <v>0</v>
      </c>
      <c r="E160" s="1"/>
      <c r="F160" s="5">
        <f t="shared" ref="F160:F168" si="60">IF(D$12=0,0,D160/D$12)</f>
        <v>0</v>
      </c>
      <c r="G160" s="1"/>
      <c r="H160" s="1">
        <f>SUM(OSRRefH22_7x_0)</f>
        <v>925.42</v>
      </c>
      <c r="I160" s="1"/>
      <c r="J160" s="5">
        <f t="shared" ref="J160:J168" si="61">IF(H$12=0,0,H160/H$12)</f>
        <v>2.6294944018325026E-3</v>
      </c>
      <c r="K160" s="1"/>
      <c r="L160" s="1">
        <f t="shared" ref="L160:L168" si="62">+D160-H160</f>
        <v>-925.42</v>
      </c>
      <c r="M160" s="1"/>
      <c r="N160" s="5">
        <f t="shared" ref="N160:N168" si="63">IF(H160=0,0,L160/H160)</f>
        <v>-1</v>
      </c>
      <c r="O160" s="14"/>
      <c r="P160" s="1">
        <f>SUM(OSRRefP22_7x_0)</f>
        <v>0</v>
      </c>
      <c r="Q160" s="1"/>
      <c r="R160" s="5">
        <f t="shared" ref="R160:R168" si="64">IF(P$12=0,0,P160/P$12)</f>
        <v>0</v>
      </c>
      <c r="S160" s="1"/>
      <c r="T160" s="1">
        <f>SUM(OSRRefT22_7x_0)</f>
        <v>925.42</v>
      </c>
      <c r="U160" s="1"/>
      <c r="V160" s="5">
        <f t="shared" ref="V160:V168" si="65">IF(T$12=0,0,T160/T$12)</f>
        <v>2.6294944018325026E-3</v>
      </c>
      <c r="W160" s="1"/>
      <c r="X160" s="1">
        <f t="shared" ref="X160:X168" si="66">+P160-T160</f>
        <v>-925.42</v>
      </c>
      <c r="Y160" s="1"/>
      <c r="Z160" s="5">
        <f t="shared" ref="Z160:Z168" si="67">IF(T160=0,0,X160/T160)</f>
        <v>-1</v>
      </c>
    </row>
    <row r="161" spans="1:26" s="24" customFormat="1" hidden="1" outlineLevel="2" x14ac:dyDescent="0.25">
      <c r="A161" s="29"/>
      <c r="B161" s="11" t="str">
        <f>CONCATENATE("          ", "6399", " - ", "DONATION-ON CAMPUS")</f>
        <v xml:space="preserve">          6399 - DONATION-ON CAMPUS</v>
      </c>
      <c r="C161" s="11"/>
      <c r="D161" s="8"/>
      <c r="E161" s="3"/>
      <c r="F161" s="7">
        <f t="shared" si="60"/>
        <v>0</v>
      </c>
      <c r="G161" s="3"/>
      <c r="H161" s="8">
        <v>925.42</v>
      </c>
      <c r="I161" s="3"/>
      <c r="J161" s="7">
        <f t="shared" si="61"/>
        <v>2.6294944018325026E-3</v>
      </c>
      <c r="K161" s="3"/>
      <c r="L161" s="8">
        <f t="shared" si="62"/>
        <v>-925.42</v>
      </c>
      <c r="M161" s="3"/>
      <c r="N161" s="7">
        <f t="shared" si="63"/>
        <v>-1</v>
      </c>
      <c r="O161" s="11"/>
      <c r="P161" s="8"/>
      <c r="Q161" s="3"/>
      <c r="R161" s="7">
        <f t="shared" si="64"/>
        <v>0</v>
      </c>
      <c r="S161" s="3"/>
      <c r="T161" s="8">
        <v>925.42</v>
      </c>
      <c r="U161" s="3"/>
      <c r="V161" s="7">
        <f t="shared" si="65"/>
        <v>2.6294944018325026E-3</v>
      </c>
      <c r="W161" s="3"/>
      <c r="X161" s="8">
        <f t="shared" si="66"/>
        <v>-925.42</v>
      </c>
      <c r="Y161" s="3"/>
      <c r="Z161" s="7">
        <f t="shared" si="67"/>
        <v>-1</v>
      </c>
    </row>
    <row r="162" spans="1:26" s="27" customFormat="1" outlineLevel="1" collapsed="1" x14ac:dyDescent="0.25">
      <c r="A162" s="28"/>
      <c r="B162" s="14" t="str">
        <f>CONCATENATE("     ","Employees' Appreciation                           ")</f>
        <v xml:space="preserve">     Employees' Appreciation                           </v>
      </c>
      <c r="C162" s="14"/>
      <c r="D162" s="1">
        <f>SUM(OSRRefD22_8x_0)</f>
        <v>107.7</v>
      </c>
      <c r="E162" s="1"/>
      <c r="F162" s="5">
        <f t="shared" si="60"/>
        <v>4.7305881719922398E-4</v>
      </c>
      <c r="G162" s="1"/>
      <c r="H162" s="1">
        <f>SUM(OSRRefH22_8x_0)</f>
        <v>393.54</v>
      </c>
      <c r="I162" s="1"/>
      <c r="J162" s="5">
        <f t="shared" si="61"/>
        <v>1.1182071134157065E-3</v>
      </c>
      <c r="K162" s="1"/>
      <c r="L162" s="1">
        <f t="shared" si="62"/>
        <v>-285.84000000000003</v>
      </c>
      <c r="M162" s="1"/>
      <c r="N162" s="5">
        <f t="shared" si="63"/>
        <v>-0.72633023326726642</v>
      </c>
      <c r="O162" s="14"/>
      <c r="P162" s="1">
        <f>SUM(OSRRefP22_8x_0)</f>
        <v>107.7</v>
      </c>
      <c r="Q162" s="1"/>
      <c r="R162" s="5">
        <f t="shared" si="64"/>
        <v>4.7305881719922398E-4</v>
      </c>
      <c r="S162" s="1"/>
      <c r="T162" s="1">
        <f>SUM(OSRRefT22_8x_0)</f>
        <v>393.54</v>
      </c>
      <c r="U162" s="1"/>
      <c r="V162" s="5">
        <f t="shared" si="65"/>
        <v>1.1182071134157065E-3</v>
      </c>
      <c r="W162" s="1"/>
      <c r="X162" s="1">
        <f t="shared" si="66"/>
        <v>-285.84000000000003</v>
      </c>
      <c r="Y162" s="1"/>
      <c r="Z162" s="5">
        <f t="shared" si="67"/>
        <v>-0.72633023326726642</v>
      </c>
    </row>
    <row r="163" spans="1:26" s="24" customFormat="1" hidden="1" outlineLevel="2" x14ac:dyDescent="0.25">
      <c r="A163" s="29"/>
      <c r="B163" s="11" t="str">
        <f>CONCATENATE("          ", "6277", " - ", "EMPLOYEE APPRECIATION")</f>
        <v xml:space="preserve">          6277 - EMPLOYEE APPRECIATION</v>
      </c>
      <c r="C163" s="11"/>
      <c r="D163" s="8">
        <v>107.7</v>
      </c>
      <c r="E163" s="3"/>
      <c r="F163" s="7">
        <f t="shared" si="60"/>
        <v>4.7305881719922398E-4</v>
      </c>
      <c r="G163" s="3"/>
      <c r="H163" s="8">
        <v>393.54</v>
      </c>
      <c r="I163" s="3"/>
      <c r="J163" s="7">
        <f t="shared" si="61"/>
        <v>1.1182071134157065E-3</v>
      </c>
      <c r="K163" s="3"/>
      <c r="L163" s="8">
        <f t="shared" si="62"/>
        <v>-285.84000000000003</v>
      </c>
      <c r="M163" s="3"/>
      <c r="N163" s="7">
        <f t="shared" si="63"/>
        <v>-0.72633023326726642</v>
      </c>
      <c r="O163" s="11"/>
      <c r="P163" s="8">
        <v>107.7</v>
      </c>
      <c r="Q163" s="3"/>
      <c r="R163" s="7">
        <f t="shared" si="64"/>
        <v>4.7305881719922398E-4</v>
      </c>
      <c r="S163" s="3"/>
      <c r="T163" s="8">
        <v>393.54</v>
      </c>
      <c r="U163" s="3"/>
      <c r="V163" s="7">
        <f t="shared" si="65"/>
        <v>1.1182071134157065E-3</v>
      </c>
      <c r="W163" s="3"/>
      <c r="X163" s="8">
        <f t="shared" si="66"/>
        <v>-285.84000000000003</v>
      </c>
      <c r="Y163" s="3"/>
      <c r="Z163" s="7">
        <f t="shared" si="67"/>
        <v>-0.72633023326726642</v>
      </c>
    </row>
    <row r="164" spans="1:26" s="27" customFormat="1" outlineLevel="1" collapsed="1" x14ac:dyDescent="0.25">
      <c r="A164" s="28"/>
      <c r="B164" s="14" t="str">
        <f>CONCATENATE("     ","Equipment Rental                                  ")</f>
        <v xml:space="preserve">     Equipment Rental                                  </v>
      </c>
      <c r="C164" s="14"/>
      <c r="D164" s="1">
        <f>SUM(OSRRefD22_9x_0)</f>
        <v>1388.16</v>
      </c>
      <c r="E164" s="1"/>
      <c r="F164" s="5">
        <f t="shared" si="60"/>
        <v>6.0973196627973521E-3</v>
      </c>
      <c r="G164" s="1"/>
      <c r="H164" s="1">
        <f>SUM(OSRRefH22_9x_0)</f>
        <v>1296.9000000000001</v>
      </c>
      <c r="I164" s="1"/>
      <c r="J164" s="5">
        <f t="shared" si="61"/>
        <v>3.6850200878915224E-3</v>
      </c>
      <c r="K164" s="1"/>
      <c r="L164" s="1">
        <f t="shared" si="62"/>
        <v>91.259999999999991</v>
      </c>
      <c r="M164" s="1"/>
      <c r="N164" s="5">
        <f t="shared" si="63"/>
        <v>7.03678001387925E-2</v>
      </c>
      <c r="O164" s="14"/>
      <c r="P164" s="1">
        <f>SUM(OSRRefP22_9x_0)</f>
        <v>1388.16</v>
      </c>
      <c r="Q164" s="1"/>
      <c r="R164" s="5">
        <f t="shared" si="64"/>
        <v>6.0973196627973521E-3</v>
      </c>
      <c r="S164" s="1"/>
      <c r="T164" s="1">
        <f>SUM(OSRRefT22_9x_0)</f>
        <v>1296.9000000000001</v>
      </c>
      <c r="U164" s="1"/>
      <c r="V164" s="5">
        <f t="shared" si="65"/>
        <v>3.6850200878915224E-3</v>
      </c>
      <c r="W164" s="1"/>
      <c r="X164" s="1">
        <f t="shared" si="66"/>
        <v>91.259999999999991</v>
      </c>
      <c r="Y164" s="1"/>
      <c r="Z164" s="5">
        <f t="shared" si="67"/>
        <v>7.03678001387925E-2</v>
      </c>
    </row>
    <row r="165" spans="1:26" s="24" customFormat="1" hidden="1" outlineLevel="2" x14ac:dyDescent="0.25">
      <c r="A165" s="29"/>
      <c r="B165" s="11" t="str">
        <f>CONCATENATE("          ", "6351", " - ", "EQUIPMENT RENTAL")</f>
        <v xml:space="preserve">          6351 - EQUIPMENT RENTAL</v>
      </c>
      <c r="C165" s="11"/>
      <c r="D165" s="8">
        <v>1388.16</v>
      </c>
      <c r="E165" s="3"/>
      <c r="F165" s="7">
        <f t="shared" si="60"/>
        <v>6.0973196627973521E-3</v>
      </c>
      <c r="G165" s="3"/>
      <c r="H165" s="8">
        <v>1296.9000000000001</v>
      </c>
      <c r="I165" s="3"/>
      <c r="J165" s="7">
        <f t="shared" si="61"/>
        <v>3.6850200878915224E-3</v>
      </c>
      <c r="K165" s="3"/>
      <c r="L165" s="8">
        <f t="shared" si="62"/>
        <v>91.259999999999991</v>
      </c>
      <c r="M165" s="3"/>
      <c r="N165" s="7">
        <f t="shared" si="63"/>
        <v>7.03678001387925E-2</v>
      </c>
      <c r="O165" s="11"/>
      <c r="P165" s="8">
        <v>1388.16</v>
      </c>
      <c r="Q165" s="3"/>
      <c r="R165" s="7">
        <f t="shared" si="64"/>
        <v>6.0973196627973521E-3</v>
      </c>
      <c r="S165" s="3"/>
      <c r="T165" s="8">
        <v>1296.9000000000001</v>
      </c>
      <c r="U165" s="3"/>
      <c r="V165" s="7">
        <f t="shared" si="65"/>
        <v>3.6850200878915224E-3</v>
      </c>
      <c r="W165" s="3"/>
      <c r="X165" s="8">
        <f t="shared" si="66"/>
        <v>91.259999999999991</v>
      </c>
      <c r="Y165" s="3"/>
      <c r="Z165" s="7">
        <f t="shared" si="67"/>
        <v>7.03678001387925E-2</v>
      </c>
    </row>
    <row r="166" spans="1:26" s="27" customFormat="1" outlineLevel="1" collapsed="1" x14ac:dyDescent="0.25">
      <c r="A166" s="28"/>
      <c r="B166" s="14" t="str">
        <f>CONCATENATE("     ","Freight out/Postage                               ")</f>
        <v xml:space="preserve">     Freight out/Postage                               </v>
      </c>
      <c r="C166" s="14"/>
      <c r="D166" s="1">
        <f>SUM(OSRRefD22_10x_0)</f>
        <v>8928.65</v>
      </c>
      <c r="E166" s="1"/>
      <c r="F166" s="5">
        <f t="shared" si="60"/>
        <v>3.9217981505903908E-2</v>
      </c>
      <c r="G166" s="1"/>
      <c r="H166" s="1">
        <f>SUM(OSRRefH22_10x_0)</f>
        <v>-2231.83</v>
      </c>
      <c r="I166" s="1"/>
      <c r="J166" s="5">
        <f t="shared" si="61"/>
        <v>-6.3415362655246631E-3</v>
      </c>
      <c r="K166" s="1"/>
      <c r="L166" s="1">
        <f t="shared" si="62"/>
        <v>11160.48</v>
      </c>
      <c r="M166" s="1"/>
      <c r="N166" s="5">
        <f t="shared" si="63"/>
        <v>-5.0005959235246413</v>
      </c>
      <c r="O166" s="14"/>
      <c r="P166" s="1">
        <f>SUM(OSRRefP22_10x_0)</f>
        <v>8928.65</v>
      </c>
      <c r="Q166" s="1"/>
      <c r="R166" s="5">
        <f t="shared" si="64"/>
        <v>3.9217981505903908E-2</v>
      </c>
      <c r="S166" s="1"/>
      <c r="T166" s="1">
        <f>SUM(OSRRefT22_10x_0)</f>
        <v>-2231.83</v>
      </c>
      <c r="U166" s="1"/>
      <c r="V166" s="5">
        <f t="shared" si="65"/>
        <v>-6.3415362655246631E-3</v>
      </c>
      <c r="W166" s="1"/>
      <c r="X166" s="1">
        <f t="shared" si="66"/>
        <v>11160.48</v>
      </c>
      <c r="Y166" s="1"/>
      <c r="Z166" s="5">
        <f t="shared" si="67"/>
        <v>-5.0005959235246413</v>
      </c>
    </row>
    <row r="167" spans="1:26" s="24" customFormat="1" hidden="1" outlineLevel="2" x14ac:dyDescent="0.25">
      <c r="A167" s="29"/>
      <c r="B167" s="11" t="str">
        <f>CONCATENATE("          ", "6305", " - ", "FREIGHT OUT")</f>
        <v xml:space="preserve">          6305 - FREIGHT OUT</v>
      </c>
      <c r="C167" s="11"/>
      <c r="D167" s="8">
        <v>12089.09</v>
      </c>
      <c r="E167" s="3"/>
      <c r="F167" s="7">
        <f t="shared" si="60"/>
        <v>5.309982002242309E-2</v>
      </c>
      <c r="G167" s="3"/>
      <c r="H167" s="8">
        <v>1417.72</v>
      </c>
      <c r="I167" s="3"/>
      <c r="J167" s="7">
        <f t="shared" si="61"/>
        <v>4.0283188210390695E-3</v>
      </c>
      <c r="K167" s="3"/>
      <c r="L167" s="8">
        <f t="shared" si="62"/>
        <v>10671.37</v>
      </c>
      <c r="M167" s="3"/>
      <c r="N167" s="7">
        <f t="shared" si="63"/>
        <v>7.5271351183590562</v>
      </c>
      <c r="O167" s="11"/>
      <c r="P167" s="8">
        <v>12089.09</v>
      </c>
      <c r="Q167" s="3"/>
      <c r="R167" s="7">
        <f t="shared" si="64"/>
        <v>5.309982002242309E-2</v>
      </c>
      <c r="S167" s="3"/>
      <c r="T167" s="8">
        <v>1417.72</v>
      </c>
      <c r="U167" s="3"/>
      <c r="V167" s="7">
        <f t="shared" si="65"/>
        <v>4.0283188210390695E-3</v>
      </c>
      <c r="W167" s="3"/>
      <c r="X167" s="8">
        <f t="shared" si="66"/>
        <v>10671.37</v>
      </c>
      <c r="Y167" s="3"/>
      <c r="Z167" s="7">
        <f t="shared" si="67"/>
        <v>7.5271351183590562</v>
      </c>
    </row>
    <row r="168" spans="1:26" s="24" customFormat="1" hidden="1" outlineLevel="2" x14ac:dyDescent="0.25">
      <c r="A168" s="29"/>
      <c r="B168" s="11" t="str">
        <f>CONCATENATE("          ", "6307", " - ", "POSTAGE")</f>
        <v xml:space="preserve">          6307 - POSTAGE</v>
      </c>
      <c r="C168" s="11"/>
      <c r="D168" s="8">
        <v>-3160.44</v>
      </c>
      <c r="E168" s="3"/>
      <c r="F168" s="7">
        <f t="shared" si="60"/>
        <v>-1.3881838516519179E-2</v>
      </c>
      <c r="G168" s="3"/>
      <c r="H168" s="8">
        <v>-3649.55</v>
      </c>
      <c r="I168" s="3"/>
      <c r="J168" s="7">
        <f t="shared" si="61"/>
        <v>-1.0369855086563734E-2</v>
      </c>
      <c r="K168" s="3"/>
      <c r="L168" s="8">
        <f t="shared" si="62"/>
        <v>489.11000000000013</v>
      </c>
      <c r="M168" s="3"/>
      <c r="N168" s="7">
        <f t="shared" si="63"/>
        <v>-0.13401926264881975</v>
      </c>
      <c r="O168" s="11"/>
      <c r="P168" s="8">
        <v>-3160.44</v>
      </c>
      <c r="Q168" s="3"/>
      <c r="R168" s="7">
        <f t="shared" si="64"/>
        <v>-1.3881838516519179E-2</v>
      </c>
      <c r="S168" s="3"/>
      <c r="T168" s="8">
        <v>-3649.55</v>
      </c>
      <c r="U168" s="3"/>
      <c r="V168" s="7">
        <f t="shared" si="65"/>
        <v>-1.0369855086563734E-2</v>
      </c>
      <c r="W168" s="3"/>
      <c r="X168" s="8">
        <f t="shared" si="66"/>
        <v>489.11000000000013</v>
      </c>
      <c r="Y168" s="3"/>
      <c r="Z168" s="7">
        <f t="shared" si="67"/>
        <v>-0.13401926264881975</v>
      </c>
    </row>
    <row r="169" spans="1:26" s="27" customFormat="1" outlineLevel="1" collapsed="1" x14ac:dyDescent="0.25">
      <c r="A169" s="28"/>
      <c r="B169" s="14" t="str">
        <f>CONCATENATE("     ","General                                           ")</f>
        <v xml:space="preserve">     General                                           </v>
      </c>
      <c r="C169" s="14"/>
      <c r="D169" s="1">
        <f>SUM(OSRRefD22_11x_0)</f>
        <v>-3320.09</v>
      </c>
      <c r="E169" s="1"/>
      <c r="F169" s="5">
        <f t="shared" ref="F169:F182" si="68">IF(D$12=0,0,D169/D$12)</f>
        <v>-1.4583081229294073E-2</v>
      </c>
      <c r="G169" s="1"/>
      <c r="H169" s="1">
        <f>SUM(OSRRefH22_11x_0)</f>
        <v>776.18</v>
      </c>
      <c r="I169" s="1"/>
      <c r="J169" s="5">
        <f t="shared" ref="J169:J182" si="69">IF(H$12=0,0,H169/H$12)</f>
        <v>2.2054428959978733E-3</v>
      </c>
      <c r="K169" s="1"/>
      <c r="L169" s="1">
        <f t="shared" ref="L169:L182" si="70">+D169-H169</f>
        <v>-4096.2700000000004</v>
      </c>
      <c r="M169" s="1"/>
      <c r="N169" s="5">
        <f t="shared" ref="N169:N182" si="71">IF(H169=0,0,L169/H169)</f>
        <v>-5.2774742971991042</v>
      </c>
      <c r="O169" s="14"/>
      <c r="P169" s="1">
        <f>SUM(OSRRefP22_11x_0)</f>
        <v>-3320.09</v>
      </c>
      <c r="Q169" s="1"/>
      <c r="R169" s="5">
        <f t="shared" ref="R169:R182" si="72">IF(P$12=0,0,P169/P$12)</f>
        <v>-1.4583081229294073E-2</v>
      </c>
      <c r="S169" s="1"/>
      <c r="T169" s="1">
        <f>SUM(OSRRefT22_11x_0)</f>
        <v>776.18</v>
      </c>
      <c r="U169" s="1"/>
      <c r="V169" s="5">
        <f t="shared" ref="V169:V182" si="73">IF(T$12=0,0,T169/T$12)</f>
        <v>2.2054428959978733E-3</v>
      </c>
      <c r="W169" s="1"/>
      <c r="X169" s="1">
        <f t="shared" ref="X169:X182" si="74">+P169-T169</f>
        <v>-4096.2700000000004</v>
      </c>
      <c r="Y169" s="1"/>
      <c r="Z169" s="5">
        <f t="shared" ref="Z169:Z182" si="75">IF(T169=0,0,X169/T169)</f>
        <v>-5.2774742971991042</v>
      </c>
    </row>
    <row r="170" spans="1:26" s="24" customFormat="1" hidden="1" outlineLevel="2" x14ac:dyDescent="0.25">
      <c r="A170" s="29"/>
      <c r="B170" s="11" t="str">
        <f>CONCATENATE("          ", "6279", " - ", "GENERAL EXPENSE")</f>
        <v xml:space="preserve">          6279 - GENERAL EXPENSE</v>
      </c>
      <c r="C170" s="11"/>
      <c r="D170" s="8">
        <v>-3320.09</v>
      </c>
      <c r="E170" s="3"/>
      <c r="F170" s="7">
        <f t="shared" si="68"/>
        <v>-1.4583081229294073E-2</v>
      </c>
      <c r="G170" s="3"/>
      <c r="H170" s="8">
        <v>776.18</v>
      </c>
      <c r="I170" s="3"/>
      <c r="J170" s="7">
        <f t="shared" si="69"/>
        <v>2.2054428959978733E-3</v>
      </c>
      <c r="K170" s="3"/>
      <c r="L170" s="8">
        <f t="shared" si="70"/>
        <v>-4096.2700000000004</v>
      </c>
      <c r="M170" s="3"/>
      <c r="N170" s="7">
        <f t="shared" si="71"/>
        <v>-5.2774742971991042</v>
      </c>
      <c r="O170" s="11"/>
      <c r="P170" s="8">
        <v>-3320.09</v>
      </c>
      <c r="Q170" s="3"/>
      <c r="R170" s="7">
        <f t="shared" si="72"/>
        <v>-1.4583081229294073E-2</v>
      </c>
      <c r="S170" s="3"/>
      <c r="T170" s="8">
        <v>776.18</v>
      </c>
      <c r="U170" s="3"/>
      <c r="V170" s="7">
        <f t="shared" si="73"/>
        <v>2.2054428959978733E-3</v>
      </c>
      <c r="W170" s="3"/>
      <c r="X170" s="8">
        <f t="shared" si="74"/>
        <v>-4096.2700000000004</v>
      </c>
      <c r="Y170" s="3"/>
      <c r="Z170" s="7">
        <f t="shared" si="75"/>
        <v>-5.2774742971991042</v>
      </c>
    </row>
    <row r="171" spans="1:26" s="27" customFormat="1" outlineLevel="1" collapsed="1" x14ac:dyDescent="0.25">
      <c r="A171" s="28"/>
      <c r="B171" s="14" t="str">
        <f>CONCATENATE("     ","Insurance                                         ")</f>
        <v xml:space="preserve">     Insurance                                         </v>
      </c>
      <c r="C171" s="14"/>
      <c r="D171" s="1">
        <f>SUM(OSRRefD22_12x_0)</f>
        <v>4044.74</v>
      </c>
      <c r="E171" s="1"/>
      <c r="F171" s="5">
        <f t="shared" si="68"/>
        <v>1.7766015972872695E-2</v>
      </c>
      <c r="G171" s="1"/>
      <c r="H171" s="1">
        <f>SUM(OSRRefH22_12x_0)</f>
        <v>4044.74</v>
      </c>
      <c r="I171" s="1"/>
      <c r="J171" s="5">
        <f t="shared" si="69"/>
        <v>1.1492750520701946E-2</v>
      </c>
      <c r="K171" s="1"/>
      <c r="L171" s="1">
        <f t="shared" si="70"/>
        <v>0</v>
      </c>
      <c r="M171" s="1"/>
      <c r="N171" s="5">
        <f t="shared" si="71"/>
        <v>0</v>
      </c>
      <c r="O171" s="14"/>
      <c r="P171" s="1">
        <f>SUM(OSRRefP22_12x_0)</f>
        <v>4044.74</v>
      </c>
      <c r="Q171" s="1"/>
      <c r="R171" s="5">
        <f t="shared" si="72"/>
        <v>1.7766015972872695E-2</v>
      </c>
      <c r="S171" s="1"/>
      <c r="T171" s="1">
        <f>SUM(OSRRefT22_12x_0)</f>
        <v>4044.74</v>
      </c>
      <c r="U171" s="1"/>
      <c r="V171" s="5">
        <f t="shared" si="73"/>
        <v>1.1492750520701946E-2</v>
      </c>
      <c r="W171" s="1"/>
      <c r="X171" s="1">
        <f t="shared" si="74"/>
        <v>0</v>
      </c>
      <c r="Y171" s="1"/>
      <c r="Z171" s="5">
        <f t="shared" si="75"/>
        <v>0</v>
      </c>
    </row>
    <row r="172" spans="1:26" s="24" customFormat="1" hidden="1" outlineLevel="2" x14ac:dyDescent="0.25">
      <c r="A172" s="29"/>
      <c r="B172" s="11" t="str">
        <f>CONCATENATE("          ", "6314", " - ", "LIABILITY INSURANCE")</f>
        <v xml:space="preserve">          6314 - LIABILITY INSURANCE</v>
      </c>
      <c r="C172" s="11"/>
      <c r="D172" s="8">
        <v>4044.74</v>
      </c>
      <c r="E172" s="3"/>
      <c r="F172" s="7">
        <f t="shared" si="68"/>
        <v>1.7766015972872695E-2</v>
      </c>
      <c r="G172" s="3"/>
      <c r="H172" s="8">
        <v>4044.74</v>
      </c>
      <c r="I172" s="3"/>
      <c r="J172" s="7">
        <f t="shared" si="69"/>
        <v>1.1492750520701946E-2</v>
      </c>
      <c r="K172" s="3"/>
      <c r="L172" s="8">
        <f t="shared" si="70"/>
        <v>0</v>
      </c>
      <c r="M172" s="3"/>
      <c r="N172" s="7">
        <f t="shared" si="71"/>
        <v>0</v>
      </c>
      <c r="O172" s="11"/>
      <c r="P172" s="8">
        <v>4044.74</v>
      </c>
      <c r="Q172" s="3"/>
      <c r="R172" s="7">
        <f t="shared" si="72"/>
        <v>1.7766015972872695E-2</v>
      </c>
      <c r="S172" s="3"/>
      <c r="T172" s="8">
        <v>4044.74</v>
      </c>
      <c r="U172" s="3"/>
      <c r="V172" s="7">
        <f t="shared" si="73"/>
        <v>1.1492750520701946E-2</v>
      </c>
      <c r="W172" s="3"/>
      <c r="X172" s="8">
        <f t="shared" si="74"/>
        <v>0</v>
      </c>
      <c r="Y172" s="3"/>
      <c r="Z172" s="7">
        <f t="shared" si="75"/>
        <v>0</v>
      </c>
    </row>
    <row r="173" spans="1:26" s="27" customFormat="1" outlineLevel="1" collapsed="1" x14ac:dyDescent="0.25">
      <c r="A173" s="28"/>
      <c r="B173" s="14" t="str">
        <f>CONCATENATE("     ","Inventory Adjustment                              ")</f>
        <v xml:space="preserve">     Inventory Adjustment                              </v>
      </c>
      <c r="C173" s="14"/>
      <c r="D173" s="1">
        <f>SUM(OSRRefD22_13x_0)</f>
        <v>2100</v>
      </c>
      <c r="E173" s="1"/>
      <c r="F173" s="5">
        <f t="shared" si="68"/>
        <v>9.2239880790935033E-3</v>
      </c>
      <c r="G173" s="1"/>
      <c r="H173" s="1">
        <f>SUM(OSRRefH22_13x_0)</f>
        <v>4150</v>
      </c>
      <c r="I173" s="1"/>
      <c r="J173" s="5">
        <f t="shared" si="69"/>
        <v>1.1791836968732993E-2</v>
      </c>
      <c r="K173" s="1"/>
      <c r="L173" s="1">
        <f t="shared" si="70"/>
        <v>-2050</v>
      </c>
      <c r="M173" s="1"/>
      <c r="N173" s="5">
        <f t="shared" si="71"/>
        <v>-0.49397590361445781</v>
      </c>
      <c r="O173" s="14"/>
      <c r="P173" s="1">
        <f>SUM(OSRRefP22_13x_0)</f>
        <v>2100</v>
      </c>
      <c r="Q173" s="1"/>
      <c r="R173" s="5">
        <f t="shared" si="72"/>
        <v>9.2239880790935033E-3</v>
      </c>
      <c r="S173" s="1"/>
      <c r="T173" s="1">
        <f>SUM(OSRRefT22_13x_0)</f>
        <v>4150</v>
      </c>
      <c r="U173" s="1"/>
      <c r="V173" s="5">
        <f t="shared" si="73"/>
        <v>1.1791836968732993E-2</v>
      </c>
      <c r="W173" s="1"/>
      <c r="X173" s="1">
        <f t="shared" si="74"/>
        <v>-2050</v>
      </c>
      <c r="Y173" s="1"/>
      <c r="Z173" s="5">
        <f t="shared" si="75"/>
        <v>-0.49397590361445781</v>
      </c>
    </row>
    <row r="174" spans="1:26" s="24" customFormat="1" hidden="1" outlineLevel="2" x14ac:dyDescent="0.25">
      <c r="A174" s="29"/>
      <c r="B174" s="11" t="str">
        <f>CONCATENATE("          ", "6408", " - ", "INVENTORY ADJUSTMENT")</f>
        <v xml:space="preserve">          6408 - INVENTORY ADJUSTMENT</v>
      </c>
      <c r="C174" s="11"/>
      <c r="D174" s="8">
        <v>2100</v>
      </c>
      <c r="E174" s="3"/>
      <c r="F174" s="7">
        <f t="shared" si="68"/>
        <v>9.2239880790935033E-3</v>
      </c>
      <c r="G174" s="3"/>
      <c r="H174" s="8">
        <v>4150</v>
      </c>
      <c r="I174" s="3"/>
      <c r="J174" s="7">
        <f t="shared" si="69"/>
        <v>1.1791836968732993E-2</v>
      </c>
      <c r="K174" s="3"/>
      <c r="L174" s="8">
        <f t="shared" si="70"/>
        <v>-2050</v>
      </c>
      <c r="M174" s="3"/>
      <c r="N174" s="7">
        <f t="shared" si="71"/>
        <v>-0.49397590361445781</v>
      </c>
      <c r="O174" s="11"/>
      <c r="P174" s="8">
        <v>2100</v>
      </c>
      <c r="Q174" s="3"/>
      <c r="R174" s="7">
        <f t="shared" si="72"/>
        <v>9.2239880790935033E-3</v>
      </c>
      <c r="S174" s="3"/>
      <c r="T174" s="8">
        <v>4150</v>
      </c>
      <c r="U174" s="3"/>
      <c r="V174" s="7">
        <f t="shared" si="73"/>
        <v>1.1791836968732993E-2</v>
      </c>
      <c r="W174" s="3"/>
      <c r="X174" s="8">
        <f t="shared" si="74"/>
        <v>-2050</v>
      </c>
      <c r="Y174" s="3"/>
      <c r="Z174" s="7">
        <f t="shared" si="75"/>
        <v>-0.49397590361445781</v>
      </c>
    </row>
    <row r="175" spans="1:26" s="27" customFormat="1" outlineLevel="1" collapsed="1" x14ac:dyDescent="0.25">
      <c r="A175" s="28"/>
      <c r="B175" s="14" t="str">
        <f>CONCATENATE("     ","Professional Services                             ")</f>
        <v xml:space="preserve">     Professional Services                             </v>
      </c>
      <c r="C175" s="14"/>
      <c r="D175" s="1">
        <f>SUM(OSRRefD22_14x_0)</f>
        <v>0</v>
      </c>
      <c r="E175" s="1"/>
      <c r="F175" s="5">
        <f t="shared" si="68"/>
        <v>0</v>
      </c>
      <c r="G175" s="1"/>
      <c r="H175" s="1">
        <f>SUM(OSRRefH22_14x_0)</f>
        <v>6158.41</v>
      </c>
      <c r="I175" s="1"/>
      <c r="J175" s="5">
        <f t="shared" si="69"/>
        <v>1.7498546194365049E-2</v>
      </c>
      <c r="K175" s="1"/>
      <c r="L175" s="1">
        <f t="shared" si="70"/>
        <v>-6158.41</v>
      </c>
      <c r="M175" s="1"/>
      <c r="N175" s="5">
        <f t="shared" si="71"/>
        <v>-1</v>
      </c>
      <c r="O175" s="14"/>
      <c r="P175" s="1">
        <f>SUM(OSRRefP22_14x_0)</f>
        <v>0</v>
      </c>
      <c r="Q175" s="1"/>
      <c r="R175" s="5">
        <f t="shared" si="72"/>
        <v>0</v>
      </c>
      <c r="S175" s="1"/>
      <c r="T175" s="1">
        <f>SUM(OSRRefT22_14x_0)</f>
        <v>6158.41</v>
      </c>
      <c r="U175" s="1"/>
      <c r="V175" s="5">
        <f t="shared" si="73"/>
        <v>1.7498546194365049E-2</v>
      </c>
      <c r="W175" s="1"/>
      <c r="X175" s="1">
        <f t="shared" si="74"/>
        <v>-6158.41</v>
      </c>
      <c r="Y175" s="1"/>
      <c r="Z175" s="5">
        <f t="shared" si="75"/>
        <v>-1</v>
      </c>
    </row>
    <row r="176" spans="1:26" s="24" customFormat="1" hidden="1" outlineLevel="2" x14ac:dyDescent="0.25">
      <c r="A176" s="29"/>
      <c r="B176" s="11" t="str">
        <f>CONCATENATE("          ", "6336", " - ", "PROFESSIONAL SERVICES")</f>
        <v xml:space="preserve">          6336 - PROFESSIONAL SERVICES</v>
      </c>
      <c r="C176" s="11"/>
      <c r="D176" s="8"/>
      <c r="E176" s="3"/>
      <c r="F176" s="7">
        <f t="shared" si="68"/>
        <v>0</v>
      </c>
      <c r="G176" s="3"/>
      <c r="H176" s="8">
        <v>6158.41</v>
      </c>
      <c r="I176" s="3"/>
      <c r="J176" s="7">
        <f t="shared" si="69"/>
        <v>1.7498546194365049E-2</v>
      </c>
      <c r="K176" s="3"/>
      <c r="L176" s="8">
        <f t="shared" si="70"/>
        <v>-6158.41</v>
      </c>
      <c r="M176" s="3"/>
      <c r="N176" s="7">
        <f t="shared" si="71"/>
        <v>-1</v>
      </c>
      <c r="O176" s="11"/>
      <c r="P176" s="8"/>
      <c r="Q176" s="3"/>
      <c r="R176" s="7">
        <f t="shared" si="72"/>
        <v>0</v>
      </c>
      <c r="S176" s="3"/>
      <c r="T176" s="8">
        <v>6158.41</v>
      </c>
      <c r="U176" s="3"/>
      <c r="V176" s="7">
        <f t="shared" si="73"/>
        <v>1.7498546194365049E-2</v>
      </c>
      <c r="W176" s="3"/>
      <c r="X176" s="8">
        <f t="shared" si="74"/>
        <v>-6158.41</v>
      </c>
      <c r="Y176" s="3"/>
      <c r="Z176" s="7">
        <f t="shared" si="75"/>
        <v>-1</v>
      </c>
    </row>
    <row r="177" spans="1:26" s="27" customFormat="1" outlineLevel="1" collapsed="1" x14ac:dyDescent="0.25">
      <c r="A177" s="28"/>
      <c r="B177" s="14" t="str">
        <f>CONCATENATE("     ","Rent                                              ")</f>
        <v xml:space="preserve">     Rent                                              </v>
      </c>
      <c r="C177" s="14"/>
      <c r="D177" s="1">
        <f>SUM(OSRRefD22_15x_0)</f>
        <v>6100</v>
      </c>
      <c r="E177" s="1"/>
      <c r="F177" s="5">
        <f t="shared" si="68"/>
        <v>2.679348918212875E-2</v>
      </c>
      <c r="G177" s="1"/>
      <c r="H177" s="1">
        <f>SUM(OSRRefH22_15x_0)</f>
        <v>6100</v>
      </c>
      <c r="I177" s="1"/>
      <c r="J177" s="5">
        <f t="shared" si="69"/>
        <v>1.7332579640788253E-2</v>
      </c>
      <c r="K177" s="1"/>
      <c r="L177" s="1">
        <f t="shared" si="70"/>
        <v>0</v>
      </c>
      <c r="M177" s="1"/>
      <c r="N177" s="5">
        <f t="shared" si="71"/>
        <v>0</v>
      </c>
      <c r="O177" s="14"/>
      <c r="P177" s="1">
        <f>SUM(OSRRefP22_15x_0)</f>
        <v>6100</v>
      </c>
      <c r="Q177" s="1"/>
      <c r="R177" s="5">
        <f t="shared" si="72"/>
        <v>2.679348918212875E-2</v>
      </c>
      <c r="S177" s="1"/>
      <c r="T177" s="1">
        <f>SUM(OSRRefT22_15x_0)</f>
        <v>6100</v>
      </c>
      <c r="U177" s="1"/>
      <c r="V177" s="5">
        <f t="shared" si="73"/>
        <v>1.7332579640788253E-2</v>
      </c>
      <c r="W177" s="1"/>
      <c r="X177" s="1">
        <f t="shared" si="74"/>
        <v>0</v>
      </c>
      <c r="Y177" s="1"/>
      <c r="Z177" s="5">
        <f t="shared" si="75"/>
        <v>0</v>
      </c>
    </row>
    <row r="178" spans="1:26" s="24" customFormat="1" hidden="1" outlineLevel="2" x14ac:dyDescent="0.25">
      <c r="A178" s="29"/>
      <c r="B178" s="11" t="str">
        <f>CONCATENATE("          ", "6273", " - ", "RENT")</f>
        <v xml:space="preserve">          6273 - RENT</v>
      </c>
      <c r="C178" s="11"/>
      <c r="D178" s="8">
        <v>6100</v>
      </c>
      <c r="E178" s="3"/>
      <c r="F178" s="7">
        <f t="shared" si="68"/>
        <v>2.679348918212875E-2</v>
      </c>
      <c r="G178" s="3"/>
      <c r="H178" s="8">
        <v>6100</v>
      </c>
      <c r="I178" s="3"/>
      <c r="J178" s="7">
        <f t="shared" si="69"/>
        <v>1.7332579640788253E-2</v>
      </c>
      <c r="K178" s="3"/>
      <c r="L178" s="8">
        <f t="shared" si="70"/>
        <v>0</v>
      </c>
      <c r="M178" s="3"/>
      <c r="N178" s="7">
        <f t="shared" si="71"/>
        <v>0</v>
      </c>
      <c r="O178" s="11"/>
      <c r="P178" s="8">
        <v>6100</v>
      </c>
      <c r="Q178" s="3"/>
      <c r="R178" s="7">
        <f t="shared" si="72"/>
        <v>2.679348918212875E-2</v>
      </c>
      <c r="S178" s="3"/>
      <c r="T178" s="8">
        <v>6100</v>
      </c>
      <c r="U178" s="3"/>
      <c r="V178" s="7">
        <f t="shared" si="73"/>
        <v>1.7332579640788253E-2</v>
      </c>
      <c r="W178" s="3"/>
      <c r="X178" s="8">
        <f t="shared" si="74"/>
        <v>0</v>
      </c>
      <c r="Y178" s="3"/>
      <c r="Z178" s="7">
        <f t="shared" si="75"/>
        <v>0</v>
      </c>
    </row>
    <row r="179" spans="1:26" s="27" customFormat="1" outlineLevel="1" collapsed="1" x14ac:dyDescent="0.25">
      <c r="A179" s="28"/>
      <c r="B179" s="14" t="str">
        <f>CONCATENATE("     ","Repair and Maintenance                            ")</f>
        <v xml:space="preserve">     Repair and Maintenance                            </v>
      </c>
      <c r="C179" s="14"/>
      <c r="D179" s="1">
        <f>SUM(OSRRefD22_16x_0)</f>
        <v>66347.77</v>
      </c>
      <c r="E179" s="1"/>
      <c r="F179" s="5">
        <f t="shared" si="68"/>
        <v>0.29142430454973223</v>
      </c>
      <c r="G179" s="1"/>
      <c r="H179" s="1">
        <f>SUM(OSRRefH22_16x_0)</f>
        <v>22745.309999999998</v>
      </c>
      <c r="I179" s="1"/>
      <c r="J179" s="5">
        <f t="shared" si="69"/>
        <v>6.4628671644166788E-2</v>
      </c>
      <c r="K179" s="1"/>
      <c r="L179" s="1">
        <f t="shared" si="70"/>
        <v>43602.460000000006</v>
      </c>
      <c r="M179" s="1"/>
      <c r="N179" s="5">
        <f t="shared" si="71"/>
        <v>1.9169868425622694</v>
      </c>
      <c r="O179" s="14"/>
      <c r="P179" s="1">
        <f>SUM(OSRRefP22_16x_0)</f>
        <v>66347.77</v>
      </c>
      <c r="Q179" s="1"/>
      <c r="R179" s="5">
        <f t="shared" si="72"/>
        <v>0.29142430454973223</v>
      </c>
      <c r="S179" s="1"/>
      <c r="T179" s="1">
        <f>SUM(OSRRefT22_16x_0)</f>
        <v>22745.309999999998</v>
      </c>
      <c r="U179" s="1"/>
      <c r="V179" s="5">
        <f t="shared" si="73"/>
        <v>6.4628671644166788E-2</v>
      </c>
      <c r="W179" s="1"/>
      <c r="X179" s="1">
        <f t="shared" si="74"/>
        <v>43602.460000000006</v>
      </c>
      <c r="Y179" s="1"/>
      <c r="Z179" s="5">
        <f t="shared" si="75"/>
        <v>1.9169868425622694</v>
      </c>
    </row>
    <row r="180" spans="1:26" s="24" customFormat="1" hidden="1" outlineLevel="2" x14ac:dyDescent="0.25">
      <c r="A180" s="29"/>
      <c r="B180" s="11" t="str">
        <f>CONCATENATE("          ", "6371", " - ", "COMPUTER SOFTWARE MAINTENANCE")</f>
        <v xml:space="preserve">          6371 - COMPUTER SOFTWARE MAINTENANCE</v>
      </c>
      <c r="C180" s="11"/>
      <c r="D180" s="8">
        <v>58428.780000000006</v>
      </c>
      <c r="E180" s="3"/>
      <c r="F180" s="7">
        <f t="shared" si="68"/>
        <v>0.25664112866475097</v>
      </c>
      <c r="G180" s="3"/>
      <c r="H180" s="8">
        <v>601</v>
      </c>
      <c r="I180" s="3"/>
      <c r="J180" s="7">
        <f t="shared" si="69"/>
        <v>1.7076853055924164E-3</v>
      </c>
      <c r="K180" s="3"/>
      <c r="L180" s="8">
        <f t="shared" si="70"/>
        <v>57827.780000000006</v>
      </c>
      <c r="M180" s="3"/>
      <c r="N180" s="7">
        <f t="shared" si="71"/>
        <v>96.219267886855249</v>
      </c>
      <c r="O180" s="11"/>
      <c r="P180" s="8">
        <v>58428.780000000006</v>
      </c>
      <c r="Q180" s="3"/>
      <c r="R180" s="7">
        <f t="shared" si="72"/>
        <v>0.25664112866475097</v>
      </c>
      <c r="S180" s="3"/>
      <c r="T180" s="8">
        <v>601</v>
      </c>
      <c r="U180" s="3"/>
      <c r="V180" s="7">
        <f t="shared" si="73"/>
        <v>1.7076853055924164E-3</v>
      </c>
      <c r="W180" s="3"/>
      <c r="X180" s="8">
        <f t="shared" si="74"/>
        <v>57827.780000000006</v>
      </c>
      <c r="Y180" s="3"/>
      <c r="Z180" s="7">
        <f t="shared" si="75"/>
        <v>96.219267886855249</v>
      </c>
    </row>
    <row r="181" spans="1:26" s="24" customFormat="1" hidden="1" outlineLevel="2" x14ac:dyDescent="0.25">
      <c r="A181" s="29"/>
      <c r="B181" s="11" t="str">
        <f>CONCATENATE("          ", "6373", " - ", "MAINTENANCE CONTRACTS")</f>
        <v xml:space="preserve">          6373 - MAINTENANCE CONTRACTS</v>
      </c>
      <c r="C181" s="11"/>
      <c r="D181" s="8">
        <v>6416.01</v>
      </c>
      <c r="E181" s="3"/>
      <c r="F181" s="7">
        <f t="shared" si="68"/>
        <v>2.8181523693021293E-2</v>
      </c>
      <c r="G181" s="3"/>
      <c r="H181" s="8">
        <v>6478.86</v>
      </c>
      <c r="I181" s="3"/>
      <c r="J181" s="7">
        <f t="shared" si="69"/>
        <v>1.8409074906806128E-2</v>
      </c>
      <c r="K181" s="3"/>
      <c r="L181" s="8">
        <f t="shared" si="70"/>
        <v>-62.849999999999454</v>
      </c>
      <c r="M181" s="3"/>
      <c r="N181" s="7">
        <f t="shared" si="71"/>
        <v>-9.7007806928995927E-3</v>
      </c>
      <c r="O181" s="11"/>
      <c r="P181" s="8">
        <v>6416.01</v>
      </c>
      <c r="Q181" s="3"/>
      <c r="R181" s="7">
        <f t="shared" si="72"/>
        <v>2.8181523693021293E-2</v>
      </c>
      <c r="S181" s="3"/>
      <c r="T181" s="8">
        <v>6478.86</v>
      </c>
      <c r="U181" s="3"/>
      <c r="V181" s="7">
        <f t="shared" si="73"/>
        <v>1.8409074906806128E-2</v>
      </c>
      <c r="W181" s="3"/>
      <c r="X181" s="8">
        <f t="shared" si="74"/>
        <v>-62.849999999999454</v>
      </c>
      <c r="Y181" s="3"/>
      <c r="Z181" s="7">
        <f t="shared" si="75"/>
        <v>-9.7007806928995927E-3</v>
      </c>
    </row>
    <row r="182" spans="1:26" s="24" customFormat="1" hidden="1" outlineLevel="2" x14ac:dyDescent="0.25">
      <c r="A182" s="29"/>
      <c r="B182" s="11" t="str">
        <f>CONCATENATE("          ", "6375", " - ", "OUTSIDE REPAIRS &amp; MAINTENANCE")</f>
        <v xml:space="preserve">          6375 - OUTSIDE REPAIRS &amp; MAINTENANCE</v>
      </c>
      <c r="C182" s="11"/>
      <c r="D182" s="8">
        <v>1502.98</v>
      </c>
      <c r="E182" s="3"/>
      <c r="F182" s="7">
        <f t="shared" si="68"/>
        <v>6.6016521919599787E-3</v>
      </c>
      <c r="G182" s="3"/>
      <c r="H182" s="8">
        <v>15665.449999999999</v>
      </c>
      <c r="I182" s="3"/>
      <c r="J182" s="7">
        <f t="shared" si="69"/>
        <v>4.4511911431768247E-2</v>
      </c>
      <c r="K182" s="3"/>
      <c r="L182" s="8">
        <f t="shared" si="70"/>
        <v>-14162.47</v>
      </c>
      <c r="M182" s="3"/>
      <c r="N182" s="7">
        <f t="shared" si="71"/>
        <v>-0.90405765554133466</v>
      </c>
      <c r="O182" s="11"/>
      <c r="P182" s="8">
        <v>1502.98</v>
      </c>
      <c r="Q182" s="3"/>
      <c r="R182" s="7">
        <f t="shared" si="72"/>
        <v>6.6016521919599787E-3</v>
      </c>
      <c r="S182" s="3"/>
      <c r="T182" s="8">
        <v>15665.449999999999</v>
      </c>
      <c r="U182" s="3"/>
      <c r="V182" s="7">
        <f t="shared" si="73"/>
        <v>4.4511911431768247E-2</v>
      </c>
      <c r="W182" s="3"/>
      <c r="X182" s="8">
        <f t="shared" si="74"/>
        <v>-14162.47</v>
      </c>
      <c r="Y182" s="3"/>
      <c r="Z182" s="7">
        <f t="shared" si="75"/>
        <v>-0.90405765554133466</v>
      </c>
    </row>
    <row r="183" spans="1:26" s="27" customFormat="1" outlineLevel="1" collapsed="1" x14ac:dyDescent="0.25">
      <c r="A183" s="28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SUM(OSRRefD22_17x_0)</f>
        <v>10989.75</v>
      </c>
      <c r="E183" s="1"/>
      <c r="F183" s="5">
        <f t="shared" ref="F183:F186" si="76">IF(D$12=0,0,D183/D$12)</f>
        <v>4.8271106186770399E-2</v>
      </c>
      <c r="G183" s="1"/>
      <c r="H183" s="1">
        <f>SUM(OSRRefH22_17x_0)</f>
        <v>5086.05</v>
      </c>
      <c r="I183" s="1"/>
      <c r="J183" s="5">
        <f t="shared" ref="J183:J186" si="77">IF(H$12=0,0,H183/H$12)</f>
        <v>1.4451535521644443E-2</v>
      </c>
      <c r="K183" s="1"/>
      <c r="L183" s="1">
        <f t="shared" ref="L183:L186" si="78">+D183-H183</f>
        <v>5903.7</v>
      </c>
      <c r="M183" s="1"/>
      <c r="N183" s="5">
        <f t="shared" ref="N183:N186" si="79">IF(H183=0,0,L183/H183)</f>
        <v>1.1607632642227268</v>
      </c>
      <c r="O183" s="14"/>
      <c r="P183" s="1">
        <f>SUM(OSRRefP22_17x_0)</f>
        <v>10989.75</v>
      </c>
      <c r="Q183" s="1"/>
      <c r="R183" s="5">
        <f t="shared" ref="R183:R186" si="80">IF(P$12=0,0,P183/P$12)</f>
        <v>4.8271106186770399E-2</v>
      </c>
      <c r="S183" s="1"/>
      <c r="T183" s="1">
        <f>SUM(OSRRefT22_17x_0)</f>
        <v>5086.05</v>
      </c>
      <c r="U183" s="1"/>
      <c r="V183" s="5">
        <f t="shared" ref="V183:V186" si="81">IF(T$12=0,0,T183/T$12)</f>
        <v>1.4451535521644443E-2</v>
      </c>
      <c r="W183" s="1"/>
      <c r="X183" s="1">
        <f t="shared" ref="X183:X186" si="82">+P183-T183</f>
        <v>5903.7</v>
      </c>
      <c r="Y183" s="1"/>
      <c r="Z183" s="5">
        <f t="shared" ref="Z183:Z186" si="83">IF(T183=0,0,X183/T183)</f>
        <v>1.1607632642227268</v>
      </c>
    </row>
    <row r="184" spans="1:26" s="24" customFormat="1" hidden="1" outlineLevel="2" x14ac:dyDescent="0.25">
      <c r="A184" s="29"/>
      <c r="B184" s="11" t="str">
        <f>CONCATENATE("          ", "6253", " - ", "ROYALTY DUE ATHLETICS-LRG")</f>
        <v xml:space="preserve">          6253 - ROYALTY DUE ATHLETICS-LRG</v>
      </c>
      <c r="C184" s="11"/>
      <c r="D184" s="8">
        <v>5672.2</v>
      </c>
      <c r="E184" s="3"/>
      <c r="F184" s="7">
        <f t="shared" si="76"/>
        <v>2.4914431039159128E-2</v>
      </c>
      <c r="G184" s="3"/>
      <c r="H184" s="8">
        <v>4366.95</v>
      </c>
      <c r="I184" s="3"/>
      <c r="J184" s="7">
        <f t="shared" si="77"/>
        <v>1.2408280108580371E-2</v>
      </c>
      <c r="K184" s="3"/>
      <c r="L184" s="8">
        <f t="shared" si="78"/>
        <v>1305.25</v>
      </c>
      <c r="M184" s="3"/>
      <c r="N184" s="7">
        <f t="shared" si="79"/>
        <v>0.29889281993153116</v>
      </c>
      <c r="O184" s="11"/>
      <c r="P184" s="8">
        <v>5672.2</v>
      </c>
      <c r="Q184" s="3"/>
      <c r="R184" s="7">
        <f t="shared" si="80"/>
        <v>2.4914431039159128E-2</v>
      </c>
      <c r="S184" s="3"/>
      <c r="T184" s="8">
        <v>4366.95</v>
      </c>
      <c r="U184" s="3"/>
      <c r="V184" s="7">
        <f t="shared" si="81"/>
        <v>1.2408280108580371E-2</v>
      </c>
      <c r="W184" s="3"/>
      <c r="X184" s="8">
        <f t="shared" si="82"/>
        <v>1305.25</v>
      </c>
      <c r="Y184" s="3"/>
      <c r="Z184" s="7">
        <f t="shared" si="83"/>
        <v>0.29889281993153116</v>
      </c>
    </row>
    <row r="185" spans="1:26" s="24" customFormat="1" hidden="1" outlineLevel="2" x14ac:dyDescent="0.25">
      <c r="A185" s="29"/>
      <c r="B185" s="11" t="str">
        <f>CONCATENATE("          ", "6254", " - ", "ROYALTY &amp; COMMISSIONS")</f>
        <v xml:space="preserve">          6254 - ROYALTY &amp; COMMISSIONS</v>
      </c>
      <c r="C185" s="11"/>
      <c r="D185" s="8"/>
      <c r="E185" s="3"/>
      <c r="F185" s="7">
        <f t="shared" si="76"/>
        <v>0</v>
      </c>
      <c r="G185" s="3"/>
      <c r="H185" s="8">
        <v>114.09</v>
      </c>
      <c r="I185" s="3"/>
      <c r="J185" s="7">
        <f t="shared" si="77"/>
        <v>3.2417606741271015E-4</v>
      </c>
      <c r="K185" s="3"/>
      <c r="L185" s="8">
        <f t="shared" si="78"/>
        <v>-114.09</v>
      </c>
      <c r="M185" s="3"/>
      <c r="N185" s="7">
        <f t="shared" si="79"/>
        <v>-1</v>
      </c>
      <c r="O185" s="11"/>
      <c r="P185" s="8"/>
      <c r="Q185" s="3"/>
      <c r="R185" s="7">
        <f t="shared" si="80"/>
        <v>0</v>
      </c>
      <c r="S185" s="3"/>
      <c r="T185" s="8">
        <v>114.09</v>
      </c>
      <c r="U185" s="3"/>
      <c r="V185" s="7">
        <f t="shared" si="81"/>
        <v>3.2417606741271015E-4</v>
      </c>
      <c r="W185" s="3"/>
      <c r="X185" s="8">
        <f t="shared" si="82"/>
        <v>-114.09</v>
      </c>
      <c r="Y185" s="3"/>
      <c r="Z185" s="7">
        <f t="shared" si="83"/>
        <v>-1</v>
      </c>
    </row>
    <row r="186" spans="1:26" s="24" customFormat="1" hidden="1" outlineLevel="2" x14ac:dyDescent="0.25">
      <c r="A186" s="29"/>
      <c r="B186" s="11" t="str">
        <f>CONCATENATE("          ", "6259", " - ", "ROYALTY &amp; COMMISSIONS")</f>
        <v xml:space="preserve">          6259 - ROYALTY &amp; COMMISSIONS</v>
      </c>
      <c r="C186" s="11"/>
      <c r="D186" s="8">
        <v>5317.55</v>
      </c>
      <c r="E186" s="3"/>
      <c r="F186" s="7">
        <f t="shared" si="76"/>
        <v>2.3356675147611267E-2</v>
      </c>
      <c r="G186" s="3"/>
      <c r="H186" s="8">
        <v>605.01</v>
      </c>
      <c r="I186" s="3"/>
      <c r="J186" s="7">
        <f t="shared" si="77"/>
        <v>1.7190793456513609E-3</v>
      </c>
      <c r="K186" s="3"/>
      <c r="L186" s="8">
        <f t="shared" si="78"/>
        <v>4712.54</v>
      </c>
      <c r="M186" s="3"/>
      <c r="N186" s="7">
        <f t="shared" si="79"/>
        <v>7.7891935670484784</v>
      </c>
      <c r="O186" s="11"/>
      <c r="P186" s="8">
        <v>5317.55</v>
      </c>
      <c r="Q186" s="3"/>
      <c r="R186" s="7">
        <f t="shared" si="80"/>
        <v>2.3356675147611267E-2</v>
      </c>
      <c r="S186" s="3"/>
      <c r="T186" s="8">
        <v>605.01</v>
      </c>
      <c r="U186" s="3"/>
      <c r="V186" s="7">
        <f t="shared" si="81"/>
        <v>1.7190793456513609E-3</v>
      </c>
      <c r="W186" s="3"/>
      <c r="X186" s="8">
        <f t="shared" si="82"/>
        <v>4712.54</v>
      </c>
      <c r="Y186" s="3"/>
      <c r="Z186" s="7">
        <f t="shared" si="83"/>
        <v>7.7891935670484784</v>
      </c>
    </row>
    <row r="187" spans="1:26" s="27" customFormat="1" outlineLevel="1" collapsed="1" x14ac:dyDescent="0.25">
      <c r="A187" s="28"/>
      <c r="B187" s="14" t="str">
        <f>CONCATENATE("     ","Services                                          ")</f>
        <v xml:space="preserve">     Services                                          </v>
      </c>
      <c r="C187" s="14"/>
      <c r="D187" s="1">
        <f>SUM(OSRRefD22_18x_0)</f>
        <v>3883.7400000000002</v>
      </c>
      <c r="E187" s="1"/>
      <c r="F187" s="5">
        <f t="shared" ref="F187:F191" si="84">IF(D$12=0,0,D187/D$12)</f>
        <v>1.7058843553475526E-2</v>
      </c>
      <c r="G187" s="1"/>
      <c r="H187" s="1">
        <f>SUM(OSRRefH22_18x_0)</f>
        <v>4629.08</v>
      </c>
      <c r="I187" s="1"/>
      <c r="J187" s="5">
        <f t="shared" ref="J187:J191" si="85">IF(H$12=0,0,H187/H$12)</f>
        <v>1.3153097994029523E-2</v>
      </c>
      <c r="K187" s="1"/>
      <c r="L187" s="1">
        <f t="shared" ref="L187:L191" si="86">+D187-H187</f>
        <v>-745.33999999999969</v>
      </c>
      <c r="M187" s="1"/>
      <c r="N187" s="5">
        <f t="shared" ref="N187:N191" si="87">IF(H187=0,0,L187/H187)</f>
        <v>-0.16101255541057827</v>
      </c>
      <c r="O187" s="14"/>
      <c r="P187" s="1">
        <f>SUM(OSRRefP22_18x_0)</f>
        <v>3883.7400000000002</v>
      </c>
      <c r="Q187" s="1"/>
      <c r="R187" s="5">
        <f t="shared" ref="R187:R191" si="88">IF(P$12=0,0,P187/P$12)</f>
        <v>1.7058843553475526E-2</v>
      </c>
      <c r="S187" s="1"/>
      <c r="T187" s="1">
        <f>SUM(OSRRefT22_18x_0)</f>
        <v>4629.08</v>
      </c>
      <c r="U187" s="1"/>
      <c r="V187" s="5">
        <f t="shared" ref="V187:V191" si="89">IF(T$12=0,0,T187/T$12)</f>
        <v>1.3153097994029523E-2</v>
      </c>
      <c r="W187" s="1"/>
      <c r="X187" s="1">
        <f t="shared" ref="X187:X191" si="90">+P187-T187</f>
        <v>-745.33999999999969</v>
      </c>
      <c r="Y187" s="1"/>
      <c r="Z187" s="5">
        <f t="shared" ref="Z187:Z191" si="91">IF(T187=0,0,X187/T187)</f>
        <v>-0.16101255541057827</v>
      </c>
    </row>
    <row r="188" spans="1:26" s="24" customFormat="1" hidden="1" outlineLevel="2" x14ac:dyDescent="0.25">
      <c r="A188" s="29"/>
      <c r="B188" s="11" t="str">
        <f>CONCATENATE("          ", "6282", " - ", "JANITORIAL/EXTERMINATOR EXPENS")</f>
        <v xml:space="preserve">          6282 - JANITORIAL/EXTERMINATOR EXPENS</v>
      </c>
      <c r="C188" s="11"/>
      <c r="D188" s="8">
        <v>136.5</v>
      </c>
      <c r="E188" s="3"/>
      <c r="F188" s="7">
        <f t="shared" si="84"/>
        <v>5.9955922514107771E-4</v>
      </c>
      <c r="G188" s="3"/>
      <c r="H188" s="8">
        <v>266.5</v>
      </c>
      <c r="I188" s="3"/>
      <c r="J188" s="7">
        <f t="shared" si="85"/>
        <v>7.572348318475524E-4</v>
      </c>
      <c r="K188" s="3"/>
      <c r="L188" s="8">
        <f t="shared" si="86"/>
        <v>-130</v>
      </c>
      <c r="M188" s="3"/>
      <c r="N188" s="7">
        <f t="shared" si="87"/>
        <v>-0.48780487804878048</v>
      </c>
      <c r="O188" s="11"/>
      <c r="P188" s="8">
        <v>136.5</v>
      </c>
      <c r="Q188" s="3"/>
      <c r="R188" s="7">
        <f t="shared" si="88"/>
        <v>5.9955922514107771E-4</v>
      </c>
      <c r="S188" s="3"/>
      <c r="T188" s="8">
        <v>266.5</v>
      </c>
      <c r="U188" s="3"/>
      <c r="V188" s="7">
        <f t="shared" si="89"/>
        <v>7.572348318475524E-4</v>
      </c>
      <c r="W188" s="3"/>
      <c r="X188" s="8">
        <f t="shared" si="90"/>
        <v>-130</v>
      </c>
      <c r="Y188" s="3"/>
      <c r="Z188" s="7">
        <f t="shared" si="91"/>
        <v>-0.48780487804878048</v>
      </c>
    </row>
    <row r="189" spans="1:26" s="24" customFormat="1" hidden="1" outlineLevel="2" x14ac:dyDescent="0.25">
      <c r="A189" s="29"/>
      <c r="B189" s="11" t="str">
        <f>CONCATENATE("          ", "6283", " - ", "PLANT SERVICE")</f>
        <v xml:space="preserve">          6283 - PLANT SERVICE</v>
      </c>
      <c r="C189" s="11"/>
      <c r="D189" s="8">
        <v>130</v>
      </c>
      <c r="E189" s="3"/>
      <c r="F189" s="7">
        <f t="shared" si="84"/>
        <v>5.7100878584864551E-4</v>
      </c>
      <c r="G189" s="3"/>
      <c r="H189" s="8">
        <v>180.66</v>
      </c>
      <c r="I189" s="3"/>
      <c r="J189" s="7">
        <f t="shared" si="85"/>
        <v>5.1332849801718127E-4</v>
      </c>
      <c r="K189" s="3"/>
      <c r="L189" s="8">
        <f t="shared" si="86"/>
        <v>-50.66</v>
      </c>
      <c r="M189" s="3"/>
      <c r="N189" s="7">
        <f t="shared" si="87"/>
        <v>-0.2804162515221964</v>
      </c>
      <c r="O189" s="11"/>
      <c r="P189" s="8">
        <v>130</v>
      </c>
      <c r="Q189" s="3"/>
      <c r="R189" s="7">
        <f t="shared" si="88"/>
        <v>5.7100878584864551E-4</v>
      </c>
      <c r="S189" s="3"/>
      <c r="T189" s="8">
        <v>180.66</v>
      </c>
      <c r="U189" s="3"/>
      <c r="V189" s="7">
        <f t="shared" si="89"/>
        <v>5.1332849801718127E-4</v>
      </c>
      <c r="W189" s="3"/>
      <c r="X189" s="8">
        <f t="shared" si="90"/>
        <v>-50.66</v>
      </c>
      <c r="Y189" s="3"/>
      <c r="Z189" s="7">
        <f t="shared" si="91"/>
        <v>-0.2804162515221964</v>
      </c>
    </row>
    <row r="190" spans="1:26" s="24" customFormat="1" hidden="1" outlineLevel="2" x14ac:dyDescent="0.25">
      <c r="A190" s="29"/>
      <c r="B190" s="11" t="str">
        <f>CONCATENATE("          ", "6284", " - ", "TRASH REMOVAL EXPENSE")</f>
        <v xml:space="preserve">          6284 - TRASH REMOVAL EXPENSE</v>
      </c>
      <c r="C190" s="11"/>
      <c r="D190" s="8">
        <v>142.57</v>
      </c>
      <c r="E190" s="3"/>
      <c r="F190" s="7">
        <f t="shared" si="84"/>
        <v>6.2622094306493369E-4</v>
      </c>
      <c r="G190" s="3"/>
      <c r="H190" s="8">
        <v>134.82</v>
      </c>
      <c r="I190" s="3"/>
      <c r="J190" s="7">
        <f t="shared" si="85"/>
        <v>3.830784241264053E-4</v>
      </c>
      <c r="K190" s="3"/>
      <c r="L190" s="8">
        <f t="shared" si="86"/>
        <v>7.75</v>
      </c>
      <c r="M190" s="3"/>
      <c r="N190" s="7">
        <f t="shared" si="87"/>
        <v>5.7484052811155616E-2</v>
      </c>
      <c r="O190" s="11"/>
      <c r="P190" s="8">
        <v>142.57</v>
      </c>
      <c r="Q190" s="3"/>
      <c r="R190" s="7">
        <f t="shared" si="88"/>
        <v>6.2622094306493369E-4</v>
      </c>
      <c r="S190" s="3"/>
      <c r="T190" s="8">
        <v>134.82</v>
      </c>
      <c r="U190" s="3"/>
      <c r="V190" s="7">
        <f t="shared" si="89"/>
        <v>3.830784241264053E-4</v>
      </c>
      <c r="W190" s="3"/>
      <c r="X190" s="8">
        <f t="shared" si="90"/>
        <v>7.75</v>
      </c>
      <c r="Y190" s="3"/>
      <c r="Z190" s="7">
        <f t="shared" si="91"/>
        <v>5.7484052811155616E-2</v>
      </c>
    </row>
    <row r="191" spans="1:26" s="24" customFormat="1" hidden="1" outlineLevel="2" x14ac:dyDescent="0.25">
      <c r="A191" s="29"/>
      <c r="B191" s="11" t="str">
        <f>CONCATENATE("          ", "6285", " - ", "JANITORIAL SERVICES")</f>
        <v xml:space="preserve">          6285 - JANITORIAL SERVICES</v>
      </c>
      <c r="C191" s="11"/>
      <c r="D191" s="8">
        <v>3474.67</v>
      </c>
      <c r="E191" s="3"/>
      <c r="F191" s="7">
        <f t="shared" si="84"/>
        <v>1.5262054599420869E-2</v>
      </c>
      <c r="G191" s="3"/>
      <c r="H191" s="8">
        <v>4047.1</v>
      </c>
      <c r="I191" s="3"/>
      <c r="J191" s="7">
        <f t="shared" si="85"/>
        <v>1.1499456240038383E-2</v>
      </c>
      <c r="K191" s="3"/>
      <c r="L191" s="8">
        <f t="shared" si="86"/>
        <v>-572.42999999999984</v>
      </c>
      <c r="M191" s="3"/>
      <c r="N191" s="7">
        <f t="shared" si="87"/>
        <v>-0.14144202021200361</v>
      </c>
      <c r="O191" s="11"/>
      <c r="P191" s="8">
        <v>3474.67</v>
      </c>
      <c r="Q191" s="3"/>
      <c r="R191" s="7">
        <f t="shared" si="88"/>
        <v>1.5262054599420869E-2</v>
      </c>
      <c r="S191" s="3"/>
      <c r="T191" s="8">
        <v>4047.1</v>
      </c>
      <c r="U191" s="3"/>
      <c r="V191" s="7">
        <f t="shared" si="89"/>
        <v>1.1499456240038383E-2</v>
      </c>
      <c r="W191" s="3"/>
      <c r="X191" s="8">
        <f t="shared" si="90"/>
        <v>-572.42999999999984</v>
      </c>
      <c r="Y191" s="3"/>
      <c r="Z191" s="7">
        <f t="shared" si="91"/>
        <v>-0.14144202021200361</v>
      </c>
    </row>
    <row r="192" spans="1:26" s="27" customFormat="1" outlineLevel="1" collapsed="1" x14ac:dyDescent="0.25">
      <c r="A192" s="28"/>
      <c r="B192" s="14" t="str">
        <f>CONCATENATE("     ","Subscriptions &amp; Dues                              ")</f>
        <v xml:space="preserve">     Subscriptions &amp; Dues                              </v>
      </c>
      <c r="C192" s="14"/>
      <c r="D192" s="1">
        <f>SUM(OSRRefD22_19x_0)</f>
        <v>365</v>
      </c>
      <c r="E192" s="1"/>
      <c r="F192" s="5">
        <f t="shared" ref="F192:F194" si="92">IF(D$12=0,0,D192/D$12)</f>
        <v>1.6032169756519661E-3</v>
      </c>
      <c r="G192" s="1"/>
      <c r="H192" s="1">
        <f>SUM(OSRRefH22_19x_0)</f>
        <v>462.25</v>
      </c>
      <c r="I192" s="1"/>
      <c r="J192" s="5">
        <f t="shared" ref="J192:J194" si="93">IF(H$12=0,0,H192/H$12)</f>
        <v>1.313440153926946E-3</v>
      </c>
      <c r="K192" s="1"/>
      <c r="L192" s="1">
        <f t="shared" ref="L192:L194" si="94">+D192-H192</f>
        <v>-97.25</v>
      </c>
      <c r="M192" s="1"/>
      <c r="N192" s="5">
        <f t="shared" ref="N192:N194" si="95">IF(H192=0,0,L192/H192)</f>
        <v>-0.21038399134667388</v>
      </c>
      <c r="O192" s="14"/>
      <c r="P192" s="1">
        <f>SUM(OSRRefP22_19x_0)</f>
        <v>365</v>
      </c>
      <c r="Q192" s="1"/>
      <c r="R192" s="5">
        <f t="shared" ref="R192:R194" si="96">IF(P$12=0,0,P192/P$12)</f>
        <v>1.6032169756519661E-3</v>
      </c>
      <c r="S192" s="1"/>
      <c r="T192" s="1">
        <f>SUM(OSRRefT22_19x_0)</f>
        <v>462.25</v>
      </c>
      <c r="U192" s="1"/>
      <c r="V192" s="5">
        <f t="shared" ref="V192:V194" si="97">IF(T$12=0,0,T192/T$12)</f>
        <v>1.313440153926946E-3</v>
      </c>
      <c r="W192" s="1"/>
      <c r="X192" s="1">
        <f t="shared" ref="X192:X194" si="98">+P192-T192</f>
        <v>-97.25</v>
      </c>
      <c r="Y192" s="1"/>
      <c r="Z192" s="5">
        <f t="shared" ref="Z192:Z194" si="99">IF(T192=0,0,X192/T192)</f>
        <v>-0.21038399134667388</v>
      </c>
    </row>
    <row r="193" spans="1:26" s="24" customFormat="1" hidden="1" outlineLevel="2" x14ac:dyDescent="0.25">
      <c r="A193" s="29"/>
      <c r="B193" s="11" t="str">
        <f>CONCATENATE("          ", "6258", " - ", "MEMBERSHIP DUES")</f>
        <v xml:space="preserve">          6258 - MEMBERSHIP DUES</v>
      </c>
      <c r="C193" s="11"/>
      <c r="D193" s="8">
        <v>290</v>
      </c>
      <c r="E193" s="3"/>
      <c r="F193" s="7">
        <f t="shared" si="92"/>
        <v>1.2737888299700552E-3</v>
      </c>
      <c r="G193" s="3"/>
      <c r="H193" s="8">
        <v>288.85000000000002</v>
      </c>
      <c r="I193" s="3"/>
      <c r="J193" s="7">
        <f t="shared" si="93"/>
        <v>8.207402670888012E-4</v>
      </c>
      <c r="K193" s="3"/>
      <c r="L193" s="8">
        <f t="shared" si="94"/>
        <v>1.1499999999999773</v>
      </c>
      <c r="M193" s="3"/>
      <c r="N193" s="7">
        <f t="shared" si="95"/>
        <v>3.9813051756966492E-3</v>
      </c>
      <c r="O193" s="11"/>
      <c r="P193" s="8">
        <v>290</v>
      </c>
      <c r="Q193" s="3"/>
      <c r="R193" s="7">
        <f t="shared" si="96"/>
        <v>1.2737888299700552E-3</v>
      </c>
      <c r="S193" s="3"/>
      <c r="T193" s="8">
        <v>288.85000000000002</v>
      </c>
      <c r="U193" s="3"/>
      <c r="V193" s="7">
        <f t="shared" si="97"/>
        <v>8.207402670888012E-4</v>
      </c>
      <c r="W193" s="3"/>
      <c r="X193" s="8">
        <f t="shared" si="98"/>
        <v>1.1499999999999773</v>
      </c>
      <c r="Y193" s="3"/>
      <c r="Z193" s="7">
        <f t="shared" si="99"/>
        <v>3.9813051756966492E-3</v>
      </c>
    </row>
    <row r="194" spans="1:26" s="24" customFormat="1" hidden="1" outlineLevel="2" x14ac:dyDescent="0.25">
      <c r="A194" s="29"/>
      <c r="B194" s="11" t="str">
        <f>CONCATENATE("          ", "6275", " - ", "SUBSCRIPTIONS")</f>
        <v xml:space="preserve">          6275 - SUBSCRIPTIONS</v>
      </c>
      <c r="C194" s="11"/>
      <c r="D194" s="8">
        <v>75</v>
      </c>
      <c r="E194" s="3"/>
      <c r="F194" s="7">
        <f t="shared" si="92"/>
        <v>3.2942814568191086E-4</v>
      </c>
      <c r="G194" s="3"/>
      <c r="H194" s="8">
        <v>173.4</v>
      </c>
      <c r="I194" s="3"/>
      <c r="J194" s="7">
        <f t="shared" si="93"/>
        <v>4.9269988683814478E-4</v>
      </c>
      <c r="K194" s="3"/>
      <c r="L194" s="8">
        <f t="shared" si="94"/>
        <v>-98.4</v>
      </c>
      <c r="M194" s="3"/>
      <c r="N194" s="7">
        <f t="shared" si="95"/>
        <v>-0.56747404844290661</v>
      </c>
      <c r="O194" s="11"/>
      <c r="P194" s="8">
        <v>75</v>
      </c>
      <c r="Q194" s="3"/>
      <c r="R194" s="7">
        <f t="shared" si="96"/>
        <v>3.2942814568191086E-4</v>
      </c>
      <c r="S194" s="3"/>
      <c r="T194" s="8">
        <v>173.4</v>
      </c>
      <c r="U194" s="3"/>
      <c r="V194" s="7">
        <f t="shared" si="97"/>
        <v>4.9269988683814478E-4</v>
      </c>
      <c r="W194" s="3"/>
      <c r="X194" s="8">
        <f t="shared" si="98"/>
        <v>-98.4</v>
      </c>
      <c r="Y194" s="3"/>
      <c r="Z194" s="7">
        <f t="shared" si="99"/>
        <v>-0.56747404844290661</v>
      </c>
    </row>
    <row r="195" spans="1:26" s="27" customFormat="1" outlineLevel="1" collapsed="1" x14ac:dyDescent="0.25">
      <c r="A195" s="28"/>
      <c r="B195" s="14" t="str">
        <f>CONCATENATE("     ","Supplies                                          ")</f>
        <v xml:space="preserve">     Supplies                                          </v>
      </c>
      <c r="C195" s="14"/>
      <c r="D195" s="1">
        <f>SUM(OSRRefD22_20x_0)</f>
        <v>11519.92</v>
      </c>
      <c r="E195" s="1"/>
      <c r="F195" s="5">
        <f t="shared" ref="F195:F202" si="100">IF(D$12=0,0,D195/D$12)</f>
        <v>5.0599811786719448E-2</v>
      </c>
      <c r="G195" s="1"/>
      <c r="H195" s="1">
        <f>SUM(OSRRefH22_20x_0)</f>
        <v>6945.5300000000007</v>
      </c>
      <c r="I195" s="1"/>
      <c r="J195" s="5">
        <f t="shared" ref="J195:J202" si="101">IF(H$12=0,0,H195/H$12)</f>
        <v>1.9735074077456401E-2</v>
      </c>
      <c r="K195" s="1"/>
      <c r="L195" s="1">
        <f t="shared" ref="L195:L202" si="102">+D195-H195</f>
        <v>4574.3899999999994</v>
      </c>
      <c r="M195" s="1"/>
      <c r="N195" s="5">
        <f t="shared" ref="N195:N202" si="103">IF(H195=0,0,L195/H195)</f>
        <v>0.6586092062088853</v>
      </c>
      <c r="O195" s="14"/>
      <c r="P195" s="1">
        <f>SUM(OSRRefP22_20x_0)</f>
        <v>11519.92</v>
      </c>
      <c r="Q195" s="1"/>
      <c r="R195" s="5">
        <f t="shared" ref="R195:R202" si="104">IF(P$12=0,0,P195/P$12)</f>
        <v>5.0599811786719448E-2</v>
      </c>
      <c r="S195" s="1"/>
      <c r="T195" s="1">
        <f>SUM(OSRRefT22_20x_0)</f>
        <v>6945.5300000000007</v>
      </c>
      <c r="U195" s="1"/>
      <c r="V195" s="5">
        <f t="shared" ref="V195:V202" si="105">IF(T$12=0,0,T195/T$12)</f>
        <v>1.9735074077456401E-2</v>
      </c>
      <c r="W195" s="1"/>
      <c r="X195" s="1">
        <f t="shared" ref="X195:X202" si="106">+P195-T195</f>
        <v>4574.3899999999994</v>
      </c>
      <c r="Y195" s="1"/>
      <c r="Z195" s="5">
        <f t="shared" ref="Z195:Z202" si="107">IF(T195=0,0,X195/T195)</f>
        <v>0.6586092062088853</v>
      </c>
    </row>
    <row r="196" spans="1:26" s="24" customFormat="1" hidden="1" outlineLevel="2" x14ac:dyDescent="0.25">
      <c r="A196" s="29"/>
      <c r="B196" s="11" t="str">
        <f>CONCATENATE("          ", "6234", " - ", "EXPENDABLE SUPPLIES &amp; EQUIPMEN")</f>
        <v xml:space="preserve">          6234 - EXPENDABLE SUPPLIES &amp; EQUIPMEN</v>
      </c>
      <c r="C196" s="11"/>
      <c r="D196" s="8"/>
      <c r="E196" s="3"/>
      <c r="F196" s="7">
        <f t="shared" si="100"/>
        <v>0</v>
      </c>
      <c r="G196" s="3"/>
      <c r="H196" s="8">
        <v>702.08</v>
      </c>
      <c r="I196" s="3"/>
      <c r="J196" s="7">
        <f t="shared" si="101"/>
        <v>1.9948946744597733E-3</v>
      </c>
      <c r="K196" s="3"/>
      <c r="L196" s="8">
        <f t="shared" si="102"/>
        <v>-702.08</v>
      </c>
      <c r="M196" s="3"/>
      <c r="N196" s="7">
        <f t="shared" si="103"/>
        <v>-1</v>
      </c>
      <c r="O196" s="11"/>
      <c r="P196" s="8"/>
      <c r="Q196" s="3"/>
      <c r="R196" s="7">
        <f t="shared" si="104"/>
        <v>0</v>
      </c>
      <c r="S196" s="3"/>
      <c r="T196" s="8">
        <v>702.08</v>
      </c>
      <c r="U196" s="3"/>
      <c r="V196" s="7">
        <f t="shared" si="105"/>
        <v>1.9948946744597733E-3</v>
      </c>
      <c r="W196" s="3"/>
      <c r="X196" s="8">
        <f t="shared" si="106"/>
        <v>-702.08</v>
      </c>
      <c r="Y196" s="3"/>
      <c r="Z196" s="7">
        <f t="shared" si="107"/>
        <v>-1</v>
      </c>
    </row>
    <row r="197" spans="1:26" s="24" customFormat="1" hidden="1" outlineLevel="2" x14ac:dyDescent="0.25">
      <c r="A197" s="29"/>
      <c r="B197" s="11" t="str">
        <f>CONCATENATE("          ", "6235", " - ", "COVID-19 EXPENSES")</f>
        <v xml:space="preserve">          6235 - COVID-19 EXPENSES</v>
      </c>
      <c r="C197" s="11"/>
      <c r="D197" s="8">
        <v>6012.11</v>
      </c>
      <c r="E197" s="3"/>
      <c r="F197" s="7">
        <f t="shared" si="100"/>
        <v>2.6407443319142306E-2</v>
      </c>
      <c r="G197" s="3"/>
      <c r="H197" s="8"/>
      <c r="I197" s="3"/>
      <c r="J197" s="7">
        <f t="shared" si="101"/>
        <v>0</v>
      </c>
      <c r="K197" s="3"/>
      <c r="L197" s="8">
        <f t="shared" si="102"/>
        <v>6012.11</v>
      </c>
      <c r="M197" s="3"/>
      <c r="N197" s="7">
        <f t="shared" si="103"/>
        <v>0</v>
      </c>
      <c r="O197" s="11"/>
      <c r="P197" s="8">
        <v>6012.11</v>
      </c>
      <c r="Q197" s="3"/>
      <c r="R197" s="7">
        <f t="shared" si="104"/>
        <v>2.6407443319142306E-2</v>
      </c>
      <c r="S197" s="3"/>
      <c r="T197" s="8"/>
      <c r="U197" s="3"/>
      <c r="V197" s="7">
        <f t="shared" si="105"/>
        <v>0</v>
      </c>
      <c r="W197" s="3"/>
      <c r="X197" s="8">
        <f t="shared" si="106"/>
        <v>6012.11</v>
      </c>
      <c r="Y197" s="3"/>
      <c r="Z197" s="7">
        <f t="shared" si="107"/>
        <v>0</v>
      </c>
    </row>
    <row r="198" spans="1:26" s="24" customFormat="1" hidden="1" outlineLevel="2" x14ac:dyDescent="0.25">
      <c r="A198" s="29"/>
      <c r="B198" s="11" t="str">
        <f>CONCATENATE("          ", "6237", " - ", "JANITORIAL SUPPLIES")</f>
        <v xml:space="preserve">          6237 - JANITORIAL SUPPLIES</v>
      </c>
      <c r="C198" s="11"/>
      <c r="D198" s="8">
        <v>139.31</v>
      </c>
      <c r="E198" s="3"/>
      <c r="F198" s="7">
        <f t="shared" si="100"/>
        <v>6.1190179966596006E-4</v>
      </c>
      <c r="G198" s="3"/>
      <c r="H198" s="8">
        <v>448.83</v>
      </c>
      <c r="I198" s="3"/>
      <c r="J198" s="7">
        <f t="shared" si="101"/>
        <v>1.2753084787172117E-3</v>
      </c>
      <c r="K198" s="3"/>
      <c r="L198" s="8">
        <f t="shared" si="102"/>
        <v>-309.52</v>
      </c>
      <c r="M198" s="3"/>
      <c r="N198" s="7">
        <f t="shared" si="103"/>
        <v>-0.68961522179889934</v>
      </c>
      <c r="O198" s="11"/>
      <c r="P198" s="8">
        <v>139.31</v>
      </c>
      <c r="Q198" s="3"/>
      <c r="R198" s="7">
        <f t="shared" si="104"/>
        <v>6.1190179966596006E-4</v>
      </c>
      <c r="S198" s="3"/>
      <c r="T198" s="8">
        <v>448.83</v>
      </c>
      <c r="U198" s="3"/>
      <c r="V198" s="7">
        <f t="shared" si="105"/>
        <v>1.2753084787172117E-3</v>
      </c>
      <c r="W198" s="3"/>
      <c r="X198" s="8">
        <f t="shared" si="106"/>
        <v>-309.52</v>
      </c>
      <c r="Y198" s="3"/>
      <c r="Z198" s="7">
        <f t="shared" si="107"/>
        <v>-0.68961522179889934</v>
      </c>
    </row>
    <row r="199" spans="1:26" s="24" customFormat="1" hidden="1" outlineLevel="2" x14ac:dyDescent="0.25">
      <c r="A199" s="29"/>
      <c r="B199" s="11" t="str">
        <f>CONCATENATE("          ", "6241", " - ", "OFFICE EXPENSE")</f>
        <v xml:space="preserve">          6241 - OFFICE EXPENSE</v>
      </c>
      <c r="C199" s="11"/>
      <c r="D199" s="8">
        <v>430.41</v>
      </c>
      <c r="E199" s="3"/>
      <c r="F199" s="7">
        <f t="shared" si="100"/>
        <v>1.8905222424393502E-3</v>
      </c>
      <c r="G199" s="3"/>
      <c r="H199" s="8">
        <v>2397.67</v>
      </c>
      <c r="I199" s="3"/>
      <c r="J199" s="7">
        <f t="shared" si="101"/>
        <v>6.8127551192342251E-3</v>
      </c>
      <c r="K199" s="3"/>
      <c r="L199" s="8">
        <f t="shared" si="102"/>
        <v>-1967.26</v>
      </c>
      <c r="M199" s="3"/>
      <c r="N199" s="7">
        <f t="shared" si="103"/>
        <v>-0.82048822398411791</v>
      </c>
      <c r="O199" s="11"/>
      <c r="P199" s="8">
        <v>430.41</v>
      </c>
      <c r="Q199" s="3"/>
      <c r="R199" s="7">
        <f t="shared" si="104"/>
        <v>1.8905222424393502E-3</v>
      </c>
      <c r="S199" s="3"/>
      <c r="T199" s="8">
        <v>2397.67</v>
      </c>
      <c r="U199" s="3"/>
      <c r="V199" s="7">
        <f t="shared" si="105"/>
        <v>6.8127551192342251E-3</v>
      </c>
      <c r="W199" s="3"/>
      <c r="X199" s="8">
        <f t="shared" si="106"/>
        <v>-1967.26</v>
      </c>
      <c r="Y199" s="3"/>
      <c r="Z199" s="7">
        <f t="shared" si="107"/>
        <v>-0.82048822398411791</v>
      </c>
    </row>
    <row r="200" spans="1:26" s="24" customFormat="1" hidden="1" outlineLevel="2" x14ac:dyDescent="0.25">
      <c r="A200" s="29"/>
      <c r="B200" s="11" t="str">
        <f>CONCATENATE("          ", "6243", " - ", "PAPER SUPPLIES")</f>
        <v xml:space="preserve">          6243 - PAPER SUPPLIES</v>
      </c>
      <c r="C200" s="11"/>
      <c r="D200" s="8">
        <v>1080</v>
      </c>
      <c r="E200" s="3"/>
      <c r="F200" s="7">
        <f t="shared" si="100"/>
        <v>4.7437652978195161E-3</v>
      </c>
      <c r="G200" s="3"/>
      <c r="H200" s="8">
        <v>1161.3399999999999</v>
      </c>
      <c r="I200" s="3"/>
      <c r="J200" s="7">
        <f t="shared" si="101"/>
        <v>3.2998390229562343E-3</v>
      </c>
      <c r="K200" s="3"/>
      <c r="L200" s="8">
        <f t="shared" si="102"/>
        <v>-81.339999999999918</v>
      </c>
      <c r="M200" s="3"/>
      <c r="N200" s="7">
        <f t="shared" si="103"/>
        <v>-7.0039781631563477E-2</v>
      </c>
      <c r="O200" s="11"/>
      <c r="P200" s="8">
        <v>1080</v>
      </c>
      <c r="Q200" s="3"/>
      <c r="R200" s="7">
        <f t="shared" si="104"/>
        <v>4.7437652978195161E-3</v>
      </c>
      <c r="S200" s="3"/>
      <c r="T200" s="8">
        <v>1161.3399999999999</v>
      </c>
      <c r="U200" s="3"/>
      <c r="V200" s="7">
        <f t="shared" si="105"/>
        <v>3.2998390229562343E-3</v>
      </c>
      <c r="W200" s="3"/>
      <c r="X200" s="8">
        <f t="shared" si="106"/>
        <v>-81.339999999999918</v>
      </c>
      <c r="Y200" s="3"/>
      <c r="Z200" s="7">
        <f t="shared" si="107"/>
        <v>-7.0039781631563477E-2</v>
      </c>
    </row>
    <row r="201" spans="1:26" s="24" customFormat="1" hidden="1" outlineLevel="2" x14ac:dyDescent="0.25">
      <c r="A201" s="29"/>
      <c r="B201" s="11" t="str">
        <f>CONCATENATE("          ", "6245", " - ", "PRINTING")</f>
        <v xml:space="preserve">          6245 - PRINTING</v>
      </c>
      <c r="C201" s="11"/>
      <c r="D201" s="8">
        <v>-1543.5</v>
      </c>
      <c r="E201" s="3"/>
      <c r="F201" s="7">
        <f t="shared" si="100"/>
        <v>-6.7796312381337258E-3</v>
      </c>
      <c r="G201" s="3"/>
      <c r="H201" s="8"/>
      <c r="I201" s="3"/>
      <c r="J201" s="7">
        <f t="shared" si="101"/>
        <v>0</v>
      </c>
      <c r="K201" s="3"/>
      <c r="L201" s="8">
        <f t="shared" si="102"/>
        <v>-1543.5</v>
      </c>
      <c r="M201" s="3"/>
      <c r="N201" s="7">
        <f t="shared" si="103"/>
        <v>0</v>
      </c>
      <c r="O201" s="11"/>
      <c r="P201" s="8">
        <v>-1543.5</v>
      </c>
      <c r="Q201" s="3"/>
      <c r="R201" s="7">
        <f t="shared" si="104"/>
        <v>-6.7796312381337258E-3</v>
      </c>
      <c r="S201" s="3"/>
      <c r="T201" s="8"/>
      <c r="U201" s="3"/>
      <c r="V201" s="7">
        <f t="shared" si="105"/>
        <v>0</v>
      </c>
      <c r="W201" s="3"/>
      <c r="X201" s="8">
        <f t="shared" si="106"/>
        <v>-1543.5</v>
      </c>
      <c r="Y201" s="3"/>
      <c r="Z201" s="7">
        <f t="shared" si="107"/>
        <v>0</v>
      </c>
    </row>
    <row r="202" spans="1:26" s="24" customFormat="1" hidden="1" outlineLevel="2" x14ac:dyDescent="0.25">
      <c r="A202" s="29"/>
      <c r="B202" s="11" t="str">
        <f>CONCATENATE("          ", "6247", " - ", "STORE SUPPLIES")</f>
        <v xml:space="preserve">          6247 - STORE SUPPLIES</v>
      </c>
      <c r="C202" s="11"/>
      <c r="D202" s="8">
        <v>5401.59</v>
      </c>
      <c r="E202" s="3"/>
      <c r="F202" s="7">
        <f t="shared" si="100"/>
        <v>2.372581036578604E-2</v>
      </c>
      <c r="G202" s="3"/>
      <c r="H202" s="8">
        <v>2235.61</v>
      </c>
      <c r="I202" s="3"/>
      <c r="J202" s="7">
        <f t="shared" si="101"/>
        <v>6.3522767820889557E-3</v>
      </c>
      <c r="K202" s="3"/>
      <c r="L202" s="8">
        <f t="shared" si="102"/>
        <v>3165.98</v>
      </c>
      <c r="M202" s="3"/>
      <c r="N202" s="7">
        <f t="shared" si="103"/>
        <v>1.4161593480079262</v>
      </c>
      <c r="O202" s="11"/>
      <c r="P202" s="8">
        <v>5401.59</v>
      </c>
      <c r="Q202" s="3"/>
      <c r="R202" s="7">
        <f t="shared" si="104"/>
        <v>2.372581036578604E-2</v>
      </c>
      <c r="S202" s="3"/>
      <c r="T202" s="8">
        <v>2235.61</v>
      </c>
      <c r="U202" s="3"/>
      <c r="V202" s="7">
        <f t="shared" si="105"/>
        <v>6.3522767820889557E-3</v>
      </c>
      <c r="W202" s="3"/>
      <c r="X202" s="8">
        <f t="shared" si="106"/>
        <v>3165.98</v>
      </c>
      <c r="Y202" s="3"/>
      <c r="Z202" s="7">
        <f t="shared" si="107"/>
        <v>1.4161593480079262</v>
      </c>
    </row>
    <row r="203" spans="1:26" s="27" customFormat="1" outlineLevel="1" collapsed="1" x14ac:dyDescent="0.25">
      <c r="A203" s="28"/>
      <c r="B203" s="14" t="str">
        <f>CONCATENATE("     ","Telephone/Data Lines                              ")</f>
        <v xml:space="preserve">     Telephone/Data Lines                              </v>
      </c>
      <c r="C203" s="14"/>
      <c r="D203" s="1">
        <f>SUM(OSRRefD22_21x_0)</f>
        <v>2373.25</v>
      </c>
      <c r="E203" s="1"/>
      <c r="F203" s="5">
        <f t="shared" ref="F203:F205" si="108">IF(D$12=0,0,D203/D$12)</f>
        <v>1.04242046231946E-2</v>
      </c>
      <c r="G203" s="1"/>
      <c r="H203" s="1">
        <f>SUM(OSRRefH22_21x_0)</f>
        <v>1789.27</v>
      </c>
      <c r="I203" s="1"/>
      <c r="J203" s="5">
        <f t="shared" ref="J203:J205" si="109">IF(H$12=0,0,H203/H$12)</f>
        <v>5.0840434055529835E-3</v>
      </c>
      <c r="K203" s="1"/>
      <c r="L203" s="1">
        <f t="shared" ref="L203:L205" si="110">+D203-H203</f>
        <v>583.98</v>
      </c>
      <c r="M203" s="1"/>
      <c r="N203" s="5">
        <f t="shared" ref="N203:N205" si="111">IF(H203=0,0,L203/H203)</f>
        <v>0.32637891430583421</v>
      </c>
      <c r="O203" s="14"/>
      <c r="P203" s="1">
        <f>SUM(OSRRefP22_21x_0)</f>
        <v>2373.25</v>
      </c>
      <c r="Q203" s="1"/>
      <c r="R203" s="5">
        <f t="shared" ref="R203:R205" si="112">IF(P$12=0,0,P203/P$12)</f>
        <v>1.04242046231946E-2</v>
      </c>
      <c r="S203" s="1"/>
      <c r="T203" s="1">
        <f>SUM(OSRRefT22_21x_0)</f>
        <v>1789.27</v>
      </c>
      <c r="U203" s="1"/>
      <c r="V203" s="5">
        <f t="shared" ref="V203:V205" si="113">IF(T$12=0,0,T203/T$12)</f>
        <v>5.0840434055529835E-3</v>
      </c>
      <c r="W203" s="1"/>
      <c r="X203" s="1">
        <f t="shared" ref="X203:X205" si="114">+P203-T203</f>
        <v>583.98</v>
      </c>
      <c r="Y203" s="1"/>
      <c r="Z203" s="5">
        <f t="shared" ref="Z203:Z205" si="115">IF(T203=0,0,X203/T203)</f>
        <v>0.32637891430583421</v>
      </c>
    </row>
    <row r="204" spans="1:26" s="24" customFormat="1" hidden="1" outlineLevel="2" x14ac:dyDescent="0.25">
      <c r="A204" s="29"/>
      <c r="B204" s="11" t="str">
        <f>CONCATENATE("          ", "6303", " - ", "DATA PHONE LINES")</f>
        <v xml:space="preserve">          6303 - DATA PHONE LINES</v>
      </c>
      <c r="C204" s="11"/>
      <c r="D204" s="8">
        <v>295</v>
      </c>
      <c r="E204" s="3"/>
      <c r="F204" s="7">
        <f t="shared" si="108"/>
        <v>1.2957507063488494E-3</v>
      </c>
      <c r="G204" s="3"/>
      <c r="H204" s="8">
        <v>295</v>
      </c>
      <c r="I204" s="3"/>
      <c r="J204" s="7">
        <f t="shared" si="109"/>
        <v>8.3821491705451392E-4</v>
      </c>
      <c r="K204" s="3"/>
      <c r="L204" s="8">
        <f t="shared" si="110"/>
        <v>0</v>
      </c>
      <c r="M204" s="3"/>
      <c r="N204" s="7">
        <f t="shared" si="111"/>
        <v>0</v>
      </c>
      <c r="O204" s="11"/>
      <c r="P204" s="8">
        <v>295</v>
      </c>
      <c r="Q204" s="3"/>
      <c r="R204" s="7">
        <f t="shared" si="112"/>
        <v>1.2957507063488494E-3</v>
      </c>
      <c r="S204" s="3"/>
      <c r="T204" s="8">
        <v>295</v>
      </c>
      <c r="U204" s="3"/>
      <c r="V204" s="7">
        <f t="shared" si="113"/>
        <v>8.3821491705451392E-4</v>
      </c>
      <c r="W204" s="3"/>
      <c r="X204" s="8">
        <f t="shared" si="114"/>
        <v>0</v>
      </c>
      <c r="Y204" s="3"/>
      <c r="Z204" s="7">
        <f t="shared" si="115"/>
        <v>0</v>
      </c>
    </row>
    <row r="205" spans="1:26" s="24" customFormat="1" hidden="1" outlineLevel="2" x14ac:dyDescent="0.25">
      <c r="A205" s="29"/>
      <c r="B205" s="11" t="str">
        <f>CONCATENATE("          ", "6309", " - ", "TELEPHONE")</f>
        <v xml:space="preserve">          6309 - TELEPHONE</v>
      </c>
      <c r="C205" s="11"/>
      <c r="D205" s="8">
        <v>2078.25</v>
      </c>
      <c r="E205" s="3"/>
      <c r="F205" s="7">
        <f t="shared" si="108"/>
        <v>9.1284539168457503E-3</v>
      </c>
      <c r="G205" s="3"/>
      <c r="H205" s="8">
        <v>1494.27</v>
      </c>
      <c r="I205" s="3"/>
      <c r="J205" s="7">
        <f t="shared" si="109"/>
        <v>4.2458284884984692E-3</v>
      </c>
      <c r="K205" s="3"/>
      <c r="L205" s="8">
        <f t="shared" si="110"/>
        <v>583.98</v>
      </c>
      <c r="M205" s="3"/>
      <c r="N205" s="7">
        <f t="shared" si="111"/>
        <v>0.39081290529823931</v>
      </c>
      <c r="O205" s="11"/>
      <c r="P205" s="8">
        <v>2078.25</v>
      </c>
      <c r="Q205" s="3"/>
      <c r="R205" s="7">
        <f t="shared" si="112"/>
        <v>9.1284539168457503E-3</v>
      </c>
      <c r="S205" s="3"/>
      <c r="T205" s="8">
        <v>1494.27</v>
      </c>
      <c r="U205" s="3"/>
      <c r="V205" s="7">
        <f t="shared" si="113"/>
        <v>4.2458284884984692E-3</v>
      </c>
      <c r="W205" s="3"/>
      <c r="X205" s="8">
        <f t="shared" si="114"/>
        <v>583.98</v>
      </c>
      <c r="Y205" s="3"/>
      <c r="Z205" s="7">
        <f t="shared" si="115"/>
        <v>0.39081290529823931</v>
      </c>
    </row>
    <row r="206" spans="1:26" s="27" customFormat="1" outlineLevel="1" collapsed="1" x14ac:dyDescent="0.25">
      <c r="A206" s="28"/>
      <c r="B206" s="14" t="str">
        <f>CONCATENATE("     ","Training                                          ")</f>
        <v xml:space="preserve">     Training                                          </v>
      </c>
      <c r="C206" s="14"/>
      <c r="D206" s="1">
        <f>SUM(OSRRefD22_22x_0)</f>
        <v>131.63</v>
      </c>
      <c r="E206" s="1"/>
      <c r="F206" s="5">
        <f t="shared" ref="F206:F211" si="116">IF(D$12=0,0,D206/D$12)</f>
        <v>5.7816835754813238E-4</v>
      </c>
      <c r="G206" s="1"/>
      <c r="H206" s="1">
        <f>SUM(OSRRefH22_22x_0)</f>
        <v>791.67</v>
      </c>
      <c r="I206" s="1"/>
      <c r="J206" s="5">
        <f t="shared" ref="J206:J211" si="117">IF(H$12=0,0,H206/H$12)</f>
        <v>2.2494562826594813E-3</v>
      </c>
      <c r="K206" s="1"/>
      <c r="L206" s="1">
        <f t="shared" ref="L206:L211" si="118">+D206-H206</f>
        <v>-660.04</v>
      </c>
      <c r="M206" s="1"/>
      <c r="N206" s="5">
        <f t="shared" ref="N206:N211" si="119">IF(H206=0,0,L206/H206)</f>
        <v>-0.83373122639483621</v>
      </c>
      <c r="O206" s="14"/>
      <c r="P206" s="1">
        <f>SUM(OSRRefP22_22x_0)</f>
        <v>131.63</v>
      </c>
      <c r="Q206" s="1"/>
      <c r="R206" s="5">
        <f t="shared" ref="R206:R211" si="120">IF(P$12=0,0,P206/P$12)</f>
        <v>5.7816835754813238E-4</v>
      </c>
      <c r="S206" s="1"/>
      <c r="T206" s="1">
        <f>SUM(OSRRefT22_22x_0)</f>
        <v>791.67</v>
      </c>
      <c r="U206" s="1"/>
      <c r="V206" s="5">
        <f t="shared" ref="V206:V211" si="121">IF(T$12=0,0,T206/T$12)</f>
        <v>2.2494562826594813E-3</v>
      </c>
      <c r="W206" s="1"/>
      <c r="X206" s="1">
        <f t="shared" ref="X206:X211" si="122">+P206-T206</f>
        <v>-660.04</v>
      </c>
      <c r="Y206" s="1"/>
      <c r="Z206" s="5">
        <f t="shared" ref="Z206:Z211" si="123">IF(T206=0,0,X206/T206)</f>
        <v>-0.83373122639483621</v>
      </c>
    </row>
    <row r="207" spans="1:26" s="24" customFormat="1" hidden="1" outlineLevel="2" x14ac:dyDescent="0.25">
      <c r="A207" s="29"/>
      <c r="B207" s="11" t="str">
        <f>CONCATENATE("          ", "6376", " - ", "TRAINING")</f>
        <v xml:space="preserve">          6376 - TRAINING</v>
      </c>
      <c r="C207" s="11"/>
      <c r="D207" s="8">
        <v>131.63</v>
      </c>
      <c r="E207" s="3"/>
      <c r="F207" s="7">
        <f t="shared" si="116"/>
        <v>5.7816835754813238E-4</v>
      </c>
      <c r="G207" s="3"/>
      <c r="H207" s="8">
        <v>791.67</v>
      </c>
      <c r="I207" s="3"/>
      <c r="J207" s="7">
        <f t="shared" si="117"/>
        <v>2.2494562826594813E-3</v>
      </c>
      <c r="K207" s="3"/>
      <c r="L207" s="8">
        <f t="shared" si="118"/>
        <v>-660.04</v>
      </c>
      <c r="M207" s="3"/>
      <c r="N207" s="7">
        <f t="shared" si="119"/>
        <v>-0.83373122639483621</v>
      </c>
      <c r="O207" s="11"/>
      <c r="P207" s="8">
        <v>131.63</v>
      </c>
      <c r="Q207" s="3"/>
      <c r="R207" s="7">
        <f t="shared" si="120"/>
        <v>5.7816835754813238E-4</v>
      </c>
      <c r="S207" s="3"/>
      <c r="T207" s="8">
        <v>791.67</v>
      </c>
      <c r="U207" s="3"/>
      <c r="V207" s="7">
        <f t="shared" si="121"/>
        <v>2.2494562826594813E-3</v>
      </c>
      <c r="W207" s="3"/>
      <c r="X207" s="8">
        <f t="shared" si="122"/>
        <v>-660.04</v>
      </c>
      <c r="Y207" s="3"/>
      <c r="Z207" s="7">
        <f t="shared" si="123"/>
        <v>-0.83373122639483621</v>
      </c>
    </row>
    <row r="208" spans="1:26" s="27" customFormat="1" outlineLevel="1" collapsed="1" x14ac:dyDescent="0.25">
      <c r="A208" s="28"/>
      <c r="B208" s="14" t="str">
        <f>CONCATENATE("     ","Travel                                            ")</f>
        <v xml:space="preserve">     Travel                                            </v>
      </c>
      <c r="C208" s="14"/>
      <c r="D208" s="1">
        <f>SUM(OSRRefD22_23x_0)</f>
        <v>275.20999999999998</v>
      </c>
      <c r="E208" s="1"/>
      <c r="F208" s="5">
        <f t="shared" si="116"/>
        <v>1.2088255996415824E-3</v>
      </c>
      <c r="G208" s="1"/>
      <c r="H208" s="1">
        <f>SUM(OSRRefH22_23x_0)</f>
        <v>221.68</v>
      </c>
      <c r="I208" s="1"/>
      <c r="J208" s="5">
        <f t="shared" si="117"/>
        <v>6.2988299258523613E-4</v>
      </c>
      <c r="K208" s="1"/>
      <c r="L208" s="1">
        <f t="shared" si="118"/>
        <v>53.529999999999973</v>
      </c>
      <c r="M208" s="1"/>
      <c r="N208" s="5">
        <f t="shared" si="119"/>
        <v>0.24147419704077938</v>
      </c>
      <c r="O208" s="14"/>
      <c r="P208" s="1">
        <f>SUM(OSRRefP22_23x_0)</f>
        <v>275.20999999999998</v>
      </c>
      <c r="Q208" s="1"/>
      <c r="R208" s="5">
        <f t="shared" si="120"/>
        <v>1.2088255996415824E-3</v>
      </c>
      <c r="S208" s="1"/>
      <c r="T208" s="1">
        <f>SUM(OSRRefT22_23x_0)</f>
        <v>221.68</v>
      </c>
      <c r="U208" s="1"/>
      <c r="V208" s="5">
        <f t="shared" si="121"/>
        <v>6.2988299258523613E-4</v>
      </c>
      <c r="W208" s="1"/>
      <c r="X208" s="1">
        <f t="shared" si="122"/>
        <v>53.529999999999973</v>
      </c>
      <c r="Y208" s="1"/>
      <c r="Z208" s="5">
        <f t="shared" si="123"/>
        <v>0.24147419704077938</v>
      </c>
    </row>
    <row r="209" spans="1:26" s="24" customFormat="1" hidden="1" outlineLevel="2" x14ac:dyDescent="0.25">
      <c r="A209" s="29"/>
      <c r="B209" s="11" t="str">
        <f>CONCATENATE("          ", "6292", " - ", "TRAVEL/CONFERENCE")</f>
        <v xml:space="preserve">          6292 - TRAVEL/CONFERENCE</v>
      </c>
      <c r="C209" s="11"/>
      <c r="D209" s="8">
        <v>0.16</v>
      </c>
      <c r="E209" s="3"/>
      <c r="F209" s="7">
        <f t="shared" si="116"/>
        <v>7.0278004412140989E-7</v>
      </c>
      <c r="G209" s="3"/>
      <c r="H209" s="8">
        <v>150.47999999999999</v>
      </c>
      <c r="I209" s="3"/>
      <c r="J209" s="7">
        <f t="shared" si="117"/>
        <v>4.2757484989275677E-4</v>
      </c>
      <c r="K209" s="3"/>
      <c r="L209" s="8">
        <f t="shared" si="118"/>
        <v>-150.32</v>
      </c>
      <c r="M209" s="3"/>
      <c r="N209" s="7">
        <f t="shared" si="119"/>
        <v>-0.99893673577884101</v>
      </c>
      <c r="O209" s="11"/>
      <c r="P209" s="8">
        <v>0.16</v>
      </c>
      <c r="Q209" s="3"/>
      <c r="R209" s="7">
        <f t="shared" si="120"/>
        <v>7.0278004412140989E-7</v>
      </c>
      <c r="S209" s="3"/>
      <c r="T209" s="8">
        <v>150.47999999999999</v>
      </c>
      <c r="U209" s="3"/>
      <c r="V209" s="7">
        <f t="shared" si="121"/>
        <v>4.2757484989275677E-4</v>
      </c>
      <c r="W209" s="3"/>
      <c r="X209" s="8">
        <f t="shared" si="122"/>
        <v>-150.32</v>
      </c>
      <c r="Y209" s="3"/>
      <c r="Z209" s="7">
        <f t="shared" si="123"/>
        <v>-0.99893673577884101</v>
      </c>
    </row>
    <row r="210" spans="1:26" s="24" customFormat="1" hidden="1" outlineLevel="2" x14ac:dyDescent="0.25">
      <c r="A210" s="29"/>
      <c r="B210" s="11" t="str">
        <f>CONCATENATE("          ", "6294", " - ", "TRAVEL OPERATIONAL")</f>
        <v xml:space="preserve">          6294 - TRAVEL OPERATIONAL</v>
      </c>
      <c r="C210" s="11"/>
      <c r="D210" s="8">
        <v>215.16</v>
      </c>
      <c r="E210" s="3"/>
      <c r="F210" s="7">
        <f t="shared" si="116"/>
        <v>9.4506346433226589E-4</v>
      </c>
      <c r="G210" s="3"/>
      <c r="H210" s="8"/>
      <c r="I210" s="3"/>
      <c r="J210" s="7">
        <f t="shared" si="117"/>
        <v>0</v>
      </c>
      <c r="K210" s="3"/>
      <c r="L210" s="8">
        <f t="shared" si="118"/>
        <v>215.16</v>
      </c>
      <c r="M210" s="3"/>
      <c r="N210" s="7">
        <f t="shared" si="119"/>
        <v>0</v>
      </c>
      <c r="O210" s="11"/>
      <c r="P210" s="8">
        <v>215.16</v>
      </c>
      <c r="Q210" s="3"/>
      <c r="R210" s="7">
        <f t="shared" si="120"/>
        <v>9.4506346433226589E-4</v>
      </c>
      <c r="S210" s="3"/>
      <c r="T210" s="8"/>
      <c r="U210" s="3"/>
      <c r="V210" s="7">
        <f t="shared" si="121"/>
        <v>0</v>
      </c>
      <c r="W210" s="3"/>
      <c r="X210" s="8">
        <f t="shared" si="122"/>
        <v>215.16</v>
      </c>
      <c r="Y210" s="3"/>
      <c r="Z210" s="7">
        <f t="shared" si="123"/>
        <v>0</v>
      </c>
    </row>
    <row r="211" spans="1:26" s="24" customFormat="1" hidden="1" outlineLevel="2" x14ac:dyDescent="0.25">
      <c r="A211" s="29"/>
      <c r="B211" s="11" t="str">
        <f>CONCATENATE("          ", "6298", " - ", "VEHICLE MILEAGE")</f>
        <v xml:space="preserve">          6298 - VEHICLE MILEAGE</v>
      </c>
      <c r="C211" s="11"/>
      <c r="D211" s="8">
        <v>59.89</v>
      </c>
      <c r="E211" s="3"/>
      <c r="F211" s="7">
        <f t="shared" si="116"/>
        <v>2.630593552651952E-4</v>
      </c>
      <c r="G211" s="3"/>
      <c r="H211" s="8">
        <v>71.2</v>
      </c>
      <c r="I211" s="3"/>
      <c r="J211" s="7">
        <f t="shared" si="117"/>
        <v>2.0230814269247931E-4</v>
      </c>
      <c r="K211" s="3"/>
      <c r="L211" s="8">
        <f t="shared" si="118"/>
        <v>-11.310000000000002</v>
      </c>
      <c r="M211" s="3"/>
      <c r="N211" s="7">
        <f t="shared" si="119"/>
        <v>-0.15884831460674159</v>
      </c>
      <c r="O211" s="11"/>
      <c r="P211" s="8">
        <v>59.89</v>
      </c>
      <c r="Q211" s="3"/>
      <c r="R211" s="7">
        <f t="shared" si="120"/>
        <v>2.630593552651952E-4</v>
      </c>
      <c r="S211" s="3"/>
      <c r="T211" s="8">
        <v>71.2</v>
      </c>
      <c r="U211" s="3"/>
      <c r="V211" s="7">
        <f t="shared" si="121"/>
        <v>2.0230814269247931E-4</v>
      </c>
      <c r="W211" s="3"/>
      <c r="X211" s="8">
        <f t="shared" si="122"/>
        <v>-11.310000000000002</v>
      </c>
      <c r="Y211" s="3"/>
      <c r="Z211" s="7">
        <f t="shared" si="123"/>
        <v>-0.15884831460674159</v>
      </c>
    </row>
    <row r="212" spans="1:26" s="27" customFormat="1" outlineLevel="1" collapsed="1" x14ac:dyDescent="0.25">
      <c r="A212" s="28"/>
      <c r="B212" s="14" t="str">
        <f>CONCATENATE("     ","Utilities                                         ")</f>
        <v xml:space="preserve">     Utilities                                         </v>
      </c>
      <c r="C212" s="14"/>
      <c r="D212" s="1">
        <f>SUM(OSRRefD22_24x_0)</f>
        <v>6161.46</v>
      </c>
      <c r="E212" s="1"/>
      <c r="F212" s="5">
        <f t="shared" ref="F212:F213" si="124">IF(D$12=0,0,D212/D$12)</f>
        <v>2.7063444566576885E-2</v>
      </c>
      <c r="G212" s="1"/>
      <c r="H212" s="1">
        <f>SUM(OSRRefH22_24x_0)</f>
        <v>5636</v>
      </c>
      <c r="I212" s="1"/>
      <c r="J212" s="5">
        <f t="shared" ref="J212:J213" si="125">IF(H$12=0,0,H212/H$12)</f>
        <v>1.6014167025488951E-2</v>
      </c>
      <c r="K212" s="1"/>
      <c r="L212" s="1">
        <f t="shared" ref="L212:L213" si="126">+D212-H212</f>
        <v>525.46</v>
      </c>
      <c r="M212" s="1"/>
      <c r="N212" s="5">
        <f t="shared" ref="N212:N213" si="127">IF(H212=0,0,L212/H212)</f>
        <v>9.3232789212207248E-2</v>
      </c>
      <c r="O212" s="14"/>
      <c r="P212" s="1">
        <f>SUM(OSRRefP22_24x_0)</f>
        <v>6161.46</v>
      </c>
      <c r="Q212" s="1"/>
      <c r="R212" s="5">
        <f t="shared" ref="R212:R213" si="128">IF(P$12=0,0,P212/P$12)</f>
        <v>2.7063444566576885E-2</v>
      </c>
      <c r="S212" s="1"/>
      <c r="T212" s="1">
        <f>SUM(OSRRefT22_24x_0)</f>
        <v>5636</v>
      </c>
      <c r="U212" s="1"/>
      <c r="V212" s="5">
        <f t="shared" ref="V212:V213" si="129">IF(T$12=0,0,T212/T$12)</f>
        <v>1.6014167025488951E-2</v>
      </c>
      <c r="W212" s="1"/>
      <c r="X212" s="1">
        <f t="shared" ref="X212:X213" si="130">+P212-T212</f>
        <v>525.46</v>
      </c>
      <c r="Y212" s="1"/>
      <c r="Z212" s="5">
        <f t="shared" ref="Z212:Z213" si="131">IF(T212=0,0,X212/T212)</f>
        <v>9.3232789212207248E-2</v>
      </c>
    </row>
    <row r="213" spans="1:26" s="24" customFormat="1" hidden="1" outlineLevel="2" x14ac:dyDescent="0.25">
      <c r="A213" s="29"/>
      <c r="B213" s="11" t="str">
        <f>CONCATENATE("          ", "6274", " - ", "UTILITIES")</f>
        <v xml:space="preserve">          6274 - UTILITIES</v>
      </c>
      <c r="C213" s="11"/>
      <c r="D213" s="8">
        <v>6161.46</v>
      </c>
      <c r="E213" s="3"/>
      <c r="F213" s="7">
        <f t="shared" si="124"/>
        <v>2.7063444566576885E-2</v>
      </c>
      <c r="G213" s="3"/>
      <c r="H213" s="8">
        <v>5636</v>
      </c>
      <c r="I213" s="3"/>
      <c r="J213" s="7">
        <f t="shared" si="125"/>
        <v>1.6014167025488951E-2</v>
      </c>
      <c r="K213" s="3"/>
      <c r="L213" s="8">
        <f t="shared" si="126"/>
        <v>525.46</v>
      </c>
      <c r="M213" s="3"/>
      <c r="N213" s="7">
        <f t="shared" si="127"/>
        <v>9.3232789212207248E-2</v>
      </c>
      <c r="O213" s="11"/>
      <c r="P213" s="8">
        <v>6161.46</v>
      </c>
      <c r="Q213" s="3"/>
      <c r="R213" s="7">
        <f t="shared" si="128"/>
        <v>2.7063444566576885E-2</v>
      </c>
      <c r="S213" s="3"/>
      <c r="T213" s="8">
        <v>5636</v>
      </c>
      <c r="U213" s="3"/>
      <c r="V213" s="7">
        <f t="shared" si="129"/>
        <v>1.6014167025488951E-2</v>
      </c>
      <c r="W213" s="3"/>
      <c r="X213" s="8">
        <f t="shared" si="130"/>
        <v>525.46</v>
      </c>
      <c r="Y213" s="3"/>
      <c r="Z213" s="7">
        <f t="shared" si="131"/>
        <v>9.3232789212207248E-2</v>
      </c>
    </row>
    <row r="214" spans="1:26" s="61" customFormat="1" x14ac:dyDescent="0.25">
      <c r="A214" s="37"/>
      <c r="B214" s="37"/>
      <c r="C214" s="37"/>
      <c r="D214" s="1"/>
      <c r="E214" s="1"/>
      <c r="F214" s="5"/>
      <c r="G214" s="1"/>
      <c r="H214" s="1"/>
      <c r="I214" s="1"/>
      <c r="J214" s="5"/>
      <c r="K214" s="1"/>
      <c r="L214" s="1"/>
      <c r="M214" s="1"/>
      <c r="N214" s="5"/>
      <c r="O214" s="37"/>
      <c r="P214" s="1"/>
      <c r="Q214" s="1"/>
      <c r="R214" s="5"/>
      <c r="S214" s="1"/>
      <c r="T214" s="1"/>
      <c r="U214" s="1"/>
      <c r="V214" s="5"/>
      <c r="W214" s="1"/>
      <c r="X214" s="1"/>
      <c r="Y214" s="1"/>
      <c r="Z214" s="5"/>
    </row>
    <row r="215" spans="1:26" s="23" customFormat="1" collapsed="1" x14ac:dyDescent="0.25">
      <c r="A215" s="10"/>
      <c r="B215" s="25" t="s">
        <v>0</v>
      </c>
      <c r="C215" s="10"/>
      <c r="D215" s="4">
        <f>SUM(OSRRefD25x_0)</f>
        <v>197872.55</v>
      </c>
      <c r="E215" s="4"/>
      <c r="F215" s="12">
        <f t="shared" ref="F215:F221" si="132">IF(D$12=0,0,D215/D$12)</f>
        <v>0.86913049637134909</v>
      </c>
      <c r="G215" s="4"/>
      <c r="H215" s="4">
        <f>SUM(OSRRefH25x_0)</f>
        <v>70867.109999999986</v>
      </c>
      <c r="I215" s="4"/>
      <c r="J215" s="12">
        <f t="shared" ref="J215:J221" si="133">IF(H$12=0,0,H215/H$12)</f>
        <v>0.20136226688319694</v>
      </c>
      <c r="K215" s="4"/>
      <c r="L215" s="4">
        <f t="shared" ref="L215:L221" si="134">+D215-H215</f>
        <v>127005.44</v>
      </c>
      <c r="M215" s="4"/>
      <c r="N215" s="12">
        <f t="shared" ref="N215:N221" si="135">IF(H215=0,0,L215/H215)</f>
        <v>1.7921633886297892</v>
      </c>
      <c r="O215" s="10"/>
      <c r="P215" s="4">
        <f>SUM(OSRRefP25x_0)</f>
        <v>197872.55</v>
      </c>
      <c r="Q215" s="4"/>
      <c r="R215" s="12">
        <f t="shared" ref="R215:R221" si="136">IF(P$12=0,0,P215/P$12)</f>
        <v>0.86913049637134909</v>
      </c>
      <c r="S215" s="4"/>
      <c r="T215" s="4">
        <f>SUM(OSRRefT25x_0)</f>
        <v>70867.109999999986</v>
      </c>
      <c r="U215" s="4"/>
      <c r="V215" s="12">
        <f t="shared" ref="V215:V221" si="137">IF(T$12=0,0,T215/T$12)</f>
        <v>0.20136226688319694</v>
      </c>
      <c r="W215" s="4"/>
      <c r="X215" s="4">
        <f t="shared" ref="X215:X221" si="138">+P215-T215</f>
        <v>127005.44</v>
      </c>
      <c r="Y215" s="4"/>
      <c r="Z215" s="12">
        <f t="shared" ref="Z215:Z221" si="139">IF(T215=0,0,X215/T215)</f>
        <v>1.7921633886297892</v>
      </c>
    </row>
    <row r="216" spans="1:26" s="24" customFormat="1" hidden="1" outlineLevel="1" x14ac:dyDescent="0.25">
      <c r="A216" s="50"/>
      <c r="B216" s="11" t="str">
        <f>CONCATENATE("          ", "4098", " - ", "TAXABLE SALES-GRAD RENTALS")</f>
        <v xml:space="preserve">          4098 - TAXABLE SALES-GRAD RENTALS</v>
      </c>
      <c r="C216" s="11"/>
      <c r="D216" s="3">
        <f t="shared" ref="D216:D217" si="140">0</f>
        <v>0</v>
      </c>
      <c r="E216" s="3"/>
      <c r="F216" s="22">
        <f t="shared" si="132"/>
        <v>0</v>
      </c>
      <c r="G216" s="3"/>
      <c r="H216" s="3">
        <f>--74.7</f>
        <v>74.7</v>
      </c>
      <c r="I216" s="3"/>
      <c r="J216" s="22">
        <f t="shared" si="133"/>
        <v>2.1225306543719386E-4</v>
      </c>
      <c r="K216" s="3"/>
      <c r="L216" s="3">
        <f t="shared" si="134"/>
        <v>-74.7</v>
      </c>
      <c r="M216" s="3"/>
      <c r="N216" s="22">
        <f t="shared" si="135"/>
        <v>-1</v>
      </c>
      <c r="O216" s="11"/>
      <c r="P216" s="3">
        <f t="shared" ref="P216:P217" si="141">0</f>
        <v>0</v>
      </c>
      <c r="Q216" s="3"/>
      <c r="R216" s="22">
        <f t="shared" si="136"/>
        <v>0</v>
      </c>
      <c r="S216" s="3"/>
      <c r="T216" s="3">
        <f>--74.7</f>
        <v>74.7</v>
      </c>
      <c r="U216" s="3"/>
      <c r="V216" s="22">
        <f t="shared" si="137"/>
        <v>2.1225306543719386E-4</v>
      </c>
      <c r="W216" s="3"/>
      <c r="X216" s="3">
        <f t="shared" si="138"/>
        <v>-74.7</v>
      </c>
      <c r="Y216" s="3"/>
      <c r="Z216" s="22">
        <f t="shared" si="139"/>
        <v>-1</v>
      </c>
    </row>
    <row r="217" spans="1:26" s="24" customFormat="1" hidden="1" outlineLevel="1" x14ac:dyDescent="0.25">
      <c r="A217" s="50"/>
      <c r="B217" s="11" t="str">
        <f>CONCATENATE("          ", "4198", " - ", "NON-TAXABLE SALES-GRAD RENTALS")</f>
        <v xml:space="preserve">          4198 - NON-TAXABLE SALES-GRAD RENTALS</v>
      </c>
      <c r="C217" s="11"/>
      <c r="D217" s="3">
        <f t="shared" si="140"/>
        <v>0</v>
      </c>
      <c r="E217" s="3"/>
      <c r="F217" s="22">
        <f t="shared" si="132"/>
        <v>0</v>
      </c>
      <c r="G217" s="3"/>
      <c r="H217" s="3">
        <f>--255</f>
        <v>255</v>
      </c>
      <c r="I217" s="3"/>
      <c r="J217" s="22">
        <f t="shared" si="133"/>
        <v>7.2455865711491883E-4</v>
      </c>
      <c r="K217" s="3"/>
      <c r="L217" s="3">
        <f t="shared" si="134"/>
        <v>-255</v>
      </c>
      <c r="M217" s="3"/>
      <c r="N217" s="22">
        <f t="shared" si="135"/>
        <v>-1</v>
      </c>
      <c r="O217" s="11"/>
      <c r="P217" s="3">
        <f t="shared" si="141"/>
        <v>0</v>
      </c>
      <c r="Q217" s="3"/>
      <c r="R217" s="22">
        <f t="shared" si="136"/>
        <v>0</v>
      </c>
      <c r="S217" s="3"/>
      <c r="T217" s="3">
        <f>--255</f>
        <v>255</v>
      </c>
      <c r="U217" s="3"/>
      <c r="V217" s="22">
        <f t="shared" si="137"/>
        <v>7.2455865711491883E-4</v>
      </c>
      <c r="W217" s="3"/>
      <c r="X217" s="3">
        <f t="shared" si="138"/>
        <v>-255</v>
      </c>
      <c r="Y217" s="3"/>
      <c r="Z217" s="22">
        <f t="shared" si="139"/>
        <v>-1</v>
      </c>
    </row>
    <row r="218" spans="1:26" s="24" customFormat="1" hidden="1" outlineLevel="1" x14ac:dyDescent="0.25">
      <c r="A218" s="50"/>
      <c r="B218" s="11" t="str">
        <f>CONCATENATE("          ", "9150", " - ", "MISC. INCOME")</f>
        <v xml:space="preserve">          9150 - MISC. INCOME</v>
      </c>
      <c r="C218" s="11"/>
      <c r="D218" s="3">
        <f>--35734.26</f>
        <v>35734.26</v>
      </c>
      <c r="E218" s="3"/>
      <c r="F218" s="22">
        <f t="shared" si="132"/>
        <v>0.15695828012153706</v>
      </c>
      <c r="G218" s="3"/>
      <c r="H218" s="3">
        <f>--70631.9</f>
        <v>70631.899999999994</v>
      </c>
      <c r="I218" s="3"/>
      <c r="J218" s="22">
        <f t="shared" si="133"/>
        <v>0.20069393966068716</v>
      </c>
      <c r="K218" s="3"/>
      <c r="L218" s="3">
        <f t="shared" si="134"/>
        <v>-34897.639999999992</v>
      </c>
      <c r="M218" s="3"/>
      <c r="N218" s="22">
        <f t="shared" si="135"/>
        <v>-0.4940776051614072</v>
      </c>
      <c r="O218" s="11"/>
      <c r="P218" s="3">
        <f>--35734.26</f>
        <v>35734.26</v>
      </c>
      <c r="Q218" s="3"/>
      <c r="R218" s="22">
        <f t="shared" si="136"/>
        <v>0.15695828012153706</v>
      </c>
      <c r="S218" s="3"/>
      <c r="T218" s="3">
        <f>--70631.9</f>
        <v>70631.899999999994</v>
      </c>
      <c r="U218" s="3"/>
      <c r="V218" s="22">
        <f t="shared" si="137"/>
        <v>0.20069393966068716</v>
      </c>
      <c r="W218" s="3"/>
      <c r="X218" s="3">
        <f t="shared" si="138"/>
        <v>-34897.639999999992</v>
      </c>
      <c r="Y218" s="3"/>
      <c r="Z218" s="22">
        <f t="shared" si="139"/>
        <v>-0.4940776051614072</v>
      </c>
    </row>
    <row r="219" spans="1:26" s="24" customFormat="1" hidden="1" outlineLevel="1" x14ac:dyDescent="0.25">
      <c r="A219" s="50"/>
      <c r="B219" s="11" t="str">
        <f>CONCATENATE("          ", "9151", " - ", "MISC. INCOME")</f>
        <v xml:space="preserve">          9151 - MISC. INCOME</v>
      </c>
      <c r="C219" s="11"/>
      <c r="D219" s="3">
        <f>0</f>
        <v>0</v>
      </c>
      <c r="E219" s="3"/>
      <c r="F219" s="22">
        <f t="shared" si="132"/>
        <v>0</v>
      </c>
      <c r="G219" s="3"/>
      <c r="H219" s="3">
        <f>-94.49</f>
        <v>-94.49</v>
      </c>
      <c r="I219" s="3"/>
      <c r="J219" s="22">
        <f t="shared" si="133"/>
        <v>-2.6848450004230854E-4</v>
      </c>
      <c r="K219" s="3"/>
      <c r="L219" s="3">
        <f t="shared" si="134"/>
        <v>94.49</v>
      </c>
      <c r="M219" s="3"/>
      <c r="N219" s="22">
        <f t="shared" si="135"/>
        <v>-1</v>
      </c>
      <c r="O219" s="11"/>
      <c r="P219" s="3">
        <f>0</f>
        <v>0</v>
      </c>
      <c r="Q219" s="3"/>
      <c r="R219" s="22">
        <f t="shared" si="136"/>
        <v>0</v>
      </c>
      <c r="S219" s="3"/>
      <c r="T219" s="3">
        <f>-94.49</f>
        <v>-94.49</v>
      </c>
      <c r="U219" s="3"/>
      <c r="V219" s="22">
        <f t="shared" si="137"/>
        <v>-2.6848450004230854E-4</v>
      </c>
      <c r="W219" s="3"/>
      <c r="X219" s="3">
        <f t="shared" si="138"/>
        <v>94.49</v>
      </c>
      <c r="Y219" s="3"/>
      <c r="Z219" s="22">
        <f t="shared" si="139"/>
        <v>-1</v>
      </c>
    </row>
    <row r="220" spans="1:26" s="24" customFormat="1" hidden="1" outlineLevel="1" x14ac:dyDescent="0.25">
      <c r="A220" s="50"/>
      <c r="B220" s="11" t="str">
        <f>CONCATENATE("          ", "9152", " - ", "MISC. INCOME")</f>
        <v xml:space="preserve">          9152 - MISC. INCOME</v>
      </c>
      <c r="C220" s="11"/>
      <c r="D220" s="3">
        <f>--1474.39</f>
        <v>1474.39</v>
      </c>
      <c r="E220" s="3"/>
      <c r="F220" s="22">
        <f t="shared" si="132"/>
        <v>6.4760741828260348E-3</v>
      </c>
      <c r="G220" s="3"/>
      <c r="H220" s="3">
        <f t="shared" ref="H220:H221" si="142">0</f>
        <v>0</v>
      </c>
      <c r="I220" s="3"/>
      <c r="J220" s="22">
        <f t="shared" si="133"/>
        <v>0</v>
      </c>
      <c r="K220" s="3"/>
      <c r="L220" s="3">
        <f t="shared" si="134"/>
        <v>1474.39</v>
      </c>
      <c r="M220" s="3"/>
      <c r="N220" s="22">
        <f t="shared" si="135"/>
        <v>0</v>
      </c>
      <c r="O220" s="11"/>
      <c r="P220" s="3">
        <f>--1474.39</f>
        <v>1474.39</v>
      </c>
      <c r="Q220" s="3"/>
      <c r="R220" s="22">
        <f t="shared" si="136"/>
        <v>6.4760741828260348E-3</v>
      </c>
      <c r="S220" s="3"/>
      <c r="T220" s="3">
        <f t="shared" ref="T220:T221" si="143">0</f>
        <v>0</v>
      </c>
      <c r="U220" s="3"/>
      <c r="V220" s="22">
        <f t="shared" si="137"/>
        <v>0</v>
      </c>
      <c r="W220" s="3"/>
      <c r="X220" s="3">
        <f t="shared" si="138"/>
        <v>1474.39</v>
      </c>
      <c r="Y220" s="3"/>
      <c r="Z220" s="22">
        <f t="shared" si="139"/>
        <v>0</v>
      </c>
    </row>
    <row r="221" spans="1:26" s="24" customFormat="1" hidden="1" outlineLevel="1" x14ac:dyDescent="0.25">
      <c r="A221" s="50"/>
      <c r="B221" s="11" t="str">
        <f>CONCATENATE("          ", "9163", " - ", "MISC. INCOME")</f>
        <v xml:space="preserve">          9163 - MISC. INCOME</v>
      </c>
      <c r="C221" s="11"/>
      <c r="D221" s="3">
        <f>--160663.9</f>
        <v>160663.9</v>
      </c>
      <c r="E221" s="3"/>
      <c r="F221" s="22">
        <f t="shared" si="132"/>
        <v>0.70569614206698605</v>
      </c>
      <c r="G221" s="3"/>
      <c r="H221" s="3">
        <f t="shared" si="142"/>
        <v>0</v>
      </c>
      <c r="I221" s="3"/>
      <c r="J221" s="22">
        <f t="shared" si="133"/>
        <v>0</v>
      </c>
      <c r="K221" s="3"/>
      <c r="L221" s="3">
        <f t="shared" si="134"/>
        <v>160663.9</v>
      </c>
      <c r="M221" s="3"/>
      <c r="N221" s="22">
        <f t="shared" si="135"/>
        <v>0</v>
      </c>
      <c r="O221" s="11"/>
      <c r="P221" s="3">
        <f>--160663.9</f>
        <v>160663.9</v>
      </c>
      <c r="Q221" s="3"/>
      <c r="R221" s="22">
        <f t="shared" si="136"/>
        <v>0.70569614206698605</v>
      </c>
      <c r="S221" s="3"/>
      <c r="T221" s="3">
        <f t="shared" si="143"/>
        <v>0</v>
      </c>
      <c r="U221" s="3"/>
      <c r="V221" s="22">
        <f t="shared" si="137"/>
        <v>0</v>
      </c>
      <c r="W221" s="3"/>
      <c r="X221" s="3">
        <f t="shared" si="138"/>
        <v>160663.9</v>
      </c>
      <c r="Y221" s="3"/>
      <c r="Z221" s="22">
        <f t="shared" si="139"/>
        <v>0</v>
      </c>
    </row>
    <row r="222" spans="1:26" x14ac:dyDescent="0.25">
      <c r="A222" s="9"/>
      <c r="B222" s="10"/>
      <c r="C222" s="10"/>
      <c r="D222" s="2"/>
      <c r="E222" s="2"/>
      <c r="F222" s="6"/>
      <c r="G222" s="2"/>
      <c r="H222" s="2"/>
      <c r="I222" s="2"/>
      <c r="J222" s="6"/>
      <c r="K222" s="2"/>
      <c r="L222" s="2"/>
      <c r="M222" s="2"/>
      <c r="N222" s="6"/>
      <c r="O222" s="10"/>
      <c r="P222" s="2"/>
      <c r="Q222" s="2"/>
      <c r="R222" s="6"/>
      <c r="S222" s="2"/>
      <c r="T222" s="2"/>
      <c r="U222" s="2"/>
      <c r="V222" s="6"/>
      <c r="W222" s="2"/>
      <c r="X222" s="2"/>
      <c r="Y222" s="2"/>
      <c r="Z222" s="6"/>
    </row>
    <row r="223" spans="1:26" s="23" customFormat="1" x14ac:dyDescent="0.25">
      <c r="A223" s="10"/>
      <c r="B223" s="26" t="s">
        <v>3</v>
      </c>
      <c r="C223" s="26"/>
      <c r="D223" s="19">
        <f>+D126-D128+D215</f>
        <v>-34456.270000000019</v>
      </c>
      <c r="E223" s="13"/>
      <c r="F223" s="20">
        <f>IF(D$12=0,0,D223/D$12)</f>
        <v>-0.15134486844287015</v>
      </c>
      <c r="G223" s="13"/>
      <c r="H223" s="19">
        <f>+H126-H128+H215</f>
        <v>-126882.22999999989</v>
      </c>
      <c r="I223" s="13"/>
      <c r="J223" s="20">
        <f>IF(H$12=0,0,H223/H$12)</f>
        <v>-0.36052399286488701</v>
      </c>
      <c r="K223" s="16"/>
      <c r="L223" s="19">
        <f>+D223-H223</f>
        <v>92425.959999999875</v>
      </c>
      <c r="M223" s="16"/>
      <c r="N223" s="20">
        <f>IF(H223=0,0,L223/H223)</f>
        <v>-0.72843896265064034</v>
      </c>
      <c r="O223" s="25"/>
      <c r="P223" s="19">
        <f>+P126-P128+P215</f>
        <v>-34456.270000000019</v>
      </c>
      <c r="Q223" s="13"/>
      <c r="R223" s="20">
        <f>IF(P$12=0,0,P223/P$12)</f>
        <v>-0.15134486844287015</v>
      </c>
      <c r="S223" s="13"/>
      <c r="T223" s="19">
        <f>+T126-T128+T215</f>
        <v>-126882.22999999989</v>
      </c>
      <c r="U223" s="13"/>
      <c r="V223" s="20">
        <f>IF(T$12=0,0,T223/T$12)</f>
        <v>-0.36052399286488701</v>
      </c>
      <c r="W223" s="16"/>
      <c r="X223" s="19">
        <f>+P223-T223</f>
        <v>92425.959999999875</v>
      </c>
      <c r="Y223" s="16"/>
      <c r="Z223" s="20">
        <f>IF(T223=0,0,X223/T223)</f>
        <v>-0.72843896265064034</v>
      </c>
    </row>
    <row r="224" spans="1:26" x14ac:dyDescent="0.25">
      <c r="A224" s="9"/>
      <c r="B224" s="10"/>
      <c r="C224" s="9"/>
      <c r="D224" s="2"/>
      <c r="E224" s="2"/>
      <c r="F224" s="6"/>
      <c r="G224" s="2"/>
      <c r="H224" s="2"/>
      <c r="I224" s="2"/>
      <c r="J224" s="6"/>
      <c r="K224" s="2"/>
      <c r="L224" s="2"/>
      <c r="M224" s="2"/>
      <c r="N224" s="6"/>
      <c r="P224" s="2"/>
      <c r="Q224" s="2"/>
      <c r="R224" s="6"/>
      <c r="S224" s="2"/>
      <c r="T224" s="2"/>
      <c r="U224" s="2"/>
      <c r="V224" s="6"/>
      <c r="W224" s="2"/>
      <c r="X224" s="2"/>
      <c r="Y224" s="2"/>
      <c r="Z224" s="6"/>
    </row>
    <row r="225" spans="1:26" s="23" customFormat="1" x14ac:dyDescent="0.25">
      <c r="A225" s="51"/>
      <c r="B225" s="10" t="s">
        <v>13</v>
      </c>
      <c r="C225" s="10"/>
      <c r="D225" s="4">
        <v>114653.25</v>
      </c>
      <c r="E225" s="4"/>
      <c r="F225" s="12">
        <f>IF(D$12=0,0,D225/D$12)</f>
        <v>0.50360010058539395</v>
      </c>
      <c r="G225" s="4"/>
      <c r="H225" s="4">
        <v>73178.37000000001</v>
      </c>
      <c r="I225" s="4"/>
      <c r="J225" s="12">
        <f>IF(H$12=0,0,H225/H$12)</f>
        <v>0.20792949606689673</v>
      </c>
      <c r="K225" s="4"/>
      <c r="L225" s="4">
        <f>+D225-H225</f>
        <v>41474.87999999999</v>
      </c>
      <c r="M225" s="4"/>
      <c r="N225" s="12">
        <f>IF(H225=0,0,L225/H225)</f>
        <v>0.56676419548563306</v>
      </c>
      <c r="O225" s="10"/>
      <c r="P225" s="4">
        <v>114653.25</v>
      </c>
      <c r="Q225" s="4"/>
      <c r="R225" s="12">
        <f>IF(P$12=0,0,P225/P$12)</f>
        <v>0.50360010058539395</v>
      </c>
      <c r="S225" s="4"/>
      <c r="T225" s="4">
        <v>73178.37000000001</v>
      </c>
      <c r="U225" s="4"/>
      <c r="V225" s="12">
        <f>IF(T$12=0,0,T225/T$12)</f>
        <v>0.20792949606689673</v>
      </c>
      <c r="W225" s="4"/>
      <c r="X225" s="4">
        <f>+P225-T225</f>
        <v>41474.87999999999</v>
      </c>
      <c r="Y225" s="4"/>
      <c r="Z225" s="12">
        <f>IF(T225=0,0,X225/T225)</f>
        <v>0.56676419548563306</v>
      </c>
    </row>
    <row r="226" spans="1:26" x14ac:dyDescent="0.25">
      <c r="A226" s="9"/>
      <c r="B226" s="10"/>
      <c r="C226" s="10"/>
      <c r="D226" s="2"/>
      <c r="E226" s="2"/>
      <c r="F226" s="6"/>
      <c r="G226" s="2"/>
      <c r="H226" s="2"/>
      <c r="I226" s="2"/>
      <c r="J226" s="6"/>
      <c r="K226" s="2"/>
      <c r="L226" s="2"/>
      <c r="M226" s="2"/>
      <c r="N226" s="6"/>
      <c r="O226" s="10"/>
      <c r="P226" s="2"/>
      <c r="Q226" s="2"/>
      <c r="R226" s="6"/>
      <c r="S226" s="2"/>
      <c r="T226" s="2"/>
      <c r="U226" s="2"/>
      <c r="V226" s="6"/>
      <c r="W226" s="2"/>
      <c r="X226" s="2"/>
      <c r="Y226" s="2"/>
      <c r="Z226" s="6"/>
    </row>
    <row r="227" spans="1:26" s="23" customFormat="1" ht="15.75" thickBot="1" x14ac:dyDescent="0.3">
      <c r="A227" s="10"/>
      <c r="B227" s="26" t="s">
        <v>4</v>
      </c>
      <c r="C227" s="26"/>
      <c r="D227" s="35">
        <f>+D223-D225</f>
        <v>-149109.52000000002</v>
      </c>
      <c r="E227" s="13"/>
      <c r="F227" s="30">
        <f>IF(D$12=0,0,D227/D$12)</f>
        <v>-0.65494496902826405</v>
      </c>
      <c r="G227" s="13"/>
      <c r="H227" s="35">
        <f>+H223-H225</f>
        <v>-200060.59999999992</v>
      </c>
      <c r="I227" s="13"/>
      <c r="J227" s="30">
        <f>IF(H$12=0,0,H227/H$12)</f>
        <v>-0.56845348893178382</v>
      </c>
      <c r="K227" s="16"/>
      <c r="L227" s="35">
        <f>D227-H227</f>
        <v>50951.0799999999</v>
      </c>
      <c r="M227" s="16"/>
      <c r="N227" s="30">
        <f>IF(H227=0,0,L227/H227)</f>
        <v>-0.25467823249555344</v>
      </c>
      <c r="O227" s="25"/>
      <c r="P227" s="35">
        <f>+P223-P225</f>
        <v>-149109.52000000002</v>
      </c>
      <c r="Q227" s="13"/>
      <c r="R227" s="30">
        <f>IF(P$12=0,0,P227/P$12)</f>
        <v>-0.65494496902826405</v>
      </c>
      <c r="S227" s="13"/>
      <c r="T227" s="35">
        <f>+T223-T225</f>
        <v>-200060.59999999992</v>
      </c>
      <c r="U227" s="13"/>
      <c r="V227" s="30">
        <f>IF(T$12=0,0,T227/T$12)</f>
        <v>-0.56845348893178382</v>
      </c>
      <c r="W227" s="16"/>
      <c r="X227" s="35">
        <f>P227-T227</f>
        <v>50951.0799999999</v>
      </c>
      <c r="Y227" s="16"/>
      <c r="Z227" s="30">
        <f>IF(T227=0,0,X227/T227)</f>
        <v>-0.25467823249555344</v>
      </c>
    </row>
    <row r="228" spans="1:26" ht="15.75" thickTop="1" x14ac:dyDescent="0.25">
      <c r="A228" s="9"/>
      <c r="B228" s="9"/>
      <c r="C228" s="9"/>
      <c r="D228" s="2"/>
      <c r="E228" s="2"/>
      <c r="F228" s="6"/>
      <c r="G228" s="2"/>
      <c r="H228" s="2"/>
      <c r="I228" s="2"/>
      <c r="J228" s="6"/>
      <c r="K228" s="2"/>
      <c r="L228" s="2"/>
      <c r="M228" s="2"/>
      <c r="N228" s="6"/>
      <c r="P228" s="2"/>
      <c r="Q228" s="2"/>
      <c r="R228" s="6"/>
      <c r="S228" s="2"/>
      <c r="T228" s="2"/>
      <c r="U228" s="2"/>
      <c r="V228" s="6"/>
      <c r="W228" s="2"/>
      <c r="X228" s="2"/>
      <c r="Y228" s="2"/>
      <c r="Z228" s="6"/>
    </row>
    <row r="229" spans="1:26" x14ac:dyDescent="0.25">
      <c r="A229" s="9"/>
      <c r="B229" s="9"/>
      <c r="C229" s="9"/>
      <c r="D229" s="2"/>
      <c r="E229" s="2"/>
      <c r="F229" s="6"/>
      <c r="G229" s="2"/>
      <c r="H229" s="2"/>
      <c r="I229" s="2"/>
      <c r="J229" s="6"/>
      <c r="K229" s="2"/>
      <c r="L229" s="2"/>
      <c r="M229" s="2"/>
      <c r="N229" s="6"/>
      <c r="P229" s="2"/>
      <c r="Q229" s="2"/>
      <c r="R229" s="6"/>
      <c r="S229" s="2"/>
      <c r="T229" s="2"/>
      <c r="U229" s="2"/>
      <c r="V229" s="6"/>
      <c r="W229" s="2"/>
      <c r="X229" s="2"/>
      <c r="Y229" s="2"/>
      <c r="Z229" s="6"/>
    </row>
    <row r="230" spans="1:26" s="23" customFormat="1" ht="15.75" thickBot="1" x14ac:dyDescent="0.3">
      <c r="A230" s="10"/>
      <c r="B230" s="26" t="s">
        <v>5</v>
      </c>
      <c r="C230" s="26"/>
      <c r="D230" s="31">
        <f>SUM(D227:D229)</f>
        <v>-149109.52000000002</v>
      </c>
      <c r="E230" s="13"/>
      <c r="F230" s="32">
        <f>IF(D$12=0,0,D230/D$12)</f>
        <v>-0.65494496902826405</v>
      </c>
      <c r="G230" s="13"/>
      <c r="H230" s="31">
        <f>SUM(H227:H229)</f>
        <v>-200060.59999999992</v>
      </c>
      <c r="I230" s="13"/>
      <c r="J230" s="32">
        <f>IF(H$12=0,0,H230/H$12)</f>
        <v>-0.56845348893178382</v>
      </c>
      <c r="K230" s="16"/>
      <c r="L230" s="31">
        <f>+D230-H230</f>
        <v>50951.0799999999</v>
      </c>
      <c r="M230" s="16"/>
      <c r="N230" s="32">
        <f>IF(H230=0,0,L230/H230)</f>
        <v>-0.25467823249555344</v>
      </c>
      <c r="O230" s="25"/>
      <c r="P230" s="31">
        <f>SUM(P227:P229)</f>
        <v>-149109.52000000002</v>
      </c>
      <c r="Q230" s="13"/>
      <c r="R230" s="32">
        <f>IF(P$12=0,0,P230/P$12)</f>
        <v>-0.65494496902826405</v>
      </c>
      <c r="S230" s="13"/>
      <c r="T230" s="31">
        <f>SUM(T227:T229)</f>
        <v>-200060.59999999992</v>
      </c>
      <c r="U230" s="13"/>
      <c r="V230" s="32">
        <f>IF(T$12=0,0,T230/T$12)</f>
        <v>-0.56845348893178382</v>
      </c>
      <c r="W230" s="16"/>
      <c r="X230" s="31">
        <f>+P230-T230</f>
        <v>50951.0799999999</v>
      </c>
      <c r="Y230" s="16"/>
      <c r="Z230" s="32">
        <f>IF(T230=0,0,X230/T230)</f>
        <v>-0.25467823249555344</v>
      </c>
    </row>
    <row r="231" spans="1:26" ht="15.75" thickTop="1" x14ac:dyDescent="0.25">
      <c r="A231" s="9"/>
      <c r="C231" s="9"/>
      <c r="D231" s="17"/>
      <c r="E231" s="17"/>
      <c r="G231" s="17"/>
      <c r="H231" s="17"/>
      <c r="I231" s="17"/>
      <c r="J231" s="43"/>
      <c r="K231" s="17"/>
      <c r="L231" s="17"/>
      <c r="M231" s="17"/>
      <c r="P231" s="17"/>
      <c r="Q231" s="17"/>
      <c r="R231" s="43"/>
      <c r="S231" s="17"/>
      <c r="T231" s="17"/>
      <c r="U231" s="17"/>
      <c r="V231" s="43"/>
      <c r="W231" s="17"/>
      <c r="X231" s="17"/>
    </row>
    <row r="232" spans="1:26" x14ac:dyDescent="0.25">
      <c r="A232" s="9"/>
      <c r="B232" s="59">
        <v>44109.41360428241</v>
      </c>
      <c r="D232" s="17"/>
      <c r="E232" s="17"/>
      <c r="G232" s="17"/>
      <c r="H232" s="17"/>
      <c r="I232" s="17"/>
      <c r="J232" s="43"/>
      <c r="K232" s="17"/>
      <c r="L232" s="17"/>
      <c r="M232" s="17"/>
      <c r="P232" s="17"/>
      <c r="Q232" s="17"/>
      <c r="R232" s="43"/>
      <c r="S232" s="17"/>
      <c r="T232" s="17"/>
      <c r="U232" s="17"/>
      <c r="V232" s="43"/>
      <c r="W232" s="17"/>
      <c r="X232" s="17"/>
    </row>
    <row r="233" spans="1:26" x14ac:dyDescent="0.25">
      <c r="A233" s="9"/>
      <c r="B233" s="62" t="s">
        <v>313</v>
      </c>
      <c r="D233" s="17"/>
      <c r="E233" s="17"/>
      <c r="G233" s="17"/>
      <c r="H233" s="17"/>
      <c r="I233" s="17"/>
      <c r="J233" s="43"/>
      <c r="K233" s="17"/>
      <c r="L233" s="17"/>
      <c r="M233" s="17"/>
      <c r="P233" s="17"/>
      <c r="Q233" s="17"/>
      <c r="R233" s="43"/>
      <c r="S233" s="17"/>
      <c r="T233" s="17"/>
      <c r="U233" s="17"/>
      <c r="V233" s="43"/>
      <c r="W233" s="17"/>
      <c r="X233" s="17"/>
    </row>
    <row r="234" spans="1:26" x14ac:dyDescent="0.25">
      <c r="A234" s="9"/>
      <c r="B234" s="56"/>
      <c r="D234" s="17"/>
      <c r="E234" s="17"/>
      <c r="G234" s="17"/>
      <c r="H234" s="17"/>
      <c r="I234" s="17"/>
      <c r="J234" s="43"/>
      <c r="K234" s="17"/>
      <c r="L234" s="17"/>
      <c r="M234" s="17"/>
      <c r="P234" s="17"/>
      <c r="Q234" s="17"/>
      <c r="R234" s="43"/>
      <c r="S234" s="17"/>
      <c r="T234" s="17"/>
      <c r="U234" s="17"/>
      <c r="V234" s="43"/>
      <c r="W234" s="17"/>
      <c r="X234" s="17"/>
    </row>
    <row r="235" spans="1:26" x14ac:dyDescent="0.25">
      <c r="D235" s="17"/>
      <c r="E235" s="17"/>
      <c r="G235" s="17"/>
      <c r="H235" s="17"/>
      <c r="I235" s="17"/>
      <c r="J235" s="43"/>
      <c r="K235" s="17"/>
      <c r="L235" s="17"/>
      <c r="M235" s="17"/>
      <c r="P235" s="17"/>
      <c r="Q235" s="17"/>
      <c r="R235" s="43"/>
      <c r="S235" s="17"/>
      <c r="T235" s="17"/>
      <c r="U235" s="17"/>
      <c r="V235" s="43"/>
      <c r="W235" s="17"/>
      <c r="X235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435634.32000000007</v>
      </c>
      <c r="E12" s="4"/>
      <c r="F12" s="12"/>
      <c r="G12" s="4"/>
      <c r="H12" s="4">
        <f>SUM(OSRRefH13x_0)</f>
        <v>722275.75000000012</v>
      </c>
      <c r="I12" s="4"/>
      <c r="J12" s="12"/>
      <c r="K12" s="4"/>
      <c r="L12" s="4">
        <f t="shared" ref="L12:L102" si="0">+D12-H12</f>
        <v>-286641.43000000005</v>
      </c>
      <c r="M12" s="4"/>
      <c r="N12" s="12">
        <f t="shared" ref="N12:N102" si="1">IF(H12=0,0,L12/H12)</f>
        <v>-0.39685872050944532</v>
      </c>
      <c r="O12" s="10"/>
      <c r="P12" s="4">
        <f>SUM(OSRRefP13x_0)</f>
        <v>435634.32000000007</v>
      </c>
      <c r="Q12" s="4"/>
      <c r="R12" s="12"/>
      <c r="S12" s="4"/>
      <c r="T12" s="4">
        <f>SUM(OSRRefT13x_0)</f>
        <v>722275.75000000012</v>
      </c>
      <c r="U12" s="4"/>
      <c r="V12" s="12"/>
      <c r="W12" s="4"/>
      <c r="X12" s="4">
        <f t="shared" ref="X12:X102" si="2">+P12-T12</f>
        <v>-286641.43000000005</v>
      </c>
      <c r="Y12" s="4"/>
      <c r="Z12" s="12">
        <f t="shared" ref="Z12:Z102" si="3">IF(T12=0,0,X12/T12)</f>
        <v>-0.39685872050944532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-11094.37</f>
        <v>-11094.37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-11094.37</v>
      </c>
      <c r="M13" s="3"/>
      <c r="N13" s="22">
        <f t="shared" si="1"/>
        <v>0</v>
      </c>
      <c r="O13" s="11"/>
      <c r="P13" s="3">
        <f>-11094.37</f>
        <v>-11094.37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-11094.37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--11947.85</f>
        <v>11947.85</v>
      </c>
      <c r="E14" s="3"/>
      <c r="F14" s="22"/>
      <c r="G14" s="3"/>
      <c r="H14" s="3">
        <f>--36312.25</f>
        <v>36312.25</v>
      </c>
      <c r="I14" s="3"/>
      <c r="J14" s="22"/>
      <c r="K14" s="3"/>
      <c r="L14" s="3">
        <f t="shared" si="0"/>
        <v>-24364.400000000001</v>
      </c>
      <c r="M14" s="3"/>
      <c r="N14" s="22">
        <f t="shared" si="1"/>
        <v>-0.67096916329888678</v>
      </c>
      <c r="O14" s="11"/>
      <c r="P14" s="3">
        <f>--11947.85</f>
        <v>11947.85</v>
      </c>
      <c r="Q14" s="3"/>
      <c r="R14" s="22"/>
      <c r="S14" s="3"/>
      <c r="T14" s="3">
        <f>--36312.25</f>
        <v>36312.25</v>
      </c>
      <c r="U14" s="3"/>
      <c r="V14" s="22"/>
      <c r="W14" s="3"/>
      <c r="X14" s="3">
        <f t="shared" si="2"/>
        <v>-24364.400000000001</v>
      </c>
      <c r="Y14" s="3"/>
      <c r="Z14" s="22">
        <f t="shared" si="3"/>
        <v>-0.67096916329888678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--13029.34</f>
        <v>13029.34</v>
      </c>
      <c r="E15" s="3"/>
      <c r="F15" s="22"/>
      <c r="G15" s="3"/>
      <c r="H15" s="3">
        <f>--21794.81</f>
        <v>21794.81</v>
      </c>
      <c r="I15" s="3"/>
      <c r="J15" s="22"/>
      <c r="K15" s="3"/>
      <c r="L15" s="3">
        <f t="shared" si="0"/>
        <v>-8765.4700000000012</v>
      </c>
      <c r="M15" s="3"/>
      <c r="N15" s="22">
        <f t="shared" si="1"/>
        <v>-0.40218152853821626</v>
      </c>
      <c r="O15" s="11"/>
      <c r="P15" s="3">
        <f>--13029.34</f>
        <v>13029.34</v>
      </c>
      <c r="Q15" s="3"/>
      <c r="R15" s="22"/>
      <c r="S15" s="3"/>
      <c r="T15" s="3">
        <f>--21794.81</f>
        <v>21794.81</v>
      </c>
      <c r="U15" s="3"/>
      <c r="V15" s="22"/>
      <c r="W15" s="3"/>
      <c r="X15" s="3">
        <f t="shared" si="2"/>
        <v>-8765.4700000000012</v>
      </c>
      <c r="Y15" s="3"/>
      <c r="Z15" s="22">
        <f t="shared" si="3"/>
        <v>-0.40218152853821626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"4017", " - ", "TAXABLE SALES-DORM/HOUSEWARES")</f>
        <v xml:space="preserve">          4017 - TAXABLE SALES-DORM/HOUSEWARES</v>
      </c>
      <c r="C20" s="11"/>
      <c r="D20" s="3">
        <f>0</f>
        <v>0</v>
      </c>
      <c r="E20" s="3"/>
      <c r="F20" s="22"/>
      <c r="G20" s="3"/>
      <c r="H20" s="3">
        <f>--4.47</f>
        <v>4.47</v>
      </c>
      <c r="I20" s="3"/>
      <c r="J20" s="22"/>
      <c r="K20" s="3"/>
      <c r="L20" s="3">
        <f t="shared" si="0"/>
        <v>-4.47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--4.47</f>
        <v>4.47</v>
      </c>
      <c r="U20" s="3"/>
      <c r="V20" s="22"/>
      <c r="W20" s="3"/>
      <c r="X20" s="3">
        <f t="shared" si="2"/>
        <v>-4.47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"4018", " - ", "TAXABLE SALES-STUDY GUIDES")</f>
        <v xml:space="preserve">          4018 - TAXABLE SALES-STUDY GUIDES</v>
      </c>
      <c r="C21" s="11"/>
      <c r="D21" s="3">
        <f>--16.99</f>
        <v>16.989999999999998</v>
      </c>
      <c r="E21" s="3"/>
      <c r="F21" s="22"/>
      <c r="G21" s="3"/>
      <c r="H21" s="3">
        <f>--179.29</f>
        <v>179.29</v>
      </c>
      <c r="I21" s="3"/>
      <c r="J21" s="22"/>
      <c r="K21" s="3"/>
      <c r="L21" s="3">
        <f t="shared" si="0"/>
        <v>-162.29999999999998</v>
      </c>
      <c r="M21" s="3"/>
      <c r="N21" s="22">
        <f t="shared" si="1"/>
        <v>-0.90523732500418308</v>
      </c>
      <c r="O21" s="11"/>
      <c r="P21" s="3">
        <f>--16.99</f>
        <v>16.989999999999998</v>
      </c>
      <c r="Q21" s="3"/>
      <c r="R21" s="22"/>
      <c r="S21" s="3"/>
      <c r="T21" s="3">
        <f>--179.29</f>
        <v>179.29</v>
      </c>
      <c r="U21" s="3"/>
      <c r="V21" s="22"/>
      <c r="W21" s="3"/>
      <c r="X21" s="3">
        <f t="shared" si="2"/>
        <v>-162.29999999999998</v>
      </c>
      <c r="Y21" s="3"/>
      <c r="Z21" s="22">
        <f t="shared" si="3"/>
        <v>-0.90523732500418308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3">
        <f>0</f>
        <v>0</v>
      </c>
      <c r="E22" s="3"/>
      <c r="F22" s="22"/>
      <c r="G22" s="3"/>
      <c r="H22" s="3">
        <f>--392.29</f>
        <v>392.29</v>
      </c>
      <c r="I22" s="3"/>
      <c r="J22" s="22"/>
      <c r="K22" s="3"/>
      <c r="L22" s="3">
        <f t="shared" si="0"/>
        <v>-392.29</v>
      </c>
      <c r="M22" s="3"/>
      <c r="N22" s="22">
        <f t="shared" si="1"/>
        <v>-1</v>
      </c>
      <c r="O22" s="11"/>
      <c r="P22" s="3">
        <f>0</f>
        <v>0</v>
      </c>
      <c r="Q22" s="3"/>
      <c r="R22" s="22"/>
      <c r="S22" s="3"/>
      <c r="T22" s="3">
        <f>--392.29</f>
        <v>392.29</v>
      </c>
      <c r="U22" s="3"/>
      <c r="V22" s="22"/>
      <c r="W22" s="3"/>
      <c r="X22" s="3">
        <f t="shared" si="2"/>
        <v>-392.29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3">
        <f>--236.56</f>
        <v>236.56</v>
      </c>
      <c r="E23" s="3"/>
      <c r="F23" s="22"/>
      <c r="G23" s="3"/>
      <c r="H23" s="3">
        <f>--1935.51</f>
        <v>1935.51</v>
      </c>
      <c r="I23" s="3"/>
      <c r="J23" s="22"/>
      <c r="K23" s="3"/>
      <c r="L23" s="3">
        <f t="shared" si="0"/>
        <v>-1698.95</v>
      </c>
      <c r="M23" s="3"/>
      <c r="N23" s="22">
        <f t="shared" si="1"/>
        <v>-0.87777898331705861</v>
      </c>
      <c r="O23" s="11"/>
      <c r="P23" s="3">
        <f>--236.56</f>
        <v>236.56</v>
      </c>
      <c r="Q23" s="3"/>
      <c r="R23" s="22"/>
      <c r="S23" s="3"/>
      <c r="T23" s="3">
        <f>--1935.51</f>
        <v>1935.51</v>
      </c>
      <c r="U23" s="3"/>
      <c r="V23" s="22"/>
      <c r="W23" s="3"/>
      <c r="X23" s="3">
        <f t="shared" si="2"/>
        <v>-1698.95</v>
      </c>
      <c r="Y23" s="3"/>
      <c r="Z23" s="22">
        <f t="shared" si="3"/>
        <v>-0.87777898331705861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3">
        <f>--1653.17</f>
        <v>1653.17</v>
      </c>
      <c r="E24" s="3"/>
      <c r="F24" s="22"/>
      <c r="G24" s="3"/>
      <c r="H24" s="3">
        <f>--13150</f>
        <v>13150</v>
      </c>
      <c r="I24" s="3"/>
      <c r="J24" s="22"/>
      <c r="K24" s="3"/>
      <c r="L24" s="3">
        <f t="shared" si="0"/>
        <v>-11496.83</v>
      </c>
      <c r="M24" s="3"/>
      <c r="N24" s="22">
        <f t="shared" si="1"/>
        <v>-0.87428365019011411</v>
      </c>
      <c r="O24" s="11"/>
      <c r="P24" s="3">
        <f>--1653.17</f>
        <v>1653.17</v>
      </c>
      <c r="Q24" s="3"/>
      <c r="R24" s="22"/>
      <c r="S24" s="3"/>
      <c r="T24" s="3">
        <f>--13150</f>
        <v>13150</v>
      </c>
      <c r="U24" s="3"/>
      <c r="V24" s="22"/>
      <c r="W24" s="3"/>
      <c r="X24" s="3">
        <f t="shared" si="2"/>
        <v>-11496.83</v>
      </c>
      <c r="Y24" s="3"/>
      <c r="Z24" s="22">
        <f t="shared" si="3"/>
        <v>-0.87428365019011411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3">
        <f>--19.85</f>
        <v>19.850000000000001</v>
      </c>
      <c r="E25" s="3"/>
      <c r="F25" s="22"/>
      <c r="G25" s="3"/>
      <c r="H25" s="3">
        <f>--2284.16</f>
        <v>2284.16</v>
      </c>
      <c r="I25" s="3"/>
      <c r="J25" s="22"/>
      <c r="K25" s="3"/>
      <c r="L25" s="3">
        <f t="shared" si="0"/>
        <v>-2264.31</v>
      </c>
      <c r="M25" s="3"/>
      <c r="N25" s="22">
        <f t="shared" si="1"/>
        <v>-0.99130971560661252</v>
      </c>
      <c r="O25" s="11"/>
      <c r="P25" s="3">
        <f>--19.85</f>
        <v>19.850000000000001</v>
      </c>
      <c r="Q25" s="3"/>
      <c r="R25" s="22"/>
      <c r="S25" s="3"/>
      <c r="T25" s="3">
        <f>--2284.16</f>
        <v>2284.16</v>
      </c>
      <c r="U25" s="3"/>
      <c r="V25" s="22"/>
      <c r="W25" s="3"/>
      <c r="X25" s="3">
        <f t="shared" si="2"/>
        <v>-2264.31</v>
      </c>
      <c r="Y25" s="3"/>
      <c r="Z25" s="22">
        <f t="shared" si="3"/>
        <v>-0.99130971560661252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3">
        <f>--19.75</f>
        <v>19.75</v>
      </c>
      <c r="E26" s="3"/>
      <c r="F26" s="22"/>
      <c r="G26" s="3"/>
      <c r="H26" s="3">
        <f>--1.52</f>
        <v>1.52</v>
      </c>
      <c r="I26" s="3"/>
      <c r="J26" s="22"/>
      <c r="K26" s="3"/>
      <c r="L26" s="3">
        <f t="shared" si="0"/>
        <v>18.23</v>
      </c>
      <c r="M26" s="3"/>
      <c r="N26" s="22">
        <f t="shared" si="1"/>
        <v>11.993421052631579</v>
      </c>
      <c r="O26" s="11"/>
      <c r="P26" s="3">
        <f>--19.75</f>
        <v>19.75</v>
      </c>
      <c r="Q26" s="3"/>
      <c r="R26" s="22"/>
      <c r="S26" s="3"/>
      <c r="T26" s="3">
        <f>--1.52</f>
        <v>1.52</v>
      </c>
      <c r="U26" s="3"/>
      <c r="V26" s="22"/>
      <c r="W26" s="3"/>
      <c r="X26" s="3">
        <f t="shared" si="2"/>
        <v>18.23</v>
      </c>
      <c r="Y26" s="3"/>
      <c r="Z26" s="22">
        <f t="shared" si="3"/>
        <v>11.993421052631579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3">
        <f t="shared" ref="D27:D28" si="6">0</f>
        <v>0</v>
      </c>
      <c r="E27" s="3"/>
      <c r="F27" s="22"/>
      <c r="G27" s="3"/>
      <c r="H27" s="3">
        <f>--1.47</f>
        <v>1.47</v>
      </c>
      <c r="I27" s="3"/>
      <c r="J27" s="22"/>
      <c r="K27" s="3"/>
      <c r="L27" s="3">
        <f t="shared" si="0"/>
        <v>-1.47</v>
      </c>
      <c r="M27" s="3"/>
      <c r="N27" s="22">
        <f t="shared" si="1"/>
        <v>-1</v>
      </c>
      <c r="O27" s="11"/>
      <c r="P27" s="3">
        <f t="shared" ref="P27:P28" si="7">0</f>
        <v>0</v>
      </c>
      <c r="Q27" s="3"/>
      <c r="R27" s="22"/>
      <c r="S27" s="3"/>
      <c r="T27" s="3">
        <f>--1.47</f>
        <v>1.47</v>
      </c>
      <c r="U27" s="3"/>
      <c r="V27" s="22"/>
      <c r="W27" s="3"/>
      <c r="X27" s="3">
        <f t="shared" si="2"/>
        <v>-1.47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3">
        <f t="shared" si="6"/>
        <v>0</v>
      </c>
      <c r="E28" s="3"/>
      <c r="F28" s="22"/>
      <c r="G28" s="3"/>
      <c r="H28" s="3">
        <f>--3.17</f>
        <v>3.17</v>
      </c>
      <c r="I28" s="3"/>
      <c r="J28" s="22"/>
      <c r="K28" s="3"/>
      <c r="L28" s="3">
        <f t="shared" si="0"/>
        <v>-3.17</v>
      </c>
      <c r="M28" s="3"/>
      <c r="N28" s="22">
        <f t="shared" si="1"/>
        <v>-1</v>
      </c>
      <c r="O28" s="11"/>
      <c r="P28" s="3">
        <f t="shared" si="7"/>
        <v>0</v>
      </c>
      <c r="Q28" s="3"/>
      <c r="R28" s="22"/>
      <c r="S28" s="3"/>
      <c r="T28" s="3">
        <f>--3.17</f>
        <v>3.17</v>
      </c>
      <c r="U28" s="3"/>
      <c r="V28" s="22"/>
      <c r="W28" s="3"/>
      <c r="X28" s="3">
        <f t="shared" si="2"/>
        <v>-3.17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3">
        <f>--6.78</f>
        <v>6.78</v>
      </c>
      <c r="E29" s="3"/>
      <c r="F29" s="22"/>
      <c r="G29" s="3"/>
      <c r="H29" s="3">
        <f>--34.74</f>
        <v>34.74</v>
      </c>
      <c r="I29" s="3"/>
      <c r="J29" s="22"/>
      <c r="K29" s="3"/>
      <c r="L29" s="3">
        <f t="shared" si="0"/>
        <v>-27.96</v>
      </c>
      <c r="M29" s="3"/>
      <c r="N29" s="22">
        <f t="shared" si="1"/>
        <v>-0.8048359240069084</v>
      </c>
      <c r="O29" s="11"/>
      <c r="P29" s="3">
        <f>--6.78</f>
        <v>6.78</v>
      </c>
      <c r="Q29" s="3"/>
      <c r="R29" s="22"/>
      <c r="S29" s="3"/>
      <c r="T29" s="3">
        <f>--34.74</f>
        <v>34.74</v>
      </c>
      <c r="U29" s="3"/>
      <c r="V29" s="22"/>
      <c r="W29" s="3"/>
      <c r="X29" s="3">
        <f t="shared" si="2"/>
        <v>-27.96</v>
      </c>
      <c r="Y29" s="3"/>
      <c r="Z29" s="22">
        <f t="shared" si="3"/>
        <v>-0.8048359240069084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3">
        <f t="shared" ref="D30:D31" si="8">0</f>
        <v>0</v>
      </c>
      <c r="E30" s="3"/>
      <c r="F30" s="22"/>
      <c r="G30" s="3"/>
      <c r="H30" s="3">
        <f>--5.97</f>
        <v>5.97</v>
      </c>
      <c r="I30" s="3"/>
      <c r="J30" s="22"/>
      <c r="K30" s="3"/>
      <c r="L30" s="3">
        <f t="shared" si="0"/>
        <v>-5.97</v>
      </c>
      <c r="M30" s="3"/>
      <c r="N30" s="22">
        <f t="shared" si="1"/>
        <v>-1</v>
      </c>
      <c r="O30" s="11"/>
      <c r="P30" s="3">
        <f t="shared" ref="P30:P31" si="9">0</f>
        <v>0</v>
      </c>
      <c r="Q30" s="3"/>
      <c r="R30" s="22"/>
      <c r="S30" s="3"/>
      <c r="T30" s="3">
        <f>--5.97</f>
        <v>5.97</v>
      </c>
      <c r="U30" s="3"/>
      <c r="V30" s="22"/>
      <c r="W30" s="3"/>
      <c r="X30" s="3">
        <f t="shared" si="2"/>
        <v>-5.97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3">
        <f t="shared" si="8"/>
        <v>0</v>
      </c>
      <c r="E31" s="3"/>
      <c r="F31" s="22"/>
      <c r="G31" s="3"/>
      <c r="H31" s="3">
        <f>--5.29</f>
        <v>5.29</v>
      </c>
      <c r="I31" s="3"/>
      <c r="J31" s="22"/>
      <c r="K31" s="3"/>
      <c r="L31" s="3">
        <f t="shared" si="0"/>
        <v>-5.29</v>
      </c>
      <c r="M31" s="3"/>
      <c r="N31" s="22">
        <f t="shared" si="1"/>
        <v>-1</v>
      </c>
      <c r="O31" s="11"/>
      <c r="P31" s="3">
        <f t="shared" si="9"/>
        <v>0</v>
      </c>
      <c r="Q31" s="3"/>
      <c r="R31" s="22"/>
      <c r="S31" s="3"/>
      <c r="T31" s="3">
        <f>--5.29</f>
        <v>5.29</v>
      </c>
      <c r="U31" s="3"/>
      <c r="V31" s="22"/>
      <c r="W31" s="3"/>
      <c r="X31" s="3">
        <f t="shared" si="2"/>
        <v>-5.29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3">
        <f>--72292.26</f>
        <v>72292.259999999995</v>
      </c>
      <c r="E32" s="3"/>
      <c r="F32" s="22"/>
      <c r="G32" s="3"/>
      <c r="H32" s="3">
        <f>--170312.02</f>
        <v>170312.02</v>
      </c>
      <c r="I32" s="3"/>
      <c r="J32" s="22"/>
      <c r="K32" s="3"/>
      <c r="L32" s="3">
        <f t="shared" si="0"/>
        <v>-98019.76</v>
      </c>
      <c r="M32" s="3"/>
      <c r="N32" s="22">
        <f t="shared" si="1"/>
        <v>-0.57553048810060503</v>
      </c>
      <c r="O32" s="11"/>
      <c r="P32" s="3">
        <f>--72292.26</f>
        <v>72292.259999999995</v>
      </c>
      <c r="Q32" s="3"/>
      <c r="R32" s="22"/>
      <c r="S32" s="3"/>
      <c r="T32" s="3">
        <f>--170312.02</f>
        <v>170312.02</v>
      </c>
      <c r="U32" s="3"/>
      <c r="V32" s="22"/>
      <c r="W32" s="3"/>
      <c r="X32" s="3">
        <f t="shared" si="2"/>
        <v>-98019.76</v>
      </c>
      <c r="Y32" s="3"/>
      <c r="Z32" s="22">
        <f t="shared" si="3"/>
        <v>-0.57553048810060503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3">
        <f>--21188.91</f>
        <v>21188.91</v>
      </c>
      <c r="E33" s="3"/>
      <c r="F33" s="22"/>
      <c r="G33" s="3"/>
      <c r="H33" s="3">
        <f>--31041.59</f>
        <v>31041.59</v>
      </c>
      <c r="I33" s="3"/>
      <c r="J33" s="22"/>
      <c r="K33" s="3"/>
      <c r="L33" s="3">
        <f t="shared" si="0"/>
        <v>-9852.68</v>
      </c>
      <c r="M33" s="3"/>
      <c r="N33" s="22">
        <f t="shared" si="1"/>
        <v>-0.31740255573248666</v>
      </c>
      <c r="O33" s="11"/>
      <c r="P33" s="3">
        <f>--21188.91</f>
        <v>21188.91</v>
      </c>
      <c r="Q33" s="3"/>
      <c r="R33" s="22"/>
      <c r="S33" s="3"/>
      <c r="T33" s="3">
        <f>--31041.59</f>
        <v>31041.59</v>
      </c>
      <c r="U33" s="3"/>
      <c r="V33" s="22"/>
      <c r="W33" s="3"/>
      <c r="X33" s="3">
        <f t="shared" si="2"/>
        <v>-9852.68</v>
      </c>
      <c r="Y33" s="3"/>
      <c r="Z33" s="22">
        <f t="shared" si="3"/>
        <v>-0.31740255573248666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3">
        <f>--9503.9</f>
        <v>9503.9</v>
      </c>
      <c r="E34" s="3"/>
      <c r="F34" s="22"/>
      <c r="G34" s="3"/>
      <c r="H34" s="3">
        <f>--15593.05</f>
        <v>15593.05</v>
      </c>
      <c r="I34" s="3"/>
      <c r="J34" s="22"/>
      <c r="K34" s="3"/>
      <c r="L34" s="3">
        <f t="shared" si="0"/>
        <v>-6089.15</v>
      </c>
      <c r="M34" s="3"/>
      <c r="N34" s="22">
        <f t="shared" si="1"/>
        <v>-0.39050410278938374</v>
      </c>
      <c r="O34" s="11"/>
      <c r="P34" s="3">
        <f>--9503.9</f>
        <v>9503.9</v>
      </c>
      <c r="Q34" s="3"/>
      <c r="R34" s="22"/>
      <c r="S34" s="3"/>
      <c r="T34" s="3">
        <f>--15593.05</f>
        <v>15593.05</v>
      </c>
      <c r="U34" s="3"/>
      <c r="V34" s="22"/>
      <c r="W34" s="3"/>
      <c r="X34" s="3">
        <f t="shared" si="2"/>
        <v>-6089.15</v>
      </c>
      <c r="Y34" s="3"/>
      <c r="Z34" s="22">
        <f t="shared" si="3"/>
        <v>-0.39050410278938374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3">
        <f>--217.36</f>
        <v>217.36</v>
      </c>
      <c r="E35" s="3"/>
      <c r="F35" s="22"/>
      <c r="G35" s="3"/>
      <c r="H35" s="3">
        <f>--56.4</f>
        <v>56.4</v>
      </c>
      <c r="I35" s="3"/>
      <c r="J35" s="22"/>
      <c r="K35" s="3"/>
      <c r="L35" s="3">
        <f t="shared" si="0"/>
        <v>160.96</v>
      </c>
      <c r="M35" s="3"/>
      <c r="N35" s="22">
        <f t="shared" si="1"/>
        <v>2.8539007092198583</v>
      </c>
      <c r="O35" s="11"/>
      <c r="P35" s="3">
        <f>--217.36</f>
        <v>217.36</v>
      </c>
      <c r="Q35" s="3"/>
      <c r="R35" s="22"/>
      <c r="S35" s="3"/>
      <c r="T35" s="3">
        <f>--56.4</f>
        <v>56.4</v>
      </c>
      <c r="U35" s="3"/>
      <c r="V35" s="22"/>
      <c r="W35" s="3"/>
      <c r="X35" s="3">
        <f t="shared" si="2"/>
        <v>160.96</v>
      </c>
      <c r="Y35" s="3"/>
      <c r="Z35" s="22">
        <f t="shared" si="3"/>
        <v>2.8539007092198583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3">
        <f>--1800.68</f>
        <v>1800.68</v>
      </c>
      <c r="E36" s="3"/>
      <c r="F36" s="22"/>
      <c r="G36" s="3"/>
      <c r="H36" s="3">
        <f>--2342.65</f>
        <v>2342.65</v>
      </c>
      <c r="I36" s="3"/>
      <c r="J36" s="22"/>
      <c r="K36" s="3"/>
      <c r="L36" s="3">
        <f t="shared" si="0"/>
        <v>-541.97</v>
      </c>
      <c r="M36" s="3"/>
      <c r="N36" s="22">
        <f t="shared" si="1"/>
        <v>-0.23134911318378759</v>
      </c>
      <c r="O36" s="11"/>
      <c r="P36" s="3">
        <f>--1800.68</f>
        <v>1800.68</v>
      </c>
      <c r="Q36" s="3"/>
      <c r="R36" s="22"/>
      <c r="S36" s="3"/>
      <c r="T36" s="3">
        <f>--2342.65</f>
        <v>2342.65</v>
      </c>
      <c r="U36" s="3"/>
      <c r="V36" s="22"/>
      <c r="W36" s="3"/>
      <c r="X36" s="3">
        <f t="shared" si="2"/>
        <v>-541.97</v>
      </c>
      <c r="Y36" s="3"/>
      <c r="Z36" s="22">
        <f t="shared" si="3"/>
        <v>-0.23134911318378759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3">
        <f>--43426.73</f>
        <v>43426.73</v>
      </c>
      <c r="E37" s="3"/>
      <c r="F37" s="22"/>
      <c r="G37" s="3"/>
      <c r="H37" s="3">
        <f>--19420.72</f>
        <v>19420.72</v>
      </c>
      <c r="I37" s="3"/>
      <c r="J37" s="22"/>
      <c r="K37" s="3"/>
      <c r="L37" s="3">
        <f t="shared" si="0"/>
        <v>24006.010000000002</v>
      </c>
      <c r="M37" s="3"/>
      <c r="N37" s="22">
        <f t="shared" si="1"/>
        <v>1.2361029869129465</v>
      </c>
      <c r="O37" s="11"/>
      <c r="P37" s="3">
        <f>--43426.73</f>
        <v>43426.73</v>
      </c>
      <c r="Q37" s="3"/>
      <c r="R37" s="22"/>
      <c r="S37" s="3"/>
      <c r="T37" s="3">
        <f>--19420.72</f>
        <v>19420.72</v>
      </c>
      <c r="U37" s="3"/>
      <c r="V37" s="22"/>
      <c r="W37" s="3"/>
      <c r="X37" s="3">
        <f t="shared" si="2"/>
        <v>24006.010000000002</v>
      </c>
      <c r="Y37" s="3"/>
      <c r="Z37" s="22">
        <f t="shared" si="3"/>
        <v>1.2361029869129465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3">
        <f>0</f>
        <v>0</v>
      </c>
      <c r="E38" s="3"/>
      <c r="F38" s="22"/>
      <c r="G38" s="3"/>
      <c r="H38" s="3">
        <f>--40</f>
        <v>40</v>
      </c>
      <c r="I38" s="3"/>
      <c r="J38" s="22"/>
      <c r="K38" s="3"/>
      <c r="L38" s="3">
        <f t="shared" si="0"/>
        <v>-40</v>
      </c>
      <c r="M38" s="3"/>
      <c r="N38" s="22">
        <f t="shared" si="1"/>
        <v>-1</v>
      </c>
      <c r="O38" s="11"/>
      <c r="P38" s="3">
        <f>0</f>
        <v>0</v>
      </c>
      <c r="Q38" s="3"/>
      <c r="R38" s="22"/>
      <c r="S38" s="3"/>
      <c r="T38" s="3">
        <f>--40</f>
        <v>40</v>
      </c>
      <c r="U38" s="3"/>
      <c r="V38" s="22"/>
      <c r="W38" s="3"/>
      <c r="X38" s="3">
        <f t="shared" si="2"/>
        <v>-40</v>
      </c>
      <c r="Y38" s="3"/>
      <c r="Z38" s="22">
        <f t="shared" si="3"/>
        <v>-1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3">
        <f>--21557.16</f>
        <v>21557.16</v>
      </c>
      <c r="E39" s="3"/>
      <c r="F39" s="22"/>
      <c r="G39" s="3"/>
      <c r="H39" s="3">
        <f>--20952.57</f>
        <v>20952.57</v>
      </c>
      <c r="I39" s="3"/>
      <c r="J39" s="22"/>
      <c r="K39" s="3"/>
      <c r="L39" s="3">
        <f t="shared" si="0"/>
        <v>604.59000000000015</v>
      </c>
      <c r="M39" s="3"/>
      <c r="N39" s="22">
        <f t="shared" si="1"/>
        <v>2.8855171465839283E-2</v>
      </c>
      <c r="O39" s="11"/>
      <c r="P39" s="3">
        <f>--21557.16</f>
        <v>21557.16</v>
      </c>
      <c r="Q39" s="3"/>
      <c r="R39" s="22"/>
      <c r="S39" s="3"/>
      <c r="T39" s="3">
        <f>--20952.57</f>
        <v>20952.57</v>
      </c>
      <c r="U39" s="3"/>
      <c r="V39" s="22"/>
      <c r="W39" s="3"/>
      <c r="X39" s="3">
        <f t="shared" si="2"/>
        <v>604.59000000000015</v>
      </c>
      <c r="Y39" s="3"/>
      <c r="Z39" s="22">
        <f t="shared" si="3"/>
        <v>2.8855171465839283E-2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3">
        <f>--137228.87</f>
        <v>137228.87</v>
      </c>
      <c r="E40" s="3"/>
      <c r="F40" s="22"/>
      <c r="G40" s="3"/>
      <c r="H40" s="3">
        <f>--398788.74</f>
        <v>398788.74</v>
      </c>
      <c r="I40" s="3"/>
      <c r="J40" s="22"/>
      <c r="K40" s="3"/>
      <c r="L40" s="3">
        <f t="shared" si="0"/>
        <v>-261559.87</v>
      </c>
      <c r="M40" s="3"/>
      <c r="N40" s="22">
        <f t="shared" si="1"/>
        <v>-0.65588579557186089</v>
      </c>
      <c r="O40" s="11"/>
      <c r="P40" s="3">
        <f>--137228.87</f>
        <v>137228.87</v>
      </c>
      <c r="Q40" s="3"/>
      <c r="R40" s="22"/>
      <c r="S40" s="3"/>
      <c r="T40" s="3">
        <f>--398788.74</f>
        <v>398788.74</v>
      </c>
      <c r="U40" s="3"/>
      <c r="V40" s="22"/>
      <c r="W40" s="3"/>
      <c r="X40" s="3">
        <f t="shared" si="2"/>
        <v>-261559.87</v>
      </c>
      <c r="Y40" s="3"/>
      <c r="Z40" s="22">
        <f t="shared" si="3"/>
        <v>-0.65588579557186089</v>
      </c>
    </row>
    <row r="41" spans="1:26" s="24" customFormat="1" hidden="1" outlineLevel="1" x14ac:dyDescent="0.25">
      <c r="A41" s="50"/>
      <c r="B41" s="11" t="str">
        <f>CONCATENATE("          ", "4083", " - ", "TAXABLE SALES-COMPUTER EQUIPME")</f>
        <v xml:space="preserve">          4083 - TAXABLE SALES-COMPUTER EQUIPME</v>
      </c>
      <c r="C41" s="11"/>
      <c r="D41" s="3">
        <f>--6790.15</f>
        <v>6790.15</v>
      </c>
      <c r="E41" s="3"/>
      <c r="F41" s="22"/>
      <c r="G41" s="3"/>
      <c r="H41" s="3">
        <f>--7906.1</f>
        <v>7906.1</v>
      </c>
      <c r="I41" s="3"/>
      <c r="J41" s="22"/>
      <c r="K41" s="3"/>
      <c r="L41" s="3">
        <f t="shared" si="0"/>
        <v>-1115.9500000000007</v>
      </c>
      <c r="M41" s="3"/>
      <c r="N41" s="22">
        <f t="shared" si="1"/>
        <v>-0.14115050404118348</v>
      </c>
      <c r="O41" s="11"/>
      <c r="P41" s="3">
        <f>--6790.15</f>
        <v>6790.15</v>
      </c>
      <c r="Q41" s="3"/>
      <c r="R41" s="22"/>
      <c r="S41" s="3"/>
      <c r="T41" s="3">
        <f>--7906.1</f>
        <v>7906.1</v>
      </c>
      <c r="U41" s="3"/>
      <c r="V41" s="22"/>
      <c r="W41" s="3"/>
      <c r="X41" s="3">
        <f t="shared" si="2"/>
        <v>-1115.9500000000007</v>
      </c>
      <c r="Y41" s="3"/>
      <c r="Z41" s="22">
        <f t="shared" si="3"/>
        <v>-0.14115050404118348</v>
      </c>
    </row>
    <row r="42" spans="1:26" s="24" customFormat="1" hidden="1" outlineLevel="1" x14ac:dyDescent="0.25">
      <c r="A42" s="50"/>
      <c r="B42" s="11" t="str">
        <f>CONCATENATE("          ", "4084", " - ", "TAXABLE SALES-SOFTWARE LICENSE")</f>
        <v xml:space="preserve">          4084 - TAXABLE SALES-SOFTWARE LICENSE</v>
      </c>
      <c r="C42" s="11"/>
      <c r="D42" s="3">
        <f t="shared" ref="D42:D43" si="10">0</f>
        <v>0</v>
      </c>
      <c r="E42" s="3"/>
      <c r="F42" s="22"/>
      <c r="G42" s="3"/>
      <c r="H42" s="3">
        <f>--129</f>
        <v>129</v>
      </c>
      <c r="I42" s="3"/>
      <c r="J42" s="22"/>
      <c r="K42" s="3"/>
      <c r="L42" s="3">
        <f t="shared" si="0"/>
        <v>-129</v>
      </c>
      <c r="M42" s="3"/>
      <c r="N42" s="22">
        <f t="shared" si="1"/>
        <v>-1</v>
      </c>
      <c r="O42" s="11"/>
      <c r="P42" s="3">
        <f t="shared" ref="P42:P43" si="11">0</f>
        <v>0</v>
      </c>
      <c r="Q42" s="3"/>
      <c r="R42" s="22"/>
      <c r="S42" s="3"/>
      <c r="T42" s="3">
        <f>--129</f>
        <v>129</v>
      </c>
      <c r="U42" s="3"/>
      <c r="V42" s="22"/>
      <c r="W42" s="3"/>
      <c r="X42" s="3">
        <f t="shared" si="2"/>
        <v>-129</v>
      </c>
      <c r="Y42" s="3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"4085", " - ", "TAXABLE SALES-SOFTWARE")</f>
        <v xml:space="preserve">          4085 - TAXABLE SALES-SOFTWARE</v>
      </c>
      <c r="C43" s="11"/>
      <c r="D43" s="3">
        <f t="shared" si="10"/>
        <v>0</v>
      </c>
      <c r="E43" s="3"/>
      <c r="F43" s="22"/>
      <c r="G43" s="3"/>
      <c r="H43" s="3">
        <f>--493.95</f>
        <v>493.95</v>
      </c>
      <c r="I43" s="3"/>
      <c r="J43" s="22"/>
      <c r="K43" s="3"/>
      <c r="L43" s="3">
        <f t="shared" si="0"/>
        <v>-493.95</v>
      </c>
      <c r="M43" s="3"/>
      <c r="N43" s="22">
        <f t="shared" si="1"/>
        <v>-1</v>
      </c>
      <c r="O43" s="11"/>
      <c r="P43" s="3">
        <f t="shared" si="11"/>
        <v>0</v>
      </c>
      <c r="Q43" s="3"/>
      <c r="R43" s="22"/>
      <c r="S43" s="3"/>
      <c r="T43" s="3">
        <f>--493.95</f>
        <v>493.95</v>
      </c>
      <c r="U43" s="3"/>
      <c r="V43" s="22"/>
      <c r="W43" s="3"/>
      <c r="X43" s="3">
        <f t="shared" si="2"/>
        <v>-493.95</v>
      </c>
      <c r="Y43" s="3"/>
      <c r="Z43" s="22">
        <f t="shared" si="3"/>
        <v>-1</v>
      </c>
    </row>
    <row r="44" spans="1:26" s="24" customFormat="1" hidden="1" outlineLevel="1" x14ac:dyDescent="0.25">
      <c r="A44" s="50"/>
      <c r="B44" s="11" t="str">
        <f>CONCATENATE("          ", "4086", " - ", "TAXABLE SALES-COMPUTER SUPPLIE")</f>
        <v xml:space="preserve">          4086 - TAXABLE SALES-COMPUTER SUPPLIE</v>
      </c>
      <c r="C44" s="11"/>
      <c r="D44" s="3">
        <f>--25959.21</f>
        <v>25959.21</v>
      </c>
      <c r="E44" s="3"/>
      <c r="F44" s="22"/>
      <c r="G44" s="3"/>
      <c r="H44" s="3">
        <f>--1995.32</f>
        <v>1995.32</v>
      </c>
      <c r="I44" s="3"/>
      <c r="J44" s="22"/>
      <c r="K44" s="3"/>
      <c r="L44" s="3">
        <f t="shared" si="0"/>
        <v>23963.89</v>
      </c>
      <c r="M44" s="3"/>
      <c r="N44" s="22">
        <f t="shared" si="1"/>
        <v>12.010048513521641</v>
      </c>
      <c r="O44" s="11"/>
      <c r="P44" s="3">
        <f>--25959.21</f>
        <v>25959.21</v>
      </c>
      <c r="Q44" s="3"/>
      <c r="R44" s="22"/>
      <c r="S44" s="3"/>
      <c r="T44" s="3">
        <f>--1995.32</f>
        <v>1995.32</v>
      </c>
      <c r="U44" s="3"/>
      <c r="V44" s="22"/>
      <c r="W44" s="3"/>
      <c r="X44" s="3">
        <f t="shared" si="2"/>
        <v>23963.89</v>
      </c>
      <c r="Y44" s="3"/>
      <c r="Z44" s="22">
        <f t="shared" si="3"/>
        <v>12.010048513521641</v>
      </c>
    </row>
    <row r="45" spans="1:26" s="24" customFormat="1" hidden="1" outlineLevel="1" x14ac:dyDescent="0.25">
      <c r="A45" s="50"/>
      <c r="B45" s="11" t="str">
        <f>CONCATENATE("          ", "4088", " - ", "TAXABLE SALES-MUSIC")</f>
        <v xml:space="preserve">          4088 - TAXABLE SALES-MUSIC</v>
      </c>
      <c r="C45" s="11"/>
      <c r="D45" s="3">
        <f t="shared" ref="D45:D47" si="12">0</f>
        <v>0</v>
      </c>
      <c r="E45" s="3"/>
      <c r="F45" s="22"/>
      <c r="G45" s="3"/>
      <c r="H45" s="3">
        <f>--258.99</f>
        <v>258.99</v>
      </c>
      <c r="I45" s="3"/>
      <c r="J45" s="22"/>
      <c r="K45" s="3"/>
      <c r="L45" s="3">
        <f t="shared" si="0"/>
        <v>-258.99</v>
      </c>
      <c r="M45" s="3"/>
      <c r="N45" s="22">
        <f t="shared" si="1"/>
        <v>-1</v>
      </c>
      <c r="O45" s="11"/>
      <c r="P45" s="3">
        <f t="shared" ref="P45:P47" si="13">0</f>
        <v>0</v>
      </c>
      <c r="Q45" s="3"/>
      <c r="R45" s="22"/>
      <c r="S45" s="3"/>
      <c r="T45" s="3">
        <f>--258.99</f>
        <v>258.99</v>
      </c>
      <c r="U45" s="3"/>
      <c r="V45" s="22"/>
      <c r="W45" s="3"/>
      <c r="X45" s="3">
        <f t="shared" si="2"/>
        <v>-258.99</v>
      </c>
      <c r="Y45" s="3"/>
      <c r="Z45" s="22">
        <f t="shared" si="3"/>
        <v>-1</v>
      </c>
    </row>
    <row r="46" spans="1:26" s="24" customFormat="1" hidden="1" outlineLevel="1" x14ac:dyDescent="0.25">
      <c r="A46" s="50"/>
      <c r="B46" s="11" t="str">
        <f>CONCATENATE("          ", "4092", " - ", "TAXABLE SALES-GRAD MERCH")</f>
        <v xml:space="preserve">          4092 - TAXABLE SALES-GRAD MERCH</v>
      </c>
      <c r="C46" s="11"/>
      <c r="D46" s="3">
        <f t="shared" si="12"/>
        <v>0</v>
      </c>
      <c r="E46" s="3"/>
      <c r="F46" s="22"/>
      <c r="G46" s="3"/>
      <c r="H46" s="3">
        <f>--2128.63</f>
        <v>2128.63</v>
      </c>
      <c r="I46" s="3"/>
      <c r="J46" s="22"/>
      <c r="K46" s="3"/>
      <c r="L46" s="3">
        <f t="shared" si="0"/>
        <v>-2128.63</v>
      </c>
      <c r="M46" s="3"/>
      <c r="N46" s="22">
        <f t="shared" si="1"/>
        <v>-1</v>
      </c>
      <c r="O46" s="11"/>
      <c r="P46" s="3">
        <f t="shared" si="13"/>
        <v>0</v>
      </c>
      <c r="Q46" s="3"/>
      <c r="R46" s="22"/>
      <c r="S46" s="3"/>
      <c r="T46" s="3">
        <f>--2128.63</f>
        <v>2128.63</v>
      </c>
      <c r="U46" s="3"/>
      <c r="V46" s="22"/>
      <c r="W46" s="3"/>
      <c r="X46" s="3">
        <f t="shared" si="2"/>
        <v>-2128.63</v>
      </c>
      <c r="Y46" s="3"/>
      <c r="Z46" s="22">
        <f t="shared" si="3"/>
        <v>-1</v>
      </c>
    </row>
    <row r="47" spans="1:26" s="24" customFormat="1" hidden="1" outlineLevel="1" x14ac:dyDescent="0.25">
      <c r="A47" s="50"/>
      <c r="B47" s="11" t="str">
        <f>CONCATENATE("          ", "4095", " - ", "TAXABLE SALES-CUSTOMER SERVICE")</f>
        <v xml:space="preserve">          4095 - TAXABLE SALES-CUSTOMER SERVICE</v>
      </c>
      <c r="C47" s="11"/>
      <c r="D47" s="3">
        <f t="shared" si="12"/>
        <v>0</v>
      </c>
      <c r="E47" s="3"/>
      <c r="F47" s="22"/>
      <c r="G47" s="3"/>
      <c r="H47" s="3">
        <f>--46.53</f>
        <v>46.53</v>
      </c>
      <c r="I47" s="3"/>
      <c r="J47" s="22"/>
      <c r="K47" s="3"/>
      <c r="L47" s="3">
        <f t="shared" si="0"/>
        <v>-46.53</v>
      </c>
      <c r="M47" s="3"/>
      <c r="N47" s="22">
        <f t="shared" si="1"/>
        <v>-1</v>
      </c>
      <c r="O47" s="11"/>
      <c r="P47" s="3">
        <f t="shared" si="13"/>
        <v>0</v>
      </c>
      <c r="Q47" s="3"/>
      <c r="R47" s="22"/>
      <c r="S47" s="3"/>
      <c r="T47" s="3">
        <f>--46.53</f>
        <v>46.53</v>
      </c>
      <c r="U47" s="3"/>
      <c r="V47" s="22"/>
      <c r="W47" s="3"/>
      <c r="X47" s="3">
        <f t="shared" si="2"/>
        <v>-46.53</v>
      </c>
      <c r="Y47" s="3"/>
      <c r="Z47" s="22">
        <f t="shared" si="3"/>
        <v>-1</v>
      </c>
    </row>
    <row r="48" spans="1:26" s="24" customFormat="1" hidden="1" outlineLevel="1" x14ac:dyDescent="0.25">
      <c r="A48" s="50"/>
      <c r="B48" s="11" t="str">
        <f>CONCATENATE("          ", "4100", " - ", "NON-TAXABLE SALES")</f>
        <v xml:space="preserve">          4100 - NON-TAXABLE SALES</v>
      </c>
      <c r="C48" s="11"/>
      <c r="D48" s="3">
        <f>--3038.3</f>
        <v>3038.3</v>
      </c>
      <c r="E48" s="3"/>
      <c r="F48" s="22"/>
      <c r="G48" s="3"/>
      <c r="H48" s="3">
        <f>--4262.2</f>
        <v>4262.2</v>
      </c>
      <c r="I48" s="3"/>
      <c r="J48" s="22"/>
      <c r="K48" s="3"/>
      <c r="L48" s="3">
        <f t="shared" si="0"/>
        <v>-1223.8999999999996</v>
      </c>
      <c r="M48" s="3"/>
      <c r="N48" s="22">
        <f t="shared" si="1"/>
        <v>-0.28715217493313305</v>
      </c>
      <c r="O48" s="11"/>
      <c r="P48" s="3">
        <f>--3038.3</f>
        <v>3038.3</v>
      </c>
      <c r="Q48" s="3"/>
      <c r="R48" s="22"/>
      <c r="S48" s="3"/>
      <c r="T48" s="3">
        <f>--4262.2</f>
        <v>4262.2</v>
      </c>
      <c r="U48" s="3"/>
      <c r="V48" s="22"/>
      <c r="W48" s="3"/>
      <c r="X48" s="3">
        <f t="shared" si="2"/>
        <v>-1223.8999999999996</v>
      </c>
      <c r="Y48" s="3"/>
      <c r="Z48" s="22">
        <f t="shared" si="3"/>
        <v>-0.28715217493313305</v>
      </c>
    </row>
    <row r="49" spans="1:26" s="24" customFormat="1" hidden="1" outlineLevel="1" x14ac:dyDescent="0.25">
      <c r="A49" s="50"/>
      <c r="B49" s="11" t="str">
        <f>CONCATENATE("          ", "4101", " - ", "NON-TAXABLE SALES-NEW TEXT")</f>
        <v xml:space="preserve">          4101 - NON-TAXABLE SALES-NEW TEXT</v>
      </c>
      <c r="C49" s="11"/>
      <c r="D49" s="3">
        <f>--10341.86</f>
        <v>10341.86</v>
      </c>
      <c r="E49" s="3"/>
      <c r="F49" s="22"/>
      <c r="G49" s="3"/>
      <c r="H49" s="3">
        <f>--7736.58</f>
        <v>7736.58</v>
      </c>
      <c r="I49" s="3"/>
      <c r="J49" s="22"/>
      <c r="K49" s="3"/>
      <c r="L49" s="3">
        <f t="shared" si="0"/>
        <v>2605.2800000000007</v>
      </c>
      <c r="M49" s="3"/>
      <c r="N49" s="22">
        <f t="shared" si="1"/>
        <v>0.33674827895530074</v>
      </c>
      <c r="O49" s="11"/>
      <c r="P49" s="3">
        <f>--10341.86</f>
        <v>10341.86</v>
      </c>
      <c r="Q49" s="3"/>
      <c r="R49" s="22"/>
      <c r="S49" s="3"/>
      <c r="T49" s="3">
        <f>--7736.58</f>
        <v>7736.58</v>
      </c>
      <c r="U49" s="3"/>
      <c r="V49" s="22"/>
      <c r="W49" s="3"/>
      <c r="X49" s="3">
        <f t="shared" si="2"/>
        <v>2605.2800000000007</v>
      </c>
      <c r="Y49" s="3"/>
      <c r="Z49" s="22">
        <f t="shared" si="3"/>
        <v>0.33674827895530074</v>
      </c>
    </row>
    <row r="50" spans="1:26" s="24" customFormat="1" hidden="1" outlineLevel="1" x14ac:dyDescent="0.25">
      <c r="A50" s="50"/>
      <c r="B50" s="11" t="str">
        <f>CONCATENATE("          ", "4102", " - ", "NON-TAXABLE SALES-USED TEXT")</f>
        <v xml:space="preserve">          4102 - NON-TAXABLE SALES-USED TEXT</v>
      </c>
      <c r="C50" s="11"/>
      <c r="D50" s="3">
        <f>--4190.44</f>
        <v>4190.4399999999996</v>
      </c>
      <c r="E50" s="3"/>
      <c r="F50" s="22"/>
      <c r="G50" s="3"/>
      <c r="H50" s="3">
        <f>--5359.24</f>
        <v>5359.24</v>
      </c>
      <c r="I50" s="3"/>
      <c r="J50" s="22"/>
      <c r="K50" s="3"/>
      <c r="L50" s="3">
        <f t="shared" si="0"/>
        <v>-1168.8000000000002</v>
      </c>
      <c r="M50" s="3"/>
      <c r="N50" s="22">
        <f t="shared" si="1"/>
        <v>-0.2180906247900822</v>
      </c>
      <c r="O50" s="11"/>
      <c r="P50" s="3">
        <f>--4190.44</f>
        <v>4190.4399999999996</v>
      </c>
      <c r="Q50" s="3"/>
      <c r="R50" s="22"/>
      <c r="S50" s="3"/>
      <c r="T50" s="3">
        <f>--5359.24</f>
        <v>5359.24</v>
      </c>
      <c r="U50" s="3"/>
      <c r="V50" s="22"/>
      <c r="W50" s="3"/>
      <c r="X50" s="3">
        <f t="shared" si="2"/>
        <v>-1168.8000000000002</v>
      </c>
      <c r="Y50" s="3"/>
      <c r="Z50" s="22">
        <f t="shared" si="3"/>
        <v>-0.2180906247900822</v>
      </c>
    </row>
    <row r="51" spans="1:26" s="24" customFormat="1" hidden="1" outlineLevel="1" x14ac:dyDescent="0.25">
      <c r="A51" s="50"/>
      <c r="B51" s="11" t="str">
        <f>CONCATENATE("          ", "4104", " - ", "NON-TAXABLE SALES-DIGITAL TEXT")</f>
        <v xml:space="preserve">          4104 - NON-TAXABLE SALES-DIGITAL TEXT</v>
      </c>
      <c r="C51" s="11"/>
      <c r="D51" s="3">
        <f>--7485.52</f>
        <v>7485.52</v>
      </c>
      <c r="E51" s="3"/>
      <c r="F51" s="22"/>
      <c r="G51" s="3"/>
      <c r="H51" s="3">
        <f>--13424.17</f>
        <v>13424.17</v>
      </c>
      <c r="I51" s="3"/>
      <c r="J51" s="22"/>
      <c r="K51" s="3"/>
      <c r="L51" s="3">
        <f t="shared" si="0"/>
        <v>-5938.65</v>
      </c>
      <c r="M51" s="3"/>
      <c r="N51" s="22">
        <f t="shared" si="1"/>
        <v>-0.44238489232481409</v>
      </c>
      <c r="O51" s="11"/>
      <c r="P51" s="3">
        <f>--7485.52</f>
        <v>7485.52</v>
      </c>
      <c r="Q51" s="3"/>
      <c r="R51" s="22"/>
      <c r="S51" s="3"/>
      <c r="T51" s="3">
        <f>--13424.17</f>
        <v>13424.17</v>
      </c>
      <c r="U51" s="3"/>
      <c r="V51" s="22"/>
      <c r="W51" s="3"/>
      <c r="X51" s="3">
        <f t="shared" si="2"/>
        <v>-5938.65</v>
      </c>
      <c r="Y51" s="3"/>
      <c r="Z51" s="22">
        <f t="shared" si="3"/>
        <v>-0.44238489232481409</v>
      </c>
    </row>
    <row r="52" spans="1:26" s="24" customFormat="1" hidden="1" outlineLevel="1" x14ac:dyDescent="0.25">
      <c r="A52" s="50"/>
      <c r="B52" s="11" t="str">
        <f>CONCATENATE("          ", "4111", " - ", "NON-TAXABLE SALES-NO VALUE TEX")</f>
        <v xml:space="preserve">          4111 - NON-TAXABLE SALES-NO VALUE TEX</v>
      </c>
      <c r="C52" s="11"/>
      <c r="D52" s="3">
        <f t="shared" ref="D52:D53" si="14">0</f>
        <v>0</v>
      </c>
      <c r="E52" s="3"/>
      <c r="F52" s="22"/>
      <c r="G52" s="3"/>
      <c r="H52" s="3">
        <f>--2680.95</f>
        <v>2680.95</v>
      </c>
      <c r="I52" s="3"/>
      <c r="J52" s="22"/>
      <c r="K52" s="3"/>
      <c r="L52" s="3">
        <f t="shared" si="0"/>
        <v>-2680.95</v>
      </c>
      <c r="M52" s="3"/>
      <c r="N52" s="22">
        <f t="shared" si="1"/>
        <v>-1</v>
      </c>
      <c r="O52" s="11"/>
      <c r="P52" s="3">
        <f t="shared" ref="P52:P53" si="15">0</f>
        <v>0</v>
      </c>
      <c r="Q52" s="3"/>
      <c r="R52" s="22"/>
      <c r="S52" s="3"/>
      <c r="T52" s="3">
        <f>--2680.95</f>
        <v>2680.95</v>
      </c>
      <c r="U52" s="3"/>
      <c r="V52" s="22"/>
      <c r="W52" s="3"/>
      <c r="X52" s="3">
        <f t="shared" si="2"/>
        <v>-2680.95</v>
      </c>
      <c r="Y52" s="3"/>
      <c r="Z52" s="22">
        <f t="shared" si="3"/>
        <v>-1</v>
      </c>
    </row>
    <row r="53" spans="1:26" s="24" customFormat="1" hidden="1" outlineLevel="1" x14ac:dyDescent="0.25">
      <c r="A53" s="50"/>
      <c r="B53" s="11" t="str">
        <f>CONCATENATE("          ", "4113", " - ", "NON-TAXABLE SALES-TRADE BOOKS")</f>
        <v xml:space="preserve">          4113 - NON-TAXABLE SALES-TRADE BOOKS</v>
      </c>
      <c r="C53" s="11"/>
      <c r="D53" s="3">
        <f t="shared" si="14"/>
        <v>0</v>
      </c>
      <c r="E53" s="3"/>
      <c r="F53" s="22"/>
      <c r="G53" s="3"/>
      <c r="H53" s="3">
        <f>--1134</f>
        <v>1134</v>
      </c>
      <c r="I53" s="3"/>
      <c r="J53" s="22"/>
      <c r="K53" s="3"/>
      <c r="L53" s="3">
        <f t="shared" si="0"/>
        <v>-1134</v>
      </c>
      <c r="M53" s="3"/>
      <c r="N53" s="22">
        <f t="shared" si="1"/>
        <v>-1</v>
      </c>
      <c r="O53" s="11"/>
      <c r="P53" s="3">
        <f t="shared" si="15"/>
        <v>0</v>
      </c>
      <c r="Q53" s="3"/>
      <c r="R53" s="22"/>
      <c r="S53" s="3"/>
      <c r="T53" s="3">
        <f>--1134</f>
        <v>1134</v>
      </c>
      <c r="U53" s="3"/>
      <c r="V53" s="22"/>
      <c r="W53" s="3"/>
      <c r="X53" s="3">
        <f t="shared" si="2"/>
        <v>-1134</v>
      </c>
      <c r="Y53" s="3"/>
      <c r="Z53" s="22">
        <f t="shared" si="3"/>
        <v>-1</v>
      </c>
    </row>
    <row r="54" spans="1:26" s="24" customFormat="1" hidden="1" outlineLevel="1" x14ac:dyDescent="0.25">
      <c r="A54" s="50"/>
      <c r="B54" s="11" t="str">
        <f>CONCATENATE("          ", "4118", " - ", "NON-TAXABLE SALES-STUDY GUIDES")</f>
        <v xml:space="preserve">          4118 - NON-TAXABLE SALES-STUDY GUIDES</v>
      </c>
      <c r="C54" s="11"/>
      <c r="D54" s="3">
        <f>--53.96</f>
        <v>53.96</v>
      </c>
      <c r="E54" s="3"/>
      <c r="F54" s="22"/>
      <c r="G54" s="3"/>
      <c r="H54" s="3">
        <f>--6.95</f>
        <v>6.95</v>
      </c>
      <c r="I54" s="3"/>
      <c r="J54" s="22"/>
      <c r="K54" s="3"/>
      <c r="L54" s="3">
        <f t="shared" si="0"/>
        <v>47.01</v>
      </c>
      <c r="M54" s="3"/>
      <c r="N54" s="22">
        <f t="shared" si="1"/>
        <v>6.7640287769784164</v>
      </c>
      <c r="O54" s="11"/>
      <c r="P54" s="3">
        <f>--53.96</f>
        <v>53.96</v>
      </c>
      <c r="Q54" s="3"/>
      <c r="R54" s="22"/>
      <c r="S54" s="3"/>
      <c r="T54" s="3">
        <f>--6.95</f>
        <v>6.95</v>
      </c>
      <c r="U54" s="3"/>
      <c r="V54" s="22"/>
      <c r="W54" s="3"/>
      <c r="X54" s="3">
        <f t="shared" si="2"/>
        <v>47.01</v>
      </c>
      <c r="Y54" s="3"/>
      <c r="Z54" s="22">
        <f t="shared" si="3"/>
        <v>6.7640287769784164</v>
      </c>
    </row>
    <row r="55" spans="1:26" s="24" customFormat="1" hidden="1" outlineLevel="1" x14ac:dyDescent="0.25">
      <c r="A55" s="50"/>
      <c r="B55" s="11" t="str">
        <f>CONCATENATE("          ", "4125", " - ", "NON-TAXABLE SALES-TEST FORMS")</f>
        <v xml:space="preserve">          4125 - NON-TAXABLE SALES-TEST FORMS</v>
      </c>
      <c r="C55" s="11"/>
      <c r="D55" s="3">
        <f>0</f>
        <v>0</v>
      </c>
      <c r="E55" s="3"/>
      <c r="F55" s="22"/>
      <c r="G55" s="3"/>
      <c r="H55" s="3">
        <f>--4.98</f>
        <v>4.9800000000000004</v>
      </c>
      <c r="I55" s="3"/>
      <c r="J55" s="22"/>
      <c r="K55" s="3"/>
      <c r="L55" s="3">
        <f t="shared" si="0"/>
        <v>-4.9800000000000004</v>
      </c>
      <c r="M55" s="3"/>
      <c r="N55" s="22">
        <f t="shared" si="1"/>
        <v>-1</v>
      </c>
      <c r="O55" s="11"/>
      <c r="P55" s="3">
        <f>0</f>
        <v>0</v>
      </c>
      <c r="Q55" s="3"/>
      <c r="R55" s="22"/>
      <c r="S55" s="3"/>
      <c r="T55" s="3">
        <f>--4.98</f>
        <v>4.9800000000000004</v>
      </c>
      <c r="U55" s="3"/>
      <c r="V55" s="22"/>
      <c r="W55" s="3"/>
      <c r="X55" s="3">
        <f t="shared" si="2"/>
        <v>-4.9800000000000004</v>
      </c>
      <c r="Y55" s="3"/>
      <c r="Z55" s="22">
        <f t="shared" si="3"/>
        <v>-1</v>
      </c>
    </row>
    <row r="56" spans="1:26" s="24" customFormat="1" hidden="1" outlineLevel="1" x14ac:dyDescent="0.25">
      <c r="A56" s="50"/>
      <c r="B56" s="11" t="str">
        <f>CONCATENATE("          ", "4126", " - ", "NON-TAXABLE SALES-WRITING INST")</f>
        <v xml:space="preserve">          4126 - NON-TAXABLE SALES-WRITING INST</v>
      </c>
      <c r="C56" s="11"/>
      <c r="D56" s="3">
        <f>--52.68</f>
        <v>52.68</v>
      </c>
      <c r="E56" s="3"/>
      <c r="F56" s="22"/>
      <c r="G56" s="3"/>
      <c r="H56" s="3">
        <f>--167.03</f>
        <v>167.03</v>
      </c>
      <c r="I56" s="3"/>
      <c r="J56" s="22"/>
      <c r="K56" s="3"/>
      <c r="L56" s="3">
        <f t="shared" si="0"/>
        <v>-114.35</v>
      </c>
      <c r="M56" s="3"/>
      <c r="N56" s="22">
        <f t="shared" si="1"/>
        <v>-0.68460755552894681</v>
      </c>
      <c r="O56" s="11"/>
      <c r="P56" s="3">
        <f>--52.68</f>
        <v>52.68</v>
      </c>
      <c r="Q56" s="3"/>
      <c r="R56" s="22"/>
      <c r="S56" s="3"/>
      <c r="T56" s="3">
        <f>--167.03</f>
        <v>167.03</v>
      </c>
      <c r="U56" s="3"/>
      <c r="V56" s="22"/>
      <c r="W56" s="3"/>
      <c r="X56" s="3">
        <f t="shared" si="2"/>
        <v>-114.35</v>
      </c>
      <c r="Y56" s="3"/>
      <c r="Z56" s="22">
        <f t="shared" si="3"/>
        <v>-0.68460755552894681</v>
      </c>
    </row>
    <row r="57" spans="1:26" s="24" customFormat="1" hidden="1" outlineLevel="1" x14ac:dyDescent="0.25">
      <c r="A57" s="50"/>
      <c r="B57" s="11" t="str">
        <f>CONCATENATE("          ", "4127", " - ", "NON-TAXABLE SALES-SCHOOL SUPPL")</f>
        <v xml:space="preserve">          4127 - NON-TAXABLE SALES-SCHOOL SUPPL</v>
      </c>
      <c r="C57" s="11"/>
      <c r="D57" s="3">
        <f>--72.25</f>
        <v>72.25</v>
      </c>
      <c r="E57" s="3"/>
      <c r="F57" s="22"/>
      <c r="G57" s="3"/>
      <c r="H57" s="3">
        <f>--177.89</f>
        <v>177.89</v>
      </c>
      <c r="I57" s="3"/>
      <c r="J57" s="22"/>
      <c r="K57" s="3"/>
      <c r="L57" s="3">
        <f t="shared" si="0"/>
        <v>-105.63999999999999</v>
      </c>
      <c r="M57" s="3"/>
      <c r="N57" s="22">
        <f t="shared" si="1"/>
        <v>-0.5938501321041092</v>
      </c>
      <c r="O57" s="11"/>
      <c r="P57" s="3">
        <f>--72.25</f>
        <v>72.25</v>
      </c>
      <c r="Q57" s="3"/>
      <c r="R57" s="22"/>
      <c r="S57" s="3"/>
      <c r="T57" s="3">
        <f>--177.89</f>
        <v>177.89</v>
      </c>
      <c r="U57" s="3"/>
      <c r="V57" s="22"/>
      <c r="W57" s="3"/>
      <c r="X57" s="3">
        <f t="shared" si="2"/>
        <v>-105.63999999999999</v>
      </c>
      <c r="Y57" s="3"/>
      <c r="Z57" s="22">
        <f t="shared" si="3"/>
        <v>-0.5938501321041092</v>
      </c>
    </row>
    <row r="58" spans="1:26" s="24" customFormat="1" hidden="1" outlineLevel="1" x14ac:dyDescent="0.25">
      <c r="A58" s="50"/>
      <c r="B58" s="11" t="str">
        <f>CONCATENATE("          ", "4128", " - ", "NON-TAXABLE SALES-ART/TECH")</f>
        <v xml:space="preserve">          4128 - NON-TAXABLE SALES-ART/TECH</v>
      </c>
      <c r="C58" s="11"/>
      <c r="D58" s="3">
        <f>0</f>
        <v>0</v>
      </c>
      <c r="E58" s="3"/>
      <c r="F58" s="22"/>
      <c r="G58" s="3"/>
      <c r="H58" s="3">
        <f>--1.49</f>
        <v>1.49</v>
      </c>
      <c r="I58" s="3"/>
      <c r="J58" s="22"/>
      <c r="K58" s="3"/>
      <c r="L58" s="3">
        <f t="shared" si="0"/>
        <v>-1.49</v>
      </c>
      <c r="M58" s="3"/>
      <c r="N58" s="22">
        <f t="shared" si="1"/>
        <v>-1</v>
      </c>
      <c r="O58" s="11"/>
      <c r="P58" s="3">
        <f>0</f>
        <v>0</v>
      </c>
      <c r="Q58" s="3"/>
      <c r="R58" s="22"/>
      <c r="S58" s="3"/>
      <c r="T58" s="3">
        <f>--1.49</f>
        <v>1.49</v>
      </c>
      <c r="U58" s="3"/>
      <c r="V58" s="22"/>
      <c r="W58" s="3"/>
      <c r="X58" s="3">
        <f t="shared" si="2"/>
        <v>-1.49</v>
      </c>
      <c r="Y58" s="3"/>
      <c r="Z58" s="22">
        <f t="shared" si="3"/>
        <v>-1</v>
      </c>
    </row>
    <row r="59" spans="1:26" s="24" customFormat="1" hidden="1" outlineLevel="1" x14ac:dyDescent="0.25">
      <c r="A59" s="50"/>
      <c r="B59" s="11" t="str">
        <f>CONCATENATE("          ", "4131", " - ", "NON-TAXABLE SALES-FOOD")</f>
        <v xml:space="preserve">          4131 - NON-TAXABLE SALES-FOOD</v>
      </c>
      <c r="C59" s="11"/>
      <c r="D59" s="3">
        <f>--259.43</f>
        <v>259.43</v>
      </c>
      <c r="E59" s="3"/>
      <c r="F59" s="22"/>
      <c r="G59" s="3"/>
      <c r="H59" s="3">
        <f>--269.62</f>
        <v>269.62</v>
      </c>
      <c r="I59" s="3"/>
      <c r="J59" s="22"/>
      <c r="K59" s="3"/>
      <c r="L59" s="3">
        <f t="shared" si="0"/>
        <v>-10.189999999999998</v>
      </c>
      <c r="M59" s="3"/>
      <c r="N59" s="22">
        <f t="shared" si="1"/>
        <v>-3.7793932200875298E-2</v>
      </c>
      <c r="O59" s="11"/>
      <c r="P59" s="3">
        <f>--259.43</f>
        <v>259.43</v>
      </c>
      <c r="Q59" s="3"/>
      <c r="R59" s="22"/>
      <c r="S59" s="3"/>
      <c r="T59" s="3">
        <f>--269.62</f>
        <v>269.62</v>
      </c>
      <c r="U59" s="3"/>
      <c r="V59" s="22"/>
      <c r="W59" s="3"/>
      <c r="X59" s="3">
        <f t="shared" si="2"/>
        <v>-10.189999999999998</v>
      </c>
      <c r="Y59" s="3"/>
      <c r="Z59" s="22">
        <f t="shared" si="3"/>
        <v>-3.7793932200875298E-2</v>
      </c>
    </row>
    <row r="60" spans="1:26" s="24" customFormat="1" hidden="1" outlineLevel="1" x14ac:dyDescent="0.25">
      <c r="A60" s="50"/>
      <c r="B60" s="11" t="str">
        <f>CONCATENATE("          ", "4132", " - ", "NON-TAXABLE SALES-JUICE")</f>
        <v xml:space="preserve">          4132 - NON-TAXABLE SALES-JUICE</v>
      </c>
      <c r="C60" s="11"/>
      <c r="D60" s="3">
        <f>--22.49</f>
        <v>22.49</v>
      </c>
      <c r="E60" s="3"/>
      <c r="F60" s="22"/>
      <c r="G60" s="3"/>
      <c r="H60" s="3">
        <f>--45.31</f>
        <v>45.31</v>
      </c>
      <c r="I60" s="3"/>
      <c r="J60" s="22"/>
      <c r="K60" s="3"/>
      <c r="L60" s="3">
        <f t="shared" si="0"/>
        <v>-22.820000000000004</v>
      </c>
      <c r="M60" s="3"/>
      <c r="N60" s="22">
        <f t="shared" si="1"/>
        <v>-0.50364158022511596</v>
      </c>
      <c r="O60" s="11"/>
      <c r="P60" s="3">
        <f>--22.49</f>
        <v>22.49</v>
      </c>
      <c r="Q60" s="3"/>
      <c r="R60" s="22"/>
      <c r="S60" s="3"/>
      <c r="T60" s="3">
        <f>--45.31</f>
        <v>45.31</v>
      </c>
      <c r="U60" s="3"/>
      <c r="V60" s="22"/>
      <c r="W60" s="3"/>
      <c r="X60" s="3">
        <f t="shared" si="2"/>
        <v>-22.820000000000004</v>
      </c>
      <c r="Y60" s="3"/>
      <c r="Z60" s="22">
        <f t="shared" si="3"/>
        <v>-0.50364158022511596</v>
      </c>
    </row>
    <row r="61" spans="1:26" s="24" customFormat="1" hidden="1" outlineLevel="1" x14ac:dyDescent="0.25">
      <c r="A61" s="50"/>
      <c r="B61" s="11" t="str">
        <f>CONCATENATE("          ", "4133", " - ", "NON-TAXABLE SALES-CANDY")</f>
        <v xml:space="preserve">          4133 - NON-TAXABLE SALES-CANDY</v>
      </c>
      <c r="C61" s="11"/>
      <c r="D61" s="3">
        <f>--68.28</f>
        <v>68.28</v>
      </c>
      <c r="E61" s="3"/>
      <c r="F61" s="22"/>
      <c r="G61" s="3"/>
      <c r="H61" s="3">
        <f>--472.22</f>
        <v>472.22</v>
      </c>
      <c r="I61" s="3"/>
      <c r="J61" s="22"/>
      <c r="K61" s="3"/>
      <c r="L61" s="3">
        <f t="shared" si="0"/>
        <v>-403.94000000000005</v>
      </c>
      <c r="M61" s="3"/>
      <c r="N61" s="22">
        <f t="shared" si="1"/>
        <v>-0.85540637838295719</v>
      </c>
      <c r="O61" s="11"/>
      <c r="P61" s="3">
        <f>--68.28</f>
        <v>68.28</v>
      </c>
      <c r="Q61" s="3"/>
      <c r="R61" s="22"/>
      <c r="S61" s="3"/>
      <c r="T61" s="3">
        <f>--472.22</f>
        <v>472.22</v>
      </c>
      <c r="U61" s="3"/>
      <c r="V61" s="22"/>
      <c r="W61" s="3"/>
      <c r="X61" s="3">
        <f t="shared" si="2"/>
        <v>-403.94000000000005</v>
      </c>
      <c r="Y61" s="3"/>
      <c r="Z61" s="22">
        <f t="shared" si="3"/>
        <v>-0.85540637838295719</v>
      </c>
    </row>
    <row r="62" spans="1:26" s="24" customFormat="1" hidden="1" outlineLevel="1" x14ac:dyDescent="0.25">
      <c r="A62" s="50"/>
      <c r="B62" s="11" t="str">
        <f>CONCATENATE("          ", "4134", " - ", "NON-TAXABLE SALES-SODA")</f>
        <v xml:space="preserve">          4134 - NON-TAXABLE SALES-SODA</v>
      </c>
      <c r="C62" s="11"/>
      <c r="D62" s="3">
        <f>--45.53</f>
        <v>45.53</v>
      </c>
      <c r="E62" s="3"/>
      <c r="F62" s="22"/>
      <c r="G62" s="3"/>
      <c r="H62" s="3">
        <f>0</f>
        <v>0</v>
      </c>
      <c r="I62" s="3"/>
      <c r="J62" s="22"/>
      <c r="K62" s="3"/>
      <c r="L62" s="3">
        <f t="shared" si="0"/>
        <v>45.53</v>
      </c>
      <c r="M62" s="3"/>
      <c r="N62" s="22">
        <f t="shared" si="1"/>
        <v>0</v>
      </c>
      <c r="O62" s="11"/>
      <c r="P62" s="3">
        <f>--45.53</f>
        <v>45.53</v>
      </c>
      <c r="Q62" s="3"/>
      <c r="R62" s="22"/>
      <c r="S62" s="3"/>
      <c r="T62" s="3">
        <f>0</f>
        <v>0</v>
      </c>
      <c r="U62" s="3"/>
      <c r="V62" s="22"/>
      <c r="W62" s="3"/>
      <c r="X62" s="3">
        <f t="shared" si="2"/>
        <v>45.53</v>
      </c>
      <c r="Y62" s="3"/>
      <c r="Z62" s="22">
        <f t="shared" si="3"/>
        <v>0</v>
      </c>
    </row>
    <row r="63" spans="1:26" s="24" customFormat="1" hidden="1" outlineLevel="1" x14ac:dyDescent="0.25">
      <c r="A63" s="50"/>
      <c r="B63" s="11" t="str">
        <f>CONCATENATE("          ", "4135", " - ", "NON-TAXABLE SALES")</f>
        <v xml:space="preserve">          4135 - NON-TAXABLE SALES</v>
      </c>
      <c r="C63" s="11"/>
      <c r="D63" s="3">
        <f>0</f>
        <v>0</v>
      </c>
      <c r="E63" s="3"/>
      <c r="F63" s="22"/>
      <c r="G63" s="3"/>
      <c r="H63" s="3">
        <f>--21.54</f>
        <v>21.54</v>
      </c>
      <c r="I63" s="3"/>
      <c r="J63" s="22"/>
      <c r="K63" s="3"/>
      <c r="L63" s="3">
        <f t="shared" si="0"/>
        <v>-21.54</v>
      </c>
      <c r="M63" s="3"/>
      <c r="N63" s="22">
        <f t="shared" si="1"/>
        <v>-1</v>
      </c>
      <c r="O63" s="11"/>
      <c r="P63" s="3">
        <f>0</f>
        <v>0</v>
      </c>
      <c r="Q63" s="3"/>
      <c r="R63" s="22"/>
      <c r="S63" s="3"/>
      <c r="T63" s="3">
        <f>--21.54</f>
        <v>21.54</v>
      </c>
      <c r="U63" s="3"/>
      <c r="V63" s="22"/>
      <c r="W63" s="3"/>
      <c r="X63" s="3">
        <f t="shared" si="2"/>
        <v>-21.54</v>
      </c>
      <c r="Y63" s="3"/>
      <c r="Z63" s="22">
        <f t="shared" si="3"/>
        <v>-1</v>
      </c>
    </row>
    <row r="64" spans="1:26" s="24" customFormat="1" hidden="1" outlineLevel="1" x14ac:dyDescent="0.25">
      <c r="A64" s="50"/>
      <c r="B64" s="11" t="str">
        <f>CONCATENATE("          ", "4137", " - ", "NON-TAXABLE SALES-WATER")</f>
        <v xml:space="preserve">          4137 - NON-TAXABLE SALES-WATER</v>
      </c>
      <c r="C64" s="11"/>
      <c r="D64" s="3">
        <f>--68.25</f>
        <v>68.25</v>
      </c>
      <c r="E64" s="3"/>
      <c r="F64" s="22"/>
      <c r="G64" s="3"/>
      <c r="H64" s="3">
        <f>--53.02</f>
        <v>53.02</v>
      </c>
      <c r="I64" s="3"/>
      <c r="J64" s="22"/>
      <c r="K64" s="3"/>
      <c r="L64" s="3">
        <f t="shared" si="0"/>
        <v>15.229999999999997</v>
      </c>
      <c r="M64" s="3"/>
      <c r="N64" s="22">
        <f t="shared" si="1"/>
        <v>0.28725009430403614</v>
      </c>
      <c r="O64" s="11"/>
      <c r="P64" s="3">
        <f>--68.25</f>
        <v>68.25</v>
      </c>
      <c r="Q64" s="3"/>
      <c r="R64" s="22"/>
      <c r="S64" s="3"/>
      <c r="T64" s="3">
        <f>--53.02</f>
        <v>53.02</v>
      </c>
      <c r="U64" s="3"/>
      <c r="V64" s="22"/>
      <c r="W64" s="3"/>
      <c r="X64" s="3">
        <f t="shared" si="2"/>
        <v>15.229999999999997</v>
      </c>
      <c r="Y64" s="3"/>
      <c r="Z64" s="22">
        <f t="shared" si="3"/>
        <v>0.28725009430403614</v>
      </c>
    </row>
    <row r="65" spans="1:26" s="24" customFormat="1" hidden="1" outlineLevel="1" x14ac:dyDescent="0.25">
      <c r="A65" s="50"/>
      <c r="B65" s="11" t="str">
        <f>CONCATENATE("          ", "4140", " - ", "NON-TAXABLE SALES-LOGO CLOTHIN")</f>
        <v xml:space="preserve">          4140 - NON-TAXABLE SALES-LOGO CLOTHIN</v>
      </c>
      <c r="C65" s="11"/>
      <c r="D65" s="3">
        <f>--6846.24</f>
        <v>6846.24</v>
      </c>
      <c r="E65" s="3"/>
      <c r="F65" s="22"/>
      <c r="G65" s="3"/>
      <c r="H65" s="3">
        <f>--3163.67</f>
        <v>3163.67</v>
      </c>
      <c r="I65" s="3"/>
      <c r="J65" s="22"/>
      <c r="K65" s="3"/>
      <c r="L65" s="3">
        <f t="shared" si="0"/>
        <v>3682.5699999999997</v>
      </c>
      <c r="M65" s="3"/>
      <c r="N65" s="22">
        <f t="shared" si="1"/>
        <v>1.164018371069043</v>
      </c>
      <c r="O65" s="11"/>
      <c r="P65" s="3">
        <f>--6846.24</f>
        <v>6846.24</v>
      </c>
      <c r="Q65" s="3"/>
      <c r="R65" s="22"/>
      <c r="S65" s="3"/>
      <c r="T65" s="3">
        <f>--3163.67</f>
        <v>3163.67</v>
      </c>
      <c r="U65" s="3"/>
      <c r="V65" s="22"/>
      <c r="W65" s="3"/>
      <c r="X65" s="3">
        <f t="shared" si="2"/>
        <v>3682.5699999999997</v>
      </c>
      <c r="Y65" s="3"/>
      <c r="Z65" s="22">
        <f t="shared" si="3"/>
        <v>1.164018371069043</v>
      </c>
    </row>
    <row r="66" spans="1:26" s="24" customFormat="1" hidden="1" outlineLevel="1" x14ac:dyDescent="0.25">
      <c r="A66" s="50"/>
      <c r="B66" s="11" t="str">
        <f>CONCATENATE("          ", "4141", " - ", "NON-TAXABLE SALES-LOGO GIFTS")</f>
        <v xml:space="preserve">          4141 - NON-TAXABLE SALES-LOGO GIFTS</v>
      </c>
      <c r="C66" s="11"/>
      <c r="D66" s="3">
        <f>--1200.19</f>
        <v>1200.19</v>
      </c>
      <c r="E66" s="3"/>
      <c r="F66" s="22"/>
      <c r="G66" s="3"/>
      <c r="H66" s="3">
        <f>--262.15</f>
        <v>262.14999999999998</v>
      </c>
      <c r="I66" s="3"/>
      <c r="J66" s="22"/>
      <c r="K66" s="3"/>
      <c r="L66" s="3">
        <f t="shared" si="0"/>
        <v>938.04000000000008</v>
      </c>
      <c r="M66" s="3"/>
      <c r="N66" s="22">
        <f t="shared" si="1"/>
        <v>3.5782567232500484</v>
      </c>
      <c r="O66" s="11"/>
      <c r="P66" s="3">
        <f>--1200.19</f>
        <v>1200.19</v>
      </c>
      <c r="Q66" s="3"/>
      <c r="R66" s="22"/>
      <c r="S66" s="3"/>
      <c r="T66" s="3">
        <f>--262.15</f>
        <v>262.14999999999998</v>
      </c>
      <c r="U66" s="3"/>
      <c r="V66" s="22"/>
      <c r="W66" s="3"/>
      <c r="X66" s="3">
        <f t="shared" si="2"/>
        <v>938.04000000000008</v>
      </c>
      <c r="Y66" s="3"/>
      <c r="Z66" s="22">
        <f t="shared" si="3"/>
        <v>3.5782567232500484</v>
      </c>
    </row>
    <row r="67" spans="1:26" s="24" customFormat="1" hidden="1" outlineLevel="1" x14ac:dyDescent="0.25">
      <c r="A67" s="50"/>
      <c r="B67" s="11" t="str">
        <f>CONCATENATE("          ", "4142", " - ", "NON-TAXABLE SALES-EVERYDAY GIF")</f>
        <v xml:space="preserve">          4142 - NON-TAXABLE SALES-EVERYDAY GIF</v>
      </c>
      <c r="C67" s="11"/>
      <c r="D67" s="3">
        <f>--640.17</f>
        <v>640.16999999999996</v>
      </c>
      <c r="E67" s="3"/>
      <c r="F67" s="22"/>
      <c r="G67" s="3"/>
      <c r="H67" s="3">
        <f>--342.44</f>
        <v>342.44</v>
      </c>
      <c r="I67" s="3"/>
      <c r="J67" s="22"/>
      <c r="K67" s="3"/>
      <c r="L67" s="3">
        <f t="shared" si="0"/>
        <v>297.72999999999996</v>
      </c>
      <c r="M67" s="3"/>
      <c r="N67" s="22">
        <f t="shared" si="1"/>
        <v>0.86943698166102079</v>
      </c>
      <c r="O67" s="11"/>
      <c r="P67" s="3">
        <f>--640.17</f>
        <v>640.16999999999996</v>
      </c>
      <c r="Q67" s="3"/>
      <c r="R67" s="22"/>
      <c r="S67" s="3"/>
      <c r="T67" s="3">
        <f>--342.44</f>
        <v>342.44</v>
      </c>
      <c r="U67" s="3"/>
      <c r="V67" s="22"/>
      <c r="W67" s="3"/>
      <c r="X67" s="3">
        <f t="shared" si="2"/>
        <v>297.72999999999996</v>
      </c>
      <c r="Y67" s="3"/>
      <c r="Z67" s="22">
        <f t="shared" si="3"/>
        <v>0.86943698166102079</v>
      </c>
    </row>
    <row r="68" spans="1:26" s="24" customFormat="1" hidden="1" outlineLevel="1" x14ac:dyDescent="0.25">
      <c r="A68" s="50"/>
      <c r="B68" s="11" t="str">
        <f>CONCATENATE("          ", "4144", " - ", "NON-TAXABLE SALES-ACCESSORIES")</f>
        <v xml:space="preserve">          4144 - NON-TAXABLE SALES-ACCESSORIES</v>
      </c>
      <c r="C68" s="11"/>
      <c r="D68" s="3">
        <f>--47.85</f>
        <v>47.85</v>
      </c>
      <c r="E68" s="3"/>
      <c r="F68" s="22"/>
      <c r="G68" s="3"/>
      <c r="H68" s="3">
        <f>--21.9</f>
        <v>21.9</v>
      </c>
      <c r="I68" s="3"/>
      <c r="J68" s="22"/>
      <c r="K68" s="3"/>
      <c r="L68" s="3">
        <f t="shared" si="0"/>
        <v>25.950000000000003</v>
      </c>
      <c r="M68" s="3"/>
      <c r="N68" s="22">
        <f t="shared" si="1"/>
        <v>1.1849315068493154</v>
      </c>
      <c r="O68" s="11"/>
      <c r="P68" s="3">
        <f>--47.85</f>
        <v>47.85</v>
      </c>
      <c r="Q68" s="3"/>
      <c r="R68" s="22"/>
      <c r="S68" s="3"/>
      <c r="T68" s="3">
        <f>--21.9</f>
        <v>21.9</v>
      </c>
      <c r="U68" s="3"/>
      <c r="V68" s="22"/>
      <c r="W68" s="3"/>
      <c r="X68" s="3">
        <f t="shared" si="2"/>
        <v>25.950000000000003</v>
      </c>
      <c r="Y68" s="3"/>
      <c r="Z68" s="22">
        <f t="shared" si="3"/>
        <v>1.1849315068493154</v>
      </c>
    </row>
    <row r="69" spans="1:26" s="24" customFormat="1" hidden="1" outlineLevel="1" x14ac:dyDescent="0.25">
      <c r="A69" s="50"/>
      <c r="B69" s="11" t="str">
        <f>CONCATENATE("          ", "4145", " - ", "NON-TAXABLE SALES-SPECIAL ORDE")</f>
        <v xml:space="preserve">          4145 - NON-TAXABLE SALES-SPECIAL ORDE</v>
      </c>
      <c r="C69" s="11"/>
      <c r="D69" s="3">
        <f>--35496</f>
        <v>35496</v>
      </c>
      <c r="E69" s="3"/>
      <c r="F69" s="22"/>
      <c r="G69" s="3"/>
      <c r="H69" s="3">
        <f>0</f>
        <v>0</v>
      </c>
      <c r="I69" s="3"/>
      <c r="J69" s="22"/>
      <c r="K69" s="3"/>
      <c r="L69" s="3">
        <f t="shared" si="0"/>
        <v>35496</v>
      </c>
      <c r="M69" s="3"/>
      <c r="N69" s="22">
        <f t="shared" si="1"/>
        <v>0</v>
      </c>
      <c r="O69" s="11"/>
      <c r="P69" s="3">
        <f>--35496</f>
        <v>35496</v>
      </c>
      <c r="Q69" s="3"/>
      <c r="R69" s="22"/>
      <c r="S69" s="3"/>
      <c r="T69" s="3">
        <f>0</f>
        <v>0</v>
      </c>
      <c r="U69" s="3"/>
      <c r="V69" s="22"/>
      <c r="W69" s="3"/>
      <c r="X69" s="3">
        <f t="shared" si="2"/>
        <v>35496</v>
      </c>
      <c r="Y69" s="3"/>
      <c r="Z69" s="22">
        <f t="shared" si="3"/>
        <v>0</v>
      </c>
    </row>
    <row r="70" spans="1:26" s="24" customFormat="1" hidden="1" outlineLevel="1" x14ac:dyDescent="0.25">
      <c r="A70" s="50"/>
      <c r="B70" s="11" t="str">
        <f>CONCATENATE("          ", "4146", " - ", "NON-TAXABLE SALES-COIN OP MACH")</f>
        <v xml:space="preserve">          4146 - NON-TAXABLE SALES-COIN OP MACH</v>
      </c>
      <c r="C70" s="11"/>
      <c r="D70" s="3">
        <f>0</f>
        <v>0</v>
      </c>
      <c r="E70" s="3"/>
      <c r="F70" s="22"/>
      <c r="G70" s="3"/>
      <c r="H70" s="3">
        <f>--2067.1</f>
        <v>2067.1</v>
      </c>
      <c r="I70" s="3"/>
      <c r="J70" s="22"/>
      <c r="K70" s="3"/>
      <c r="L70" s="3">
        <f t="shared" si="0"/>
        <v>-2067.1</v>
      </c>
      <c r="M70" s="3"/>
      <c r="N70" s="22">
        <f t="shared" si="1"/>
        <v>-1</v>
      </c>
      <c r="O70" s="11"/>
      <c r="P70" s="3">
        <f>0</f>
        <v>0</v>
      </c>
      <c r="Q70" s="3"/>
      <c r="R70" s="22"/>
      <c r="S70" s="3"/>
      <c r="T70" s="3">
        <f>--2067.1</f>
        <v>2067.1</v>
      </c>
      <c r="U70" s="3"/>
      <c r="V70" s="22"/>
      <c r="W70" s="3"/>
      <c r="X70" s="3">
        <f t="shared" si="2"/>
        <v>-2067.1</v>
      </c>
      <c r="Y70" s="3"/>
      <c r="Z70" s="22">
        <f t="shared" si="3"/>
        <v>-1</v>
      </c>
    </row>
    <row r="71" spans="1:26" s="24" customFormat="1" hidden="1" outlineLevel="1" x14ac:dyDescent="0.25">
      <c r="A71" s="50"/>
      <c r="B71" s="11" t="str">
        <f>CONCATENATE("          ", "4147", " - ", "NON-TAXABLE SALES-MISC")</f>
        <v xml:space="preserve">          4147 - NON-TAXABLE SALES-MISC</v>
      </c>
      <c r="C71" s="11"/>
      <c r="D71" s="3">
        <f>--1</f>
        <v>1</v>
      </c>
      <c r="E71" s="3"/>
      <c r="F71" s="22"/>
      <c r="G71" s="3"/>
      <c r="H71" s="3">
        <f>--16.5</f>
        <v>16.5</v>
      </c>
      <c r="I71" s="3"/>
      <c r="J71" s="22"/>
      <c r="K71" s="3"/>
      <c r="L71" s="3">
        <f t="shared" si="0"/>
        <v>-15.5</v>
      </c>
      <c r="M71" s="3"/>
      <c r="N71" s="22">
        <f t="shared" si="1"/>
        <v>-0.93939393939393945</v>
      </c>
      <c r="O71" s="11"/>
      <c r="P71" s="3">
        <f>--1</f>
        <v>1</v>
      </c>
      <c r="Q71" s="3"/>
      <c r="R71" s="22"/>
      <c r="S71" s="3"/>
      <c r="T71" s="3">
        <f>--16.5</f>
        <v>16.5</v>
      </c>
      <c r="U71" s="3"/>
      <c r="V71" s="22"/>
      <c r="W71" s="3"/>
      <c r="X71" s="3">
        <f t="shared" si="2"/>
        <v>-15.5</v>
      </c>
      <c r="Y71" s="3"/>
      <c r="Z71" s="22">
        <f t="shared" si="3"/>
        <v>-0.93939393939393945</v>
      </c>
    </row>
    <row r="72" spans="1:26" s="24" customFormat="1" hidden="1" outlineLevel="1" x14ac:dyDescent="0.25">
      <c r="A72" s="50"/>
      <c r="B72" s="11" t="str">
        <f>CONCATENATE("          ", "4181", " - ", "NON-TAXABLE SALES-ELECTRONICS")</f>
        <v xml:space="preserve">          4181 - NON-TAXABLE SALES-ELECTRONICS</v>
      </c>
      <c r="C72" s="11"/>
      <c r="D72" s="3">
        <f>--289.98</f>
        <v>289.98</v>
      </c>
      <c r="E72" s="3"/>
      <c r="F72" s="22"/>
      <c r="G72" s="3"/>
      <c r="H72" s="3">
        <f>--1302.61</f>
        <v>1302.6099999999999</v>
      </c>
      <c r="I72" s="3"/>
      <c r="J72" s="22"/>
      <c r="K72" s="3"/>
      <c r="L72" s="3">
        <f t="shared" si="0"/>
        <v>-1012.6299999999999</v>
      </c>
      <c r="M72" s="3"/>
      <c r="N72" s="22">
        <f t="shared" si="1"/>
        <v>-0.777385403152133</v>
      </c>
      <c r="O72" s="11"/>
      <c r="P72" s="3">
        <f>--289.98</f>
        <v>289.98</v>
      </c>
      <c r="Q72" s="3"/>
      <c r="R72" s="22"/>
      <c r="S72" s="3"/>
      <c r="T72" s="3">
        <f>--1302.61</f>
        <v>1302.6099999999999</v>
      </c>
      <c r="U72" s="3"/>
      <c r="V72" s="22"/>
      <c r="W72" s="3"/>
      <c r="X72" s="3">
        <f t="shared" si="2"/>
        <v>-1012.6299999999999</v>
      </c>
      <c r="Y72" s="3"/>
      <c r="Z72" s="22">
        <f t="shared" si="3"/>
        <v>-0.777385403152133</v>
      </c>
    </row>
    <row r="73" spans="1:26" s="24" customFormat="1" hidden="1" outlineLevel="1" x14ac:dyDescent="0.25">
      <c r="A73" s="50"/>
      <c r="B73" s="11" t="str">
        <f>CONCATENATE("          ", "4182", " - ", "NON-TAXABLE SALES-COMPUTER HAR")</f>
        <v xml:space="preserve">          4182 - NON-TAXABLE SALES-COMPUTER HAR</v>
      </c>
      <c r="C73" s="11"/>
      <c r="D73" s="3">
        <f>--35876.99</f>
        <v>35876.99</v>
      </c>
      <c r="E73" s="3"/>
      <c r="F73" s="22"/>
      <c r="G73" s="3"/>
      <c r="H73" s="3">
        <f>--10618</f>
        <v>10618</v>
      </c>
      <c r="I73" s="3"/>
      <c r="J73" s="22"/>
      <c r="K73" s="3"/>
      <c r="L73" s="3">
        <f t="shared" si="0"/>
        <v>25258.989999999998</v>
      </c>
      <c r="M73" s="3"/>
      <c r="N73" s="22">
        <f t="shared" si="1"/>
        <v>2.3788839706159348</v>
      </c>
      <c r="O73" s="11"/>
      <c r="P73" s="3">
        <f>--35876.99</f>
        <v>35876.99</v>
      </c>
      <c r="Q73" s="3"/>
      <c r="R73" s="22"/>
      <c r="S73" s="3"/>
      <c r="T73" s="3">
        <f>--10618</f>
        <v>10618</v>
      </c>
      <c r="U73" s="3"/>
      <c r="V73" s="22"/>
      <c r="W73" s="3"/>
      <c r="X73" s="3">
        <f t="shared" si="2"/>
        <v>25258.989999999998</v>
      </c>
      <c r="Y73" s="3"/>
      <c r="Z73" s="22">
        <f t="shared" si="3"/>
        <v>2.3788839706159348</v>
      </c>
    </row>
    <row r="74" spans="1:26" s="24" customFormat="1" hidden="1" outlineLevel="1" x14ac:dyDescent="0.25">
      <c r="A74" s="50"/>
      <c r="B74" s="11" t="str">
        <f>CONCATENATE("          ", "4183", " - ", "NON-TAXABLE SALES-COMPUTER EQU")</f>
        <v xml:space="preserve">          4183 - NON-TAXABLE SALES-COMPUTER EQU</v>
      </c>
      <c r="C74" s="11"/>
      <c r="D74" s="3">
        <f>--1359.85</f>
        <v>1359.85</v>
      </c>
      <c r="E74" s="3"/>
      <c r="F74" s="22"/>
      <c r="G74" s="3"/>
      <c r="H74" s="3">
        <f>--181.9</f>
        <v>181.9</v>
      </c>
      <c r="I74" s="3"/>
      <c r="J74" s="22"/>
      <c r="K74" s="3"/>
      <c r="L74" s="3">
        <f t="shared" si="0"/>
        <v>1177.9499999999998</v>
      </c>
      <c r="M74" s="3"/>
      <c r="N74" s="22">
        <f t="shared" si="1"/>
        <v>6.4758108851017031</v>
      </c>
      <c r="O74" s="11"/>
      <c r="P74" s="3">
        <f>--1359.85</f>
        <v>1359.85</v>
      </c>
      <c r="Q74" s="3"/>
      <c r="R74" s="22"/>
      <c r="S74" s="3"/>
      <c r="T74" s="3">
        <f>--181.9</f>
        <v>181.9</v>
      </c>
      <c r="U74" s="3"/>
      <c r="V74" s="22"/>
      <c r="W74" s="3"/>
      <c r="X74" s="3">
        <f t="shared" si="2"/>
        <v>1177.9499999999998</v>
      </c>
      <c r="Y74" s="3"/>
      <c r="Z74" s="22">
        <f t="shared" si="3"/>
        <v>6.4758108851017031</v>
      </c>
    </row>
    <row r="75" spans="1:26" s="24" customFormat="1" hidden="1" outlineLevel="1" x14ac:dyDescent="0.25">
      <c r="A75" s="50"/>
      <c r="B75" s="11" t="str">
        <f>CONCATENATE("          ", "4185", " - ", "NON-TAXABLE SALES-SOFTWARE")</f>
        <v xml:space="preserve">          4185 - NON-TAXABLE SALES-SOFTWARE</v>
      </c>
      <c r="C75" s="11"/>
      <c r="D75" s="3">
        <f>--6187.74</f>
        <v>6187.74</v>
      </c>
      <c r="E75" s="3"/>
      <c r="F75" s="22"/>
      <c r="G75" s="3"/>
      <c r="H75" s="3">
        <f>--752</f>
        <v>752</v>
      </c>
      <c r="I75" s="3"/>
      <c r="J75" s="22"/>
      <c r="K75" s="3"/>
      <c r="L75" s="3">
        <f t="shared" si="0"/>
        <v>5435.74</v>
      </c>
      <c r="M75" s="3"/>
      <c r="N75" s="22">
        <f t="shared" si="1"/>
        <v>7.228377659574468</v>
      </c>
      <c r="O75" s="11"/>
      <c r="P75" s="3">
        <f>--6187.74</f>
        <v>6187.74</v>
      </c>
      <c r="Q75" s="3"/>
      <c r="R75" s="22"/>
      <c r="S75" s="3"/>
      <c r="T75" s="3">
        <f>--752</f>
        <v>752</v>
      </c>
      <c r="U75" s="3"/>
      <c r="V75" s="22"/>
      <c r="W75" s="3"/>
      <c r="X75" s="3">
        <f t="shared" si="2"/>
        <v>5435.74</v>
      </c>
      <c r="Y75" s="3"/>
      <c r="Z75" s="22">
        <f t="shared" si="3"/>
        <v>7.228377659574468</v>
      </c>
    </row>
    <row r="76" spans="1:26" s="24" customFormat="1" hidden="1" outlineLevel="1" x14ac:dyDescent="0.25">
      <c r="A76" s="50"/>
      <c r="B76" s="11" t="str">
        <f>CONCATENATE("          ", "4186", " - ", "NON-TAXABLE SALES-COMPUTER SUP")</f>
        <v xml:space="preserve">          4186 - NON-TAXABLE SALES-COMPUTER SUP</v>
      </c>
      <c r="C76" s="11"/>
      <c r="D76" s="3">
        <f>--154.95</f>
        <v>154.94999999999999</v>
      </c>
      <c r="E76" s="3"/>
      <c r="F76" s="22"/>
      <c r="G76" s="3"/>
      <c r="H76" s="3">
        <f>--79.97</f>
        <v>79.97</v>
      </c>
      <c r="I76" s="3"/>
      <c r="J76" s="22"/>
      <c r="K76" s="3"/>
      <c r="L76" s="3">
        <f t="shared" si="0"/>
        <v>74.97999999999999</v>
      </c>
      <c r="M76" s="3"/>
      <c r="N76" s="22">
        <f t="shared" si="1"/>
        <v>0.93760160060022502</v>
      </c>
      <c r="O76" s="11"/>
      <c r="P76" s="3">
        <f>--154.95</f>
        <v>154.94999999999999</v>
      </c>
      <c r="Q76" s="3"/>
      <c r="R76" s="22"/>
      <c r="S76" s="3"/>
      <c r="T76" s="3">
        <f>--79.97</f>
        <v>79.97</v>
      </c>
      <c r="U76" s="3"/>
      <c r="V76" s="22"/>
      <c r="W76" s="3"/>
      <c r="X76" s="3">
        <f t="shared" si="2"/>
        <v>74.97999999999999</v>
      </c>
      <c r="Y76" s="3"/>
      <c r="Z76" s="22">
        <f t="shared" si="3"/>
        <v>0.93760160060022502</v>
      </c>
    </row>
    <row r="77" spans="1:26" s="24" customFormat="1" hidden="1" outlineLevel="1" x14ac:dyDescent="0.25">
      <c r="A77" s="50"/>
      <c r="B77" s="11" t="str">
        <f>CONCATENATE("          ", "4188", " - ", "NON-TAXABLE SALES-MUSIC")</f>
        <v xml:space="preserve">          4188 - NON-TAXABLE SALES-MUSIC</v>
      </c>
      <c r="C77" s="11"/>
      <c r="D77" s="3">
        <f>0</f>
        <v>0</v>
      </c>
      <c r="E77" s="3"/>
      <c r="F77" s="22"/>
      <c r="G77" s="3"/>
      <c r="H77" s="3">
        <f>--99.98</f>
        <v>99.98</v>
      </c>
      <c r="I77" s="3"/>
      <c r="J77" s="22"/>
      <c r="K77" s="3"/>
      <c r="L77" s="3">
        <f t="shared" si="0"/>
        <v>-99.98</v>
      </c>
      <c r="M77" s="3"/>
      <c r="N77" s="22">
        <f t="shared" si="1"/>
        <v>-1</v>
      </c>
      <c r="O77" s="11"/>
      <c r="P77" s="3">
        <f>0</f>
        <v>0</v>
      </c>
      <c r="Q77" s="3"/>
      <c r="R77" s="22"/>
      <c r="S77" s="3"/>
      <c r="T77" s="3">
        <f>--99.98</f>
        <v>99.98</v>
      </c>
      <c r="U77" s="3"/>
      <c r="V77" s="22"/>
      <c r="W77" s="3"/>
      <c r="X77" s="3">
        <f t="shared" si="2"/>
        <v>-99.98</v>
      </c>
      <c r="Y77" s="3"/>
      <c r="Z77" s="22">
        <f t="shared" si="3"/>
        <v>-1</v>
      </c>
    </row>
    <row r="78" spans="1:26" s="24" customFormat="1" hidden="1" outlineLevel="1" x14ac:dyDescent="0.25">
      <c r="A78" s="50"/>
      <c r="B78" s="11" t="str">
        <f>CONCATENATE("          ", "4201", " - ", "SALES RETURN TAXABLE-NEW TEXT")</f>
        <v xml:space="preserve">          4201 - SALES RETURN TAXABLE-NEW TEXT</v>
      </c>
      <c r="C78" s="11"/>
      <c r="D78" s="3">
        <f>-633.4</f>
        <v>-633.4</v>
      </c>
      <c r="E78" s="3"/>
      <c r="F78" s="22"/>
      <c r="G78" s="3"/>
      <c r="H78" s="3">
        <f>-607.15</f>
        <v>-607.15</v>
      </c>
      <c r="I78" s="3"/>
      <c r="J78" s="22"/>
      <c r="K78" s="3"/>
      <c r="L78" s="3">
        <f t="shared" si="0"/>
        <v>-26.25</v>
      </c>
      <c r="M78" s="3"/>
      <c r="N78" s="22">
        <f t="shared" si="1"/>
        <v>4.3234785473112082E-2</v>
      </c>
      <c r="O78" s="11"/>
      <c r="P78" s="3">
        <f>-633.4</f>
        <v>-633.4</v>
      </c>
      <c r="Q78" s="3"/>
      <c r="R78" s="22"/>
      <c r="S78" s="3"/>
      <c r="T78" s="3">
        <f>-607.15</f>
        <v>-607.15</v>
      </c>
      <c r="U78" s="3"/>
      <c r="V78" s="22"/>
      <c r="W78" s="3"/>
      <c r="X78" s="3">
        <f t="shared" si="2"/>
        <v>-26.25</v>
      </c>
      <c r="Y78" s="3"/>
      <c r="Z78" s="22">
        <f t="shared" si="3"/>
        <v>4.3234785473112082E-2</v>
      </c>
    </row>
    <row r="79" spans="1:26" s="24" customFormat="1" hidden="1" outlineLevel="1" x14ac:dyDescent="0.25">
      <c r="A79" s="50"/>
      <c r="B79" s="11" t="str">
        <f>CONCATENATE("          ", "4202", " - ", "SALES RETURN TAXABLE-USED TEXT")</f>
        <v xml:space="preserve">          4202 - SALES RETURN TAXABLE-USED TEXT</v>
      </c>
      <c r="C79" s="11"/>
      <c r="D79" s="3">
        <f>-178.35</f>
        <v>-178.35</v>
      </c>
      <c r="E79" s="3"/>
      <c r="F79" s="22"/>
      <c r="G79" s="3"/>
      <c r="H79" s="3">
        <f>-721.45</f>
        <v>-721.45</v>
      </c>
      <c r="I79" s="3"/>
      <c r="J79" s="22"/>
      <c r="K79" s="3"/>
      <c r="L79" s="3">
        <f t="shared" si="0"/>
        <v>543.1</v>
      </c>
      <c r="M79" s="3"/>
      <c r="N79" s="22">
        <f t="shared" si="1"/>
        <v>-0.75278952110333353</v>
      </c>
      <c r="O79" s="11"/>
      <c r="P79" s="3">
        <f>-178.35</f>
        <v>-178.35</v>
      </c>
      <c r="Q79" s="3"/>
      <c r="R79" s="22"/>
      <c r="S79" s="3"/>
      <c r="T79" s="3">
        <f>-721.45</f>
        <v>-721.45</v>
      </c>
      <c r="U79" s="3"/>
      <c r="V79" s="22"/>
      <c r="W79" s="3"/>
      <c r="X79" s="3">
        <f t="shared" si="2"/>
        <v>543.1</v>
      </c>
      <c r="Y79" s="3"/>
      <c r="Z79" s="22">
        <f t="shared" si="3"/>
        <v>-0.75278952110333353</v>
      </c>
    </row>
    <row r="80" spans="1:26" s="24" customFormat="1" hidden="1" outlineLevel="1" x14ac:dyDescent="0.25">
      <c r="A80" s="50"/>
      <c r="B80" s="11" t="str">
        <f>CONCATENATE("          ", "4225", " - ", "SALES RETURN TAXABLE-TEST FORM")</f>
        <v xml:space="preserve">          4225 - SALES RETURN TAXABLE-TEST FORM</v>
      </c>
      <c r="C80" s="11"/>
      <c r="D80" s="3">
        <f>0</f>
        <v>0</v>
      </c>
      <c r="E80" s="3"/>
      <c r="F80" s="22"/>
      <c r="G80" s="3"/>
      <c r="H80" s="3">
        <f>-4.08</f>
        <v>-4.08</v>
      </c>
      <c r="I80" s="3"/>
      <c r="J80" s="22"/>
      <c r="K80" s="3"/>
      <c r="L80" s="3">
        <f t="shared" si="0"/>
        <v>4.08</v>
      </c>
      <c r="M80" s="3"/>
      <c r="N80" s="22">
        <f t="shared" si="1"/>
        <v>-1</v>
      </c>
      <c r="O80" s="11"/>
      <c r="P80" s="3">
        <f>0</f>
        <v>0</v>
      </c>
      <c r="Q80" s="3"/>
      <c r="R80" s="22"/>
      <c r="S80" s="3"/>
      <c r="T80" s="3">
        <f>-4.08</f>
        <v>-4.08</v>
      </c>
      <c r="U80" s="3"/>
      <c r="V80" s="22"/>
      <c r="W80" s="3"/>
      <c r="X80" s="3">
        <f t="shared" si="2"/>
        <v>4.08</v>
      </c>
      <c r="Y80" s="3"/>
      <c r="Z80" s="22">
        <f t="shared" si="3"/>
        <v>-1</v>
      </c>
    </row>
    <row r="81" spans="1:26" s="24" customFormat="1" hidden="1" outlineLevel="1" x14ac:dyDescent="0.25">
      <c r="A81" s="50"/>
      <c r="B81" s="11" t="str">
        <f>CONCATENATE("          ", "4226", " - ", "SALES RETURN TAXABLE-WRITING I")</f>
        <v xml:space="preserve">          4226 - SALES RETURN TAXABLE-WRITING I</v>
      </c>
      <c r="C81" s="11"/>
      <c r="D81" s="3">
        <f>-6.38</f>
        <v>-6.38</v>
      </c>
      <c r="E81" s="3"/>
      <c r="F81" s="22"/>
      <c r="G81" s="3"/>
      <c r="H81" s="3">
        <f>-63.93</f>
        <v>-63.93</v>
      </c>
      <c r="I81" s="3"/>
      <c r="J81" s="22"/>
      <c r="K81" s="3"/>
      <c r="L81" s="3">
        <f t="shared" si="0"/>
        <v>57.55</v>
      </c>
      <c r="M81" s="3"/>
      <c r="N81" s="22">
        <f t="shared" si="1"/>
        <v>-0.90020334741123098</v>
      </c>
      <c r="O81" s="11"/>
      <c r="P81" s="3">
        <f>-6.38</f>
        <v>-6.38</v>
      </c>
      <c r="Q81" s="3"/>
      <c r="R81" s="22"/>
      <c r="S81" s="3"/>
      <c r="T81" s="3">
        <f>-63.93</f>
        <v>-63.93</v>
      </c>
      <c r="U81" s="3"/>
      <c r="V81" s="22"/>
      <c r="W81" s="3"/>
      <c r="X81" s="3">
        <f t="shared" si="2"/>
        <v>57.55</v>
      </c>
      <c r="Y81" s="3"/>
      <c r="Z81" s="22">
        <f t="shared" si="3"/>
        <v>-0.90020334741123098</v>
      </c>
    </row>
    <row r="82" spans="1:26" s="24" customFormat="1" hidden="1" outlineLevel="1" x14ac:dyDescent="0.25">
      <c r="A82" s="50"/>
      <c r="B82" s="11" t="str">
        <f>CONCATENATE("          ", "4227", " - ", "SALES RETURN TAXABLE-SCHOOL SU")</f>
        <v xml:space="preserve">          4227 - SALES RETURN TAXABLE-SCHOOL SU</v>
      </c>
      <c r="C82" s="11"/>
      <c r="D82" s="3">
        <f>-56.77</f>
        <v>-56.77</v>
      </c>
      <c r="E82" s="3"/>
      <c r="F82" s="22"/>
      <c r="G82" s="3"/>
      <c r="H82" s="3">
        <f>-165.44</f>
        <v>-165.44</v>
      </c>
      <c r="I82" s="3"/>
      <c r="J82" s="22"/>
      <c r="K82" s="3"/>
      <c r="L82" s="3">
        <f t="shared" si="0"/>
        <v>108.66999999999999</v>
      </c>
      <c r="M82" s="3"/>
      <c r="N82" s="22">
        <f t="shared" si="1"/>
        <v>-0.65685444874274657</v>
      </c>
      <c r="O82" s="11"/>
      <c r="P82" s="3">
        <f>-56.77</f>
        <v>-56.77</v>
      </c>
      <c r="Q82" s="3"/>
      <c r="R82" s="22"/>
      <c r="S82" s="3"/>
      <c r="T82" s="3">
        <f>-165.44</f>
        <v>-165.44</v>
      </c>
      <c r="U82" s="3"/>
      <c r="V82" s="22"/>
      <c r="W82" s="3"/>
      <c r="X82" s="3">
        <f t="shared" si="2"/>
        <v>108.66999999999999</v>
      </c>
      <c r="Y82" s="3"/>
      <c r="Z82" s="22">
        <f t="shared" si="3"/>
        <v>-0.65685444874274657</v>
      </c>
    </row>
    <row r="83" spans="1:26" s="24" customFormat="1" hidden="1" outlineLevel="1" x14ac:dyDescent="0.25">
      <c r="A83" s="50"/>
      <c r="B83" s="11" t="str">
        <f>CONCATENATE("          ", "4228", " - ", "SALES RETURN TAXABLE-ART/TECH")</f>
        <v xml:space="preserve">          4228 - SALES RETURN TAXABLE-ART/TECH</v>
      </c>
      <c r="C83" s="11"/>
      <c r="D83" s="3">
        <f>0</f>
        <v>0</v>
      </c>
      <c r="E83" s="3"/>
      <c r="F83" s="22"/>
      <c r="G83" s="3"/>
      <c r="H83" s="3">
        <f>-10.37</f>
        <v>-10.37</v>
      </c>
      <c r="I83" s="3"/>
      <c r="J83" s="22"/>
      <c r="K83" s="3"/>
      <c r="L83" s="3">
        <f t="shared" si="0"/>
        <v>10.37</v>
      </c>
      <c r="M83" s="3"/>
      <c r="N83" s="22">
        <f t="shared" si="1"/>
        <v>-1</v>
      </c>
      <c r="O83" s="11"/>
      <c r="P83" s="3">
        <f>0</f>
        <v>0</v>
      </c>
      <c r="Q83" s="3"/>
      <c r="R83" s="22"/>
      <c r="S83" s="3"/>
      <c r="T83" s="3">
        <f>-10.37</f>
        <v>-10.37</v>
      </c>
      <c r="U83" s="3"/>
      <c r="V83" s="22"/>
      <c r="W83" s="3"/>
      <c r="X83" s="3">
        <f t="shared" si="2"/>
        <v>10.37</v>
      </c>
      <c r="Y83" s="3"/>
      <c r="Z83" s="22">
        <f t="shared" si="3"/>
        <v>-1</v>
      </c>
    </row>
    <row r="84" spans="1:26" s="24" customFormat="1" hidden="1" outlineLevel="1" x14ac:dyDescent="0.25">
      <c r="A84" s="50"/>
      <c r="B84" s="11" t="str">
        <f>CONCATENATE("          ", "4240", " - ", "SALES RETURN TAXABLE-LOGO CLOT")</f>
        <v xml:space="preserve">          4240 - SALES RETURN TAXABLE-LOGO CLOT</v>
      </c>
      <c r="C84" s="11"/>
      <c r="D84" s="3">
        <f>-3368.1</f>
        <v>-3368.1</v>
      </c>
      <c r="E84" s="3"/>
      <c r="F84" s="22"/>
      <c r="G84" s="3"/>
      <c r="H84" s="3">
        <f>-4446.84</f>
        <v>-4446.84</v>
      </c>
      <c r="I84" s="3"/>
      <c r="J84" s="22"/>
      <c r="K84" s="3"/>
      <c r="L84" s="3">
        <f t="shared" si="0"/>
        <v>1078.7400000000002</v>
      </c>
      <c r="M84" s="3"/>
      <c r="N84" s="22">
        <f t="shared" si="1"/>
        <v>-0.24258574628275364</v>
      </c>
      <c r="O84" s="11"/>
      <c r="P84" s="3">
        <f>-3368.1</f>
        <v>-3368.1</v>
      </c>
      <c r="Q84" s="3"/>
      <c r="R84" s="22"/>
      <c r="S84" s="3"/>
      <c r="T84" s="3">
        <f>-4446.84</f>
        <v>-4446.84</v>
      </c>
      <c r="U84" s="3"/>
      <c r="V84" s="22"/>
      <c r="W84" s="3"/>
      <c r="X84" s="3">
        <f t="shared" si="2"/>
        <v>1078.7400000000002</v>
      </c>
      <c r="Y84" s="3"/>
      <c r="Z84" s="22">
        <f t="shared" si="3"/>
        <v>-0.24258574628275364</v>
      </c>
    </row>
    <row r="85" spans="1:26" s="24" customFormat="1" hidden="1" outlineLevel="1" x14ac:dyDescent="0.25">
      <c r="A85" s="50"/>
      <c r="B85" s="11" t="str">
        <f>CONCATENATE("          ", "4241", " - ", "SALES RETURN TAXABLE-LOGO GIFT")</f>
        <v xml:space="preserve">          4241 - SALES RETURN TAXABLE-LOGO GIFT</v>
      </c>
      <c r="C85" s="11"/>
      <c r="D85" s="3">
        <f>-341.98</f>
        <v>-341.98</v>
      </c>
      <c r="E85" s="3"/>
      <c r="F85" s="22"/>
      <c r="G85" s="3"/>
      <c r="H85" s="3">
        <f>-718.9</f>
        <v>-718.9</v>
      </c>
      <c r="I85" s="3"/>
      <c r="J85" s="22"/>
      <c r="K85" s="3"/>
      <c r="L85" s="3">
        <f t="shared" si="0"/>
        <v>376.91999999999996</v>
      </c>
      <c r="M85" s="3"/>
      <c r="N85" s="22">
        <f t="shared" si="1"/>
        <v>-0.52430101544025587</v>
      </c>
      <c r="O85" s="11"/>
      <c r="P85" s="3">
        <f>-341.98</f>
        <v>-341.98</v>
      </c>
      <c r="Q85" s="3"/>
      <c r="R85" s="22"/>
      <c r="S85" s="3"/>
      <c r="T85" s="3">
        <f>-718.9</f>
        <v>-718.9</v>
      </c>
      <c r="U85" s="3"/>
      <c r="V85" s="22"/>
      <c r="W85" s="3"/>
      <c r="X85" s="3">
        <f t="shared" si="2"/>
        <v>376.91999999999996</v>
      </c>
      <c r="Y85" s="3"/>
      <c r="Z85" s="22">
        <f t="shared" si="3"/>
        <v>-0.52430101544025587</v>
      </c>
    </row>
    <row r="86" spans="1:26" s="24" customFormat="1" hidden="1" outlineLevel="1" x14ac:dyDescent="0.25">
      <c r="A86" s="50"/>
      <c r="B86" s="11" t="str">
        <f>CONCATENATE("          ", "4242", " - ", "SALES RETURN TAXABLE-EVERYDAY")</f>
        <v xml:space="preserve">          4242 - SALES RETURN TAXABLE-EVERYDAY</v>
      </c>
      <c r="C86" s="11"/>
      <c r="D86" s="3">
        <f>-178.96</f>
        <v>-178.96</v>
      </c>
      <c r="E86" s="3"/>
      <c r="F86" s="22"/>
      <c r="G86" s="3"/>
      <c r="H86" s="3">
        <f>-373.98</f>
        <v>-373.98</v>
      </c>
      <c r="I86" s="3"/>
      <c r="J86" s="22"/>
      <c r="K86" s="3"/>
      <c r="L86" s="3">
        <f t="shared" si="0"/>
        <v>195.02</v>
      </c>
      <c r="M86" s="3"/>
      <c r="N86" s="22">
        <f t="shared" si="1"/>
        <v>-0.52147173645649503</v>
      </c>
      <c r="O86" s="11"/>
      <c r="P86" s="3">
        <f>-178.96</f>
        <v>-178.96</v>
      </c>
      <c r="Q86" s="3"/>
      <c r="R86" s="22"/>
      <c r="S86" s="3"/>
      <c r="T86" s="3">
        <f>-373.98</f>
        <v>-373.98</v>
      </c>
      <c r="U86" s="3"/>
      <c r="V86" s="22"/>
      <c r="W86" s="3"/>
      <c r="X86" s="3">
        <f t="shared" si="2"/>
        <v>195.02</v>
      </c>
      <c r="Y86" s="3"/>
      <c r="Z86" s="22">
        <f t="shared" si="3"/>
        <v>-0.52147173645649503</v>
      </c>
    </row>
    <row r="87" spans="1:26" s="24" customFormat="1" hidden="1" outlineLevel="1" x14ac:dyDescent="0.25">
      <c r="A87" s="50"/>
      <c r="B87" s="11" t="str">
        <f>CONCATENATE("          ", "4244", " - ", "SALES RETURN TAXABLE-ACCESSORI")</f>
        <v xml:space="preserve">          4244 - SALES RETURN TAXABLE-ACCESSORI</v>
      </c>
      <c r="C87" s="11"/>
      <c r="D87" s="3">
        <f>0</f>
        <v>0</v>
      </c>
      <c r="E87" s="3"/>
      <c r="F87" s="22"/>
      <c r="G87" s="3"/>
      <c r="H87" s="3">
        <f>-106.79</f>
        <v>-106.79</v>
      </c>
      <c r="I87" s="3"/>
      <c r="J87" s="22"/>
      <c r="K87" s="3"/>
      <c r="L87" s="3">
        <f t="shared" si="0"/>
        <v>106.79</v>
      </c>
      <c r="M87" s="3"/>
      <c r="N87" s="22">
        <f t="shared" si="1"/>
        <v>-1</v>
      </c>
      <c r="O87" s="11"/>
      <c r="P87" s="3">
        <f>0</f>
        <v>0</v>
      </c>
      <c r="Q87" s="3"/>
      <c r="R87" s="22"/>
      <c r="S87" s="3"/>
      <c r="T87" s="3">
        <f>-106.79</f>
        <v>-106.79</v>
      </c>
      <c r="U87" s="3"/>
      <c r="V87" s="22"/>
      <c r="W87" s="3"/>
      <c r="X87" s="3">
        <f t="shared" si="2"/>
        <v>106.79</v>
      </c>
      <c r="Y87" s="3"/>
      <c r="Z87" s="22">
        <f t="shared" si="3"/>
        <v>-1</v>
      </c>
    </row>
    <row r="88" spans="1:26" s="24" customFormat="1" hidden="1" outlineLevel="1" x14ac:dyDescent="0.25">
      <c r="A88" s="50"/>
      <c r="B88" s="11" t="str">
        <f>CONCATENATE("          ", "4245", " - ", "SALES RETURN TAXABLE-SPECIAL O")</f>
        <v xml:space="preserve">          4245 - SALES RETURN TAXABLE-SPECIAL O</v>
      </c>
      <c r="C88" s="11"/>
      <c r="D88" s="3">
        <f>-1121</f>
        <v>-1121</v>
      </c>
      <c r="E88" s="3"/>
      <c r="F88" s="22"/>
      <c r="G88" s="3"/>
      <c r="H88" s="3">
        <f>0</f>
        <v>0</v>
      </c>
      <c r="I88" s="3"/>
      <c r="J88" s="22"/>
      <c r="K88" s="3"/>
      <c r="L88" s="3">
        <f t="shared" si="0"/>
        <v>-1121</v>
      </c>
      <c r="M88" s="3"/>
      <c r="N88" s="22">
        <f t="shared" si="1"/>
        <v>0</v>
      </c>
      <c r="O88" s="11"/>
      <c r="P88" s="3">
        <f>-1121</f>
        <v>-1121</v>
      </c>
      <c r="Q88" s="3"/>
      <c r="R88" s="22"/>
      <c r="S88" s="3"/>
      <c r="T88" s="3">
        <f>0</f>
        <v>0</v>
      </c>
      <c r="U88" s="3"/>
      <c r="V88" s="22"/>
      <c r="W88" s="3"/>
      <c r="X88" s="3">
        <f t="shared" si="2"/>
        <v>-1121</v>
      </c>
      <c r="Y88" s="3"/>
      <c r="Z88" s="22">
        <f t="shared" si="3"/>
        <v>0</v>
      </c>
    </row>
    <row r="89" spans="1:26" s="24" customFormat="1" hidden="1" outlineLevel="1" x14ac:dyDescent="0.25">
      <c r="A89" s="50"/>
      <c r="B89" s="11" t="str">
        <f>CONCATENATE("          ", "4281", " - ", "SALES RETURN TAXABLE-ELECTRONI")</f>
        <v xml:space="preserve">          4281 - SALES RETURN TAXABLE-ELECTRONI</v>
      </c>
      <c r="C89" s="11"/>
      <c r="D89" s="3">
        <f>-6291.99</f>
        <v>-6291.99</v>
      </c>
      <c r="E89" s="3"/>
      <c r="F89" s="22"/>
      <c r="G89" s="3"/>
      <c r="H89" s="3">
        <f>-1658.99</f>
        <v>-1658.99</v>
      </c>
      <c r="I89" s="3"/>
      <c r="J89" s="22"/>
      <c r="K89" s="3"/>
      <c r="L89" s="3">
        <f t="shared" si="0"/>
        <v>-4633</v>
      </c>
      <c r="M89" s="3"/>
      <c r="N89" s="22">
        <f t="shared" si="1"/>
        <v>2.7926630058047368</v>
      </c>
      <c r="O89" s="11"/>
      <c r="P89" s="3">
        <f>-6291.99</f>
        <v>-6291.99</v>
      </c>
      <c r="Q89" s="3"/>
      <c r="R89" s="22"/>
      <c r="S89" s="3"/>
      <c r="T89" s="3">
        <f>-1658.99</f>
        <v>-1658.99</v>
      </c>
      <c r="U89" s="3"/>
      <c r="V89" s="22"/>
      <c r="W89" s="3"/>
      <c r="X89" s="3">
        <f t="shared" si="2"/>
        <v>-4633</v>
      </c>
      <c r="Y89" s="3"/>
      <c r="Z89" s="22">
        <f t="shared" si="3"/>
        <v>2.7926630058047368</v>
      </c>
    </row>
    <row r="90" spans="1:26" s="24" customFormat="1" hidden="1" outlineLevel="1" x14ac:dyDescent="0.25">
      <c r="A90" s="50"/>
      <c r="B90" s="11" t="str">
        <f>CONCATENATE("          ", "4282", " - ", "SALES RETURN TAXABLE-COMPUTER")</f>
        <v xml:space="preserve">          4282 - SALES RETURN TAXABLE-COMPUTER</v>
      </c>
      <c r="C90" s="11"/>
      <c r="D90" s="3">
        <f>-18207</f>
        <v>-18207</v>
      </c>
      <c r="E90" s="3"/>
      <c r="F90" s="22"/>
      <c r="G90" s="3"/>
      <c r="H90" s="3">
        <f>-70341.06</f>
        <v>-70341.06</v>
      </c>
      <c r="I90" s="3"/>
      <c r="J90" s="22"/>
      <c r="K90" s="3"/>
      <c r="L90" s="3">
        <f t="shared" si="0"/>
        <v>52134.06</v>
      </c>
      <c r="M90" s="3"/>
      <c r="N90" s="22">
        <f t="shared" si="1"/>
        <v>-0.7411611368950084</v>
      </c>
      <c r="O90" s="11"/>
      <c r="P90" s="3">
        <f>-18207</f>
        <v>-18207</v>
      </c>
      <c r="Q90" s="3"/>
      <c r="R90" s="22"/>
      <c r="S90" s="3"/>
      <c r="T90" s="3">
        <f>-70341.06</f>
        <v>-70341.06</v>
      </c>
      <c r="U90" s="3"/>
      <c r="V90" s="22"/>
      <c r="W90" s="3"/>
      <c r="X90" s="3">
        <f t="shared" si="2"/>
        <v>52134.06</v>
      </c>
      <c r="Y90" s="3"/>
      <c r="Z90" s="22">
        <f t="shared" si="3"/>
        <v>-0.7411611368950084</v>
      </c>
    </row>
    <row r="91" spans="1:26" s="24" customFormat="1" hidden="1" outlineLevel="1" x14ac:dyDescent="0.25">
      <c r="A91" s="50"/>
      <c r="B91" s="11" t="str">
        <f>CONCATENATE("          ", "4283", " - ", "SALES RETURN TAXABLE-COMPUTER")</f>
        <v xml:space="preserve">          4283 - SALES RETURN TAXABLE-COMPUTER</v>
      </c>
      <c r="C91" s="11"/>
      <c r="D91" s="3">
        <f>-818.93</f>
        <v>-818.93</v>
      </c>
      <c r="E91" s="3"/>
      <c r="F91" s="22"/>
      <c r="G91" s="3"/>
      <c r="H91" s="3">
        <f>-226.8</f>
        <v>-226.8</v>
      </c>
      <c r="I91" s="3"/>
      <c r="J91" s="22"/>
      <c r="K91" s="3"/>
      <c r="L91" s="3">
        <f t="shared" si="0"/>
        <v>-592.12999999999988</v>
      </c>
      <c r="M91" s="3"/>
      <c r="N91" s="22">
        <f t="shared" si="1"/>
        <v>2.6108024691358018</v>
      </c>
      <c r="O91" s="11"/>
      <c r="P91" s="3">
        <f>-818.93</f>
        <v>-818.93</v>
      </c>
      <c r="Q91" s="3"/>
      <c r="R91" s="22"/>
      <c r="S91" s="3"/>
      <c r="T91" s="3">
        <f>-226.8</f>
        <v>-226.8</v>
      </c>
      <c r="U91" s="3"/>
      <c r="V91" s="22"/>
      <c r="W91" s="3"/>
      <c r="X91" s="3">
        <f t="shared" si="2"/>
        <v>-592.12999999999988</v>
      </c>
      <c r="Y91" s="3"/>
      <c r="Z91" s="22">
        <f t="shared" si="3"/>
        <v>2.6108024691358018</v>
      </c>
    </row>
    <row r="92" spans="1:26" s="24" customFormat="1" hidden="1" outlineLevel="1" x14ac:dyDescent="0.25">
      <c r="A92" s="50"/>
      <c r="B92" s="11" t="str">
        <f>CONCATENATE("          ", "4285", " - ", "SALES RETURN TAXABLE-SOFTWARE")</f>
        <v xml:space="preserve">          4285 - SALES RETURN TAXABLE-SOFTWARE</v>
      </c>
      <c r="C92" s="11"/>
      <c r="D92" s="3">
        <f t="shared" ref="D92:D95" si="16">0</f>
        <v>0</v>
      </c>
      <c r="E92" s="3"/>
      <c r="F92" s="22"/>
      <c r="G92" s="3"/>
      <c r="H92" s="3">
        <f>-406.99</f>
        <v>-406.99</v>
      </c>
      <c r="I92" s="3"/>
      <c r="J92" s="22"/>
      <c r="K92" s="3"/>
      <c r="L92" s="3">
        <f t="shared" si="0"/>
        <v>406.99</v>
      </c>
      <c r="M92" s="3"/>
      <c r="N92" s="22">
        <f t="shared" si="1"/>
        <v>-1</v>
      </c>
      <c r="O92" s="11"/>
      <c r="P92" s="3">
        <f t="shared" ref="P92:P95" si="17">0</f>
        <v>0</v>
      </c>
      <c r="Q92" s="3"/>
      <c r="R92" s="22"/>
      <c r="S92" s="3"/>
      <c r="T92" s="3">
        <f>-406.99</f>
        <v>-406.99</v>
      </c>
      <c r="U92" s="3"/>
      <c r="V92" s="22"/>
      <c r="W92" s="3"/>
      <c r="X92" s="3">
        <f t="shared" si="2"/>
        <v>406.99</v>
      </c>
      <c r="Y92" s="3"/>
      <c r="Z92" s="22">
        <f t="shared" si="3"/>
        <v>-1</v>
      </c>
    </row>
    <row r="93" spans="1:26" s="24" customFormat="1" hidden="1" outlineLevel="1" x14ac:dyDescent="0.25">
      <c r="A93" s="50"/>
      <c r="B93" s="11" t="str">
        <f>CONCATENATE("          ", "4286", " - ", "SALES RETURN TAXABLE-COMPUTER")</f>
        <v xml:space="preserve">          4286 - SALES RETURN TAXABLE-COMPUTER</v>
      </c>
      <c r="C93" s="11"/>
      <c r="D93" s="3">
        <f t="shared" si="16"/>
        <v>0</v>
      </c>
      <c r="E93" s="3"/>
      <c r="F93" s="22"/>
      <c r="G93" s="3"/>
      <c r="H93" s="3">
        <f>-545.95</f>
        <v>-545.95000000000005</v>
      </c>
      <c r="I93" s="3"/>
      <c r="J93" s="22"/>
      <c r="K93" s="3"/>
      <c r="L93" s="3">
        <f t="shared" si="0"/>
        <v>545.95000000000005</v>
      </c>
      <c r="M93" s="3"/>
      <c r="N93" s="22">
        <f t="shared" si="1"/>
        <v>-1</v>
      </c>
      <c r="O93" s="11"/>
      <c r="P93" s="3">
        <f t="shared" si="17"/>
        <v>0</v>
      </c>
      <c r="Q93" s="3"/>
      <c r="R93" s="22"/>
      <c r="S93" s="3"/>
      <c r="T93" s="3">
        <f>-545.95</f>
        <v>-545.95000000000005</v>
      </c>
      <c r="U93" s="3"/>
      <c r="V93" s="22"/>
      <c r="W93" s="3"/>
      <c r="X93" s="3">
        <f t="shared" si="2"/>
        <v>545.95000000000005</v>
      </c>
      <c r="Y93" s="3"/>
      <c r="Z93" s="22">
        <f t="shared" si="3"/>
        <v>-1</v>
      </c>
    </row>
    <row r="94" spans="1:26" s="24" customFormat="1" hidden="1" outlineLevel="1" x14ac:dyDescent="0.25">
      <c r="A94" s="50"/>
      <c r="B94" s="11" t="str">
        <f>CONCATENATE("          ", "4292", " - ", "SALES RETURN TAXABLE-GRAD MERC")</f>
        <v xml:space="preserve">          4292 - SALES RETURN TAXABLE-GRAD MERC</v>
      </c>
      <c r="C94" s="11"/>
      <c r="D94" s="3">
        <f t="shared" si="16"/>
        <v>0</v>
      </c>
      <c r="E94" s="3"/>
      <c r="F94" s="22"/>
      <c r="G94" s="3"/>
      <c r="H94" s="3">
        <f>-9.95</f>
        <v>-9.9499999999999993</v>
      </c>
      <c r="I94" s="3"/>
      <c r="J94" s="22"/>
      <c r="K94" s="3"/>
      <c r="L94" s="3">
        <f t="shared" si="0"/>
        <v>9.9499999999999993</v>
      </c>
      <c r="M94" s="3"/>
      <c r="N94" s="22">
        <f t="shared" si="1"/>
        <v>-1</v>
      </c>
      <c r="O94" s="11"/>
      <c r="P94" s="3">
        <f t="shared" si="17"/>
        <v>0</v>
      </c>
      <c r="Q94" s="3"/>
      <c r="R94" s="22"/>
      <c r="S94" s="3"/>
      <c r="T94" s="3">
        <f>-9.95</f>
        <v>-9.9499999999999993</v>
      </c>
      <c r="U94" s="3"/>
      <c r="V94" s="22"/>
      <c r="W94" s="3"/>
      <c r="X94" s="3">
        <f t="shared" si="2"/>
        <v>9.9499999999999993</v>
      </c>
      <c r="Y94" s="3"/>
      <c r="Z94" s="22">
        <f t="shared" si="3"/>
        <v>-1</v>
      </c>
    </row>
    <row r="95" spans="1:26" s="24" customFormat="1" hidden="1" outlineLevel="1" x14ac:dyDescent="0.25">
      <c r="A95" s="50"/>
      <c r="B95" s="11" t="str">
        <f>CONCATENATE("          ", "4301", " - ", "SALES RETURN NON TAXABLE-NEW T")</f>
        <v xml:space="preserve">          4301 - SALES RETURN NON TAXABLE-NEW T</v>
      </c>
      <c r="C95" s="11"/>
      <c r="D95" s="3">
        <f t="shared" si="16"/>
        <v>0</v>
      </c>
      <c r="E95" s="3"/>
      <c r="F95" s="22"/>
      <c r="G95" s="3"/>
      <c r="H95" s="3">
        <f>-254.59</f>
        <v>-254.59</v>
      </c>
      <c r="I95" s="3"/>
      <c r="J95" s="22"/>
      <c r="K95" s="3"/>
      <c r="L95" s="3">
        <f t="shared" si="0"/>
        <v>254.59</v>
      </c>
      <c r="M95" s="3"/>
      <c r="N95" s="22">
        <f t="shared" si="1"/>
        <v>-1</v>
      </c>
      <c r="O95" s="11"/>
      <c r="P95" s="3">
        <f t="shared" si="17"/>
        <v>0</v>
      </c>
      <c r="Q95" s="3"/>
      <c r="R95" s="22"/>
      <c r="S95" s="3"/>
      <c r="T95" s="3">
        <f>-254.59</f>
        <v>-254.59</v>
      </c>
      <c r="U95" s="3"/>
      <c r="V95" s="22"/>
      <c r="W95" s="3"/>
      <c r="X95" s="3">
        <f t="shared" si="2"/>
        <v>254.59</v>
      </c>
      <c r="Y95" s="3"/>
      <c r="Z95" s="22">
        <f t="shared" si="3"/>
        <v>-1</v>
      </c>
    </row>
    <row r="96" spans="1:26" s="24" customFormat="1" hidden="1" outlineLevel="1" x14ac:dyDescent="0.25">
      <c r="A96" s="50"/>
      <c r="B96" s="11" t="str">
        <f>CONCATENATE("          ", "4302", " - ", "SALES RETURN NON TAXABLE-TEXT")</f>
        <v xml:space="preserve">          4302 - SALES RETURN NON TAXABLE-TEXT</v>
      </c>
      <c r="C96" s="11"/>
      <c r="D96" s="3">
        <f>-63.67</f>
        <v>-63.67</v>
      </c>
      <c r="E96" s="3"/>
      <c r="F96" s="22"/>
      <c r="G96" s="3"/>
      <c r="H96" s="3">
        <f t="shared" ref="H96:H97" si="18">0</f>
        <v>0</v>
      </c>
      <c r="I96" s="3"/>
      <c r="J96" s="22"/>
      <c r="K96" s="3"/>
      <c r="L96" s="3">
        <f t="shared" si="0"/>
        <v>-63.67</v>
      </c>
      <c r="M96" s="3"/>
      <c r="N96" s="22">
        <f t="shared" si="1"/>
        <v>0</v>
      </c>
      <c r="O96" s="11"/>
      <c r="P96" s="3">
        <f>-63.67</f>
        <v>-63.67</v>
      </c>
      <c r="Q96" s="3"/>
      <c r="R96" s="22"/>
      <c r="S96" s="3"/>
      <c r="T96" s="3">
        <f t="shared" ref="T96:T97" si="19">0</f>
        <v>0</v>
      </c>
      <c r="U96" s="3"/>
      <c r="V96" s="22"/>
      <c r="W96" s="3"/>
      <c r="X96" s="3">
        <f t="shared" si="2"/>
        <v>-63.67</v>
      </c>
      <c r="Y96" s="3"/>
      <c r="Z96" s="22">
        <f t="shared" si="3"/>
        <v>0</v>
      </c>
    </row>
    <row r="97" spans="1:26" s="24" customFormat="1" hidden="1" outlineLevel="1" x14ac:dyDescent="0.25">
      <c r="A97" s="50"/>
      <c r="B97" s="11" t="str">
        <f>CONCATENATE("          ", "4304", " - ", "SALES RETURN NON TAXABLE-DIGIT")</f>
        <v xml:space="preserve">          4304 - SALES RETURN NON TAXABLE-DIGIT</v>
      </c>
      <c r="C97" s="11"/>
      <c r="D97" s="3">
        <f>-452.05</f>
        <v>-452.05</v>
      </c>
      <c r="E97" s="3"/>
      <c r="F97" s="22"/>
      <c r="G97" s="3"/>
      <c r="H97" s="3">
        <f t="shared" si="18"/>
        <v>0</v>
      </c>
      <c r="I97" s="3"/>
      <c r="J97" s="22"/>
      <c r="K97" s="3"/>
      <c r="L97" s="3">
        <f t="shared" si="0"/>
        <v>-452.05</v>
      </c>
      <c r="M97" s="3"/>
      <c r="N97" s="22">
        <f t="shared" si="1"/>
        <v>0</v>
      </c>
      <c r="O97" s="11"/>
      <c r="P97" s="3">
        <f>-452.05</f>
        <v>-452.05</v>
      </c>
      <c r="Q97" s="3"/>
      <c r="R97" s="22"/>
      <c r="S97" s="3"/>
      <c r="T97" s="3">
        <f t="shared" si="19"/>
        <v>0</v>
      </c>
      <c r="U97" s="3"/>
      <c r="V97" s="22"/>
      <c r="W97" s="3"/>
      <c r="X97" s="3">
        <f t="shared" si="2"/>
        <v>-452.05</v>
      </c>
      <c r="Y97" s="3"/>
      <c r="Z97" s="22">
        <f t="shared" si="3"/>
        <v>0</v>
      </c>
    </row>
    <row r="98" spans="1:26" s="24" customFormat="1" hidden="1" outlineLevel="1" x14ac:dyDescent="0.25">
      <c r="A98" s="50"/>
      <c r="B98" s="11" t="str">
        <f>CONCATENATE("          ", "4311", " - ", "SALES RETURN NON TAXABLE-NO VA")</f>
        <v xml:space="preserve">          4311 - SALES RETURN NON TAXABLE-NO VA</v>
      </c>
      <c r="C98" s="11"/>
      <c r="D98" s="3">
        <f>0</f>
        <v>0</v>
      </c>
      <c r="E98" s="3"/>
      <c r="F98" s="22"/>
      <c r="G98" s="3"/>
      <c r="H98" s="3">
        <f>-31.98</f>
        <v>-31.98</v>
      </c>
      <c r="I98" s="3"/>
      <c r="J98" s="22"/>
      <c r="K98" s="3"/>
      <c r="L98" s="3">
        <f t="shared" si="0"/>
        <v>31.98</v>
      </c>
      <c r="M98" s="3"/>
      <c r="N98" s="22">
        <f t="shared" si="1"/>
        <v>-1</v>
      </c>
      <c r="O98" s="11"/>
      <c r="P98" s="3">
        <f>0</f>
        <v>0</v>
      </c>
      <c r="Q98" s="3"/>
      <c r="R98" s="22"/>
      <c r="S98" s="3"/>
      <c r="T98" s="3">
        <f>-31.98</f>
        <v>-31.98</v>
      </c>
      <c r="U98" s="3"/>
      <c r="V98" s="22"/>
      <c r="W98" s="3"/>
      <c r="X98" s="3">
        <f t="shared" si="2"/>
        <v>31.98</v>
      </c>
      <c r="Y98" s="3"/>
      <c r="Z98" s="22">
        <f t="shared" si="3"/>
        <v>-1</v>
      </c>
    </row>
    <row r="99" spans="1:26" s="24" customFormat="1" hidden="1" outlineLevel="1" x14ac:dyDescent="0.25">
      <c r="A99" s="50"/>
      <c r="B99" s="11" t="str">
        <f>CONCATENATE("          ", "4340", " - ", "SALES RETURN NON TAXABLE-LOGO")</f>
        <v xml:space="preserve">          4340 - SALES RETURN NON TAXABLE-LOGO</v>
      </c>
      <c r="C99" s="11"/>
      <c r="D99" s="3">
        <f>-434.24</f>
        <v>-434.24</v>
      </c>
      <c r="E99" s="3"/>
      <c r="F99" s="22"/>
      <c r="G99" s="3"/>
      <c r="H99" s="3">
        <f>-223.55</f>
        <v>-223.55</v>
      </c>
      <c r="I99" s="3"/>
      <c r="J99" s="22"/>
      <c r="K99" s="3"/>
      <c r="L99" s="3">
        <f t="shared" si="0"/>
        <v>-210.69</v>
      </c>
      <c r="M99" s="3"/>
      <c r="N99" s="22">
        <f t="shared" si="1"/>
        <v>0.94247371952583314</v>
      </c>
      <c r="O99" s="11"/>
      <c r="P99" s="3">
        <f>-434.24</f>
        <v>-434.24</v>
      </c>
      <c r="Q99" s="3"/>
      <c r="R99" s="22"/>
      <c r="S99" s="3"/>
      <c r="T99" s="3">
        <f>-223.55</f>
        <v>-223.55</v>
      </c>
      <c r="U99" s="3"/>
      <c r="V99" s="22"/>
      <c r="W99" s="3"/>
      <c r="X99" s="3">
        <f t="shared" si="2"/>
        <v>-210.69</v>
      </c>
      <c r="Y99" s="3"/>
      <c r="Z99" s="22">
        <f t="shared" si="3"/>
        <v>0.94247371952583314</v>
      </c>
    </row>
    <row r="100" spans="1:26" s="24" customFormat="1" hidden="1" outlineLevel="1" x14ac:dyDescent="0.25">
      <c r="A100" s="50"/>
      <c r="B100" s="11" t="str">
        <f>CONCATENATE("          ", "4341", " - ", "SALES RETURN NON TAXABLE-LOGO")</f>
        <v xml:space="preserve">          4341 - SALES RETURN NON TAXABLE-LOGO</v>
      </c>
      <c r="C100" s="11"/>
      <c r="D100" s="3">
        <f>-16.95</f>
        <v>-16.95</v>
      </c>
      <c r="E100" s="3"/>
      <c r="F100" s="22"/>
      <c r="G100" s="3"/>
      <c r="H100" s="3">
        <f t="shared" ref="H100:H102" si="20">0</f>
        <v>0</v>
      </c>
      <c r="I100" s="3"/>
      <c r="J100" s="22"/>
      <c r="K100" s="3"/>
      <c r="L100" s="3">
        <f t="shared" si="0"/>
        <v>-16.95</v>
      </c>
      <c r="M100" s="3"/>
      <c r="N100" s="22">
        <f t="shared" si="1"/>
        <v>0</v>
      </c>
      <c r="O100" s="11"/>
      <c r="P100" s="3">
        <f>-16.95</f>
        <v>-16.95</v>
      </c>
      <c r="Q100" s="3"/>
      <c r="R100" s="22"/>
      <c r="S100" s="3"/>
      <c r="T100" s="3">
        <f t="shared" ref="T100:T102" si="21">0</f>
        <v>0</v>
      </c>
      <c r="U100" s="3"/>
      <c r="V100" s="22"/>
      <c r="W100" s="3"/>
      <c r="X100" s="3">
        <f t="shared" si="2"/>
        <v>-16.95</v>
      </c>
      <c r="Y100" s="3"/>
      <c r="Z100" s="22">
        <f t="shared" si="3"/>
        <v>0</v>
      </c>
    </row>
    <row r="101" spans="1:26" s="24" customFormat="1" hidden="1" outlineLevel="1" x14ac:dyDescent="0.25">
      <c r="A101" s="50"/>
      <c r="B101" s="11" t="str">
        <f>CONCATENATE("          ", "4342", " - ", "SALES RETURN NON TAXABLE-EVERY")</f>
        <v xml:space="preserve">          4342 - SALES RETURN NON TAXABLE-EVERY</v>
      </c>
      <c r="C101" s="11"/>
      <c r="D101" s="3">
        <f>-79.85</f>
        <v>-79.849999999999994</v>
      </c>
      <c r="E101" s="3"/>
      <c r="F101" s="22"/>
      <c r="G101" s="3"/>
      <c r="H101" s="3">
        <f t="shared" si="20"/>
        <v>0</v>
      </c>
      <c r="I101" s="3"/>
      <c r="J101" s="22"/>
      <c r="K101" s="3"/>
      <c r="L101" s="3">
        <f t="shared" si="0"/>
        <v>-79.849999999999994</v>
      </c>
      <c r="M101" s="3"/>
      <c r="N101" s="22">
        <f t="shared" si="1"/>
        <v>0</v>
      </c>
      <c r="O101" s="11"/>
      <c r="P101" s="3">
        <f>-79.85</f>
        <v>-79.849999999999994</v>
      </c>
      <c r="Q101" s="3"/>
      <c r="R101" s="22"/>
      <c r="S101" s="3"/>
      <c r="T101" s="3">
        <f t="shared" si="21"/>
        <v>0</v>
      </c>
      <c r="U101" s="3"/>
      <c r="V101" s="22"/>
      <c r="W101" s="3"/>
      <c r="X101" s="3">
        <f t="shared" si="2"/>
        <v>-79.849999999999994</v>
      </c>
      <c r="Y101" s="3"/>
      <c r="Z101" s="22">
        <f t="shared" si="3"/>
        <v>0</v>
      </c>
    </row>
    <row r="102" spans="1:26" s="24" customFormat="1" hidden="1" outlineLevel="1" x14ac:dyDescent="0.25">
      <c r="A102" s="50"/>
      <c r="B102" s="11" t="str">
        <f>CONCATENATE("          ", "4381", " - ", "SALES RETURN NON TAXABLE-ELECT")</f>
        <v xml:space="preserve">          4381 - SALES RETURN NON TAXABLE-ELECT</v>
      </c>
      <c r="C102" s="11"/>
      <c r="D102" s="3">
        <f>-1749</f>
        <v>-1749</v>
      </c>
      <c r="E102" s="3"/>
      <c r="F102" s="22"/>
      <c r="G102" s="3"/>
      <c r="H102" s="3">
        <f t="shared" si="20"/>
        <v>0</v>
      </c>
      <c r="I102" s="3"/>
      <c r="J102" s="22"/>
      <c r="K102" s="3"/>
      <c r="L102" s="3">
        <f t="shared" si="0"/>
        <v>-1749</v>
      </c>
      <c r="M102" s="3"/>
      <c r="N102" s="22">
        <f t="shared" si="1"/>
        <v>0</v>
      </c>
      <c r="O102" s="11"/>
      <c r="P102" s="3">
        <f>-1749</f>
        <v>-1749</v>
      </c>
      <c r="Q102" s="3"/>
      <c r="R102" s="22"/>
      <c r="S102" s="3"/>
      <c r="T102" s="3">
        <f t="shared" si="21"/>
        <v>0</v>
      </c>
      <c r="U102" s="3"/>
      <c r="V102" s="22"/>
      <c r="W102" s="3"/>
      <c r="X102" s="3">
        <f t="shared" si="2"/>
        <v>-1749</v>
      </c>
      <c r="Y102" s="3"/>
      <c r="Z102" s="22">
        <f t="shared" si="3"/>
        <v>0</v>
      </c>
    </row>
    <row r="103" spans="1:26" x14ac:dyDescent="0.25">
      <c r="A103" s="9"/>
      <c r="B103" s="10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collapsed="1" x14ac:dyDescent="0.25">
      <c r="A104" s="10"/>
      <c r="B104" s="25" t="s">
        <v>8</v>
      </c>
      <c r="C104" s="10"/>
      <c r="D104" s="4">
        <f>SUM(OSRRefD16x_0)</f>
        <v>325351.27000000014</v>
      </c>
      <c r="E104" s="4"/>
      <c r="F104" s="12">
        <f t="shared" ref="F104:F148" si="22">IF(D$12=0,0,D104/D$12)</f>
        <v>0.74684489963967959</v>
      </c>
      <c r="G104" s="4"/>
      <c r="H104" s="4">
        <f>SUM(OSRRefH16x_0)</f>
        <v>536242.61999999976</v>
      </c>
      <c r="I104" s="4"/>
      <c r="J104" s="12">
        <f t="shared" ref="J104:J148" si="23">IF(H$12=0,0,H104/H$12)</f>
        <v>0.74243475570099049</v>
      </c>
      <c r="K104" s="4"/>
      <c r="L104" s="4">
        <f t="shared" ref="L104:L148" si="24">+D104-H104</f>
        <v>-210891.34999999963</v>
      </c>
      <c r="M104" s="4"/>
      <c r="N104" s="12">
        <f t="shared" ref="N104:N148" si="25">IF(H104=0,0,L104/H104)</f>
        <v>-0.39327599510833311</v>
      </c>
      <c r="O104" s="10"/>
      <c r="P104" s="4">
        <f>SUM(OSRRefP16x_0)</f>
        <v>325351.27000000014</v>
      </c>
      <c r="Q104" s="4"/>
      <c r="R104" s="12">
        <f t="shared" ref="R104:R148" si="26">IF(P$12=0,0,P104/P$12)</f>
        <v>0.74684489963967959</v>
      </c>
      <c r="S104" s="4"/>
      <c r="T104" s="4">
        <f>SUM(OSRRefT16x_0)</f>
        <v>536242.61999999976</v>
      </c>
      <c r="U104" s="4"/>
      <c r="V104" s="12">
        <f t="shared" ref="V104:V148" si="27">IF(T$12=0,0,T104/T$12)</f>
        <v>0.74243475570099049</v>
      </c>
      <c r="W104" s="4"/>
      <c r="X104" s="4">
        <f t="shared" ref="X104:X148" si="28">+P104-T104</f>
        <v>-210891.34999999963</v>
      </c>
      <c r="Y104" s="4"/>
      <c r="Z104" s="12">
        <f t="shared" ref="Z104:Z148" si="29">IF(T104=0,0,X104/T104)</f>
        <v>-0.39327599510833311</v>
      </c>
    </row>
    <row r="105" spans="1:26" s="24" customFormat="1" hidden="1" outlineLevel="1" x14ac:dyDescent="0.25">
      <c r="A105" s="50"/>
      <c r="B105" s="11" t="str">
        <f>CONCATENATE("          ", "5001", " - ", "PURCHASES @ COST-NEW TEXT")</f>
        <v xml:space="preserve">          5001 - PURCHASES @ COST-NEW TEXT</v>
      </c>
      <c r="C105" s="11"/>
      <c r="D105" s="3">
        <v>153110.63</v>
      </c>
      <c r="E105" s="3"/>
      <c r="F105" s="22">
        <f t="shared" si="22"/>
        <v>0.35146594969836165</v>
      </c>
      <c r="G105" s="3"/>
      <c r="H105" s="3">
        <v>343994.56</v>
      </c>
      <c r="I105" s="3"/>
      <c r="J105" s="22">
        <f t="shared" si="23"/>
        <v>0.47626486144661501</v>
      </c>
      <c r="K105" s="3"/>
      <c r="L105" s="3">
        <f t="shared" si="24"/>
        <v>-190883.93</v>
      </c>
      <c r="M105" s="3"/>
      <c r="N105" s="22">
        <f t="shared" si="25"/>
        <v>-0.5549039205736277</v>
      </c>
      <c r="O105" s="11"/>
      <c r="P105" s="3">
        <v>153110.63</v>
      </c>
      <c r="Q105" s="3"/>
      <c r="R105" s="22">
        <f t="shared" si="26"/>
        <v>0.35146594969836165</v>
      </c>
      <c r="S105" s="3"/>
      <c r="T105" s="3">
        <v>343994.56</v>
      </c>
      <c r="U105" s="3"/>
      <c r="V105" s="22">
        <f t="shared" si="27"/>
        <v>0.47626486144661501</v>
      </c>
      <c r="W105" s="3"/>
      <c r="X105" s="3">
        <f t="shared" si="28"/>
        <v>-190883.93</v>
      </c>
      <c r="Y105" s="3"/>
      <c r="Z105" s="22">
        <f t="shared" si="29"/>
        <v>-0.5549039205736277</v>
      </c>
    </row>
    <row r="106" spans="1:26" s="24" customFormat="1" hidden="1" outlineLevel="1" x14ac:dyDescent="0.25">
      <c r="A106" s="50"/>
      <c r="B106" s="11" t="str">
        <f>CONCATENATE("          ", "5002", " - ", "PURCHASES @ COST-USED TEXT")</f>
        <v xml:space="preserve">          5002 - PURCHASES @ COST-USED TEXT</v>
      </c>
      <c r="C106" s="11"/>
      <c r="D106" s="3">
        <v>60324.850000000006</v>
      </c>
      <c r="E106" s="3"/>
      <c r="F106" s="22">
        <f t="shared" si="22"/>
        <v>0.13847588959474083</v>
      </c>
      <c r="G106" s="3"/>
      <c r="H106" s="3">
        <v>110293.25</v>
      </c>
      <c r="I106" s="3"/>
      <c r="J106" s="22">
        <f t="shared" si="23"/>
        <v>0.15270241317114686</v>
      </c>
      <c r="K106" s="3"/>
      <c r="L106" s="3">
        <f t="shared" si="24"/>
        <v>-49968.399999999994</v>
      </c>
      <c r="M106" s="3"/>
      <c r="N106" s="22">
        <f t="shared" si="25"/>
        <v>-0.45305039066307318</v>
      </c>
      <c r="O106" s="11"/>
      <c r="P106" s="3">
        <v>60324.850000000006</v>
      </c>
      <c r="Q106" s="3"/>
      <c r="R106" s="22">
        <f t="shared" si="26"/>
        <v>0.13847588959474083</v>
      </c>
      <c r="S106" s="3"/>
      <c r="T106" s="3">
        <v>110293.25</v>
      </c>
      <c r="U106" s="3"/>
      <c r="V106" s="22">
        <f t="shared" si="27"/>
        <v>0.15270241317114686</v>
      </c>
      <c r="W106" s="3"/>
      <c r="X106" s="3">
        <f t="shared" si="28"/>
        <v>-49968.399999999994</v>
      </c>
      <c r="Y106" s="3"/>
      <c r="Z106" s="22">
        <f t="shared" si="29"/>
        <v>-0.45305039066307318</v>
      </c>
    </row>
    <row r="107" spans="1:26" s="24" customFormat="1" hidden="1" outlineLevel="1" x14ac:dyDescent="0.25">
      <c r="A107" s="50"/>
      <c r="B107" s="11" t="str">
        <f>CONCATENATE("          ", "5003", " - ", "PURCHASES @ COST-RENTAL TEXT")</f>
        <v xml:space="preserve">          5003 - PURCHASES @ COST-RENTAL TEXT</v>
      </c>
      <c r="C107" s="11"/>
      <c r="D107" s="3">
        <v>-11926.64</v>
      </c>
      <c r="E107" s="3"/>
      <c r="F107" s="22">
        <f t="shared" si="22"/>
        <v>-2.7377640953541029E-2</v>
      </c>
      <c r="G107" s="3"/>
      <c r="H107" s="3">
        <v>38295.800000000003</v>
      </c>
      <c r="I107" s="3"/>
      <c r="J107" s="22">
        <f t="shared" si="23"/>
        <v>5.3021024172554589E-2</v>
      </c>
      <c r="K107" s="3"/>
      <c r="L107" s="3">
        <f t="shared" si="24"/>
        <v>-50222.44</v>
      </c>
      <c r="M107" s="3"/>
      <c r="N107" s="22">
        <f t="shared" si="25"/>
        <v>-1.311434674298487</v>
      </c>
      <c r="O107" s="11"/>
      <c r="P107" s="3">
        <v>-11926.64</v>
      </c>
      <c r="Q107" s="3"/>
      <c r="R107" s="22">
        <f t="shared" si="26"/>
        <v>-2.7377640953541029E-2</v>
      </c>
      <c r="S107" s="3"/>
      <c r="T107" s="3">
        <v>38295.800000000003</v>
      </c>
      <c r="U107" s="3"/>
      <c r="V107" s="22">
        <f t="shared" si="27"/>
        <v>5.3021024172554589E-2</v>
      </c>
      <c r="W107" s="3"/>
      <c r="X107" s="3">
        <f t="shared" si="28"/>
        <v>-50222.44</v>
      </c>
      <c r="Y107" s="3"/>
      <c r="Z107" s="22">
        <f t="shared" si="29"/>
        <v>-1.311434674298487</v>
      </c>
    </row>
    <row r="108" spans="1:26" s="24" customFormat="1" hidden="1" outlineLevel="1" x14ac:dyDescent="0.25">
      <c r="A108" s="50"/>
      <c r="B108" s="11" t="str">
        <f>CONCATENATE("          ", "5004", " - ", "PURCHASES @ COST-DIGITAL TEXT")</f>
        <v xml:space="preserve">          5004 - PURCHASES @ COST-DIGITAL TEXT</v>
      </c>
      <c r="C108" s="11"/>
      <c r="D108" s="3">
        <v>4925.4799999999996</v>
      </c>
      <c r="E108" s="3"/>
      <c r="F108" s="22">
        <f t="shared" si="22"/>
        <v>1.1306455377528562E-2</v>
      </c>
      <c r="G108" s="3"/>
      <c r="H108" s="3">
        <v>133958.57</v>
      </c>
      <c r="I108" s="3"/>
      <c r="J108" s="22">
        <f t="shared" si="23"/>
        <v>0.18546735093902847</v>
      </c>
      <c r="K108" s="3"/>
      <c r="L108" s="3">
        <f t="shared" si="24"/>
        <v>-129033.09000000001</v>
      </c>
      <c r="M108" s="3"/>
      <c r="N108" s="22">
        <f t="shared" si="25"/>
        <v>-0.96323131845913257</v>
      </c>
      <c r="O108" s="11"/>
      <c r="P108" s="3">
        <v>4925.4799999999996</v>
      </c>
      <c r="Q108" s="3"/>
      <c r="R108" s="22">
        <f t="shared" si="26"/>
        <v>1.1306455377528562E-2</v>
      </c>
      <c r="S108" s="3"/>
      <c r="T108" s="3">
        <v>133958.57</v>
      </c>
      <c r="U108" s="3"/>
      <c r="V108" s="22">
        <f t="shared" si="27"/>
        <v>0.18546735093902847</v>
      </c>
      <c r="W108" s="3"/>
      <c r="X108" s="3">
        <f t="shared" si="28"/>
        <v>-129033.09000000001</v>
      </c>
      <c r="Y108" s="3"/>
      <c r="Z108" s="22">
        <f t="shared" si="29"/>
        <v>-0.96323131845913257</v>
      </c>
    </row>
    <row r="109" spans="1:26" s="24" customFormat="1" hidden="1" outlineLevel="1" x14ac:dyDescent="0.25">
      <c r="A109" s="50"/>
      <c r="B109" s="11" t="str">
        <f>CONCATENATE("          ", "5011", " - ", "PURCHASES @ COST-NO VALUE TEXT")</f>
        <v xml:space="preserve">          5011 - PURCHASES @ COST-NO VALUE TEXT</v>
      </c>
      <c r="C109" s="11"/>
      <c r="D109" s="3"/>
      <c r="E109" s="3"/>
      <c r="F109" s="22">
        <f t="shared" si="22"/>
        <v>0</v>
      </c>
      <c r="G109" s="3"/>
      <c r="H109" s="3">
        <v>288</v>
      </c>
      <c r="I109" s="3"/>
      <c r="J109" s="22">
        <f t="shared" si="23"/>
        <v>3.9873967802463248E-4</v>
      </c>
      <c r="K109" s="3"/>
      <c r="L109" s="3">
        <f t="shared" si="24"/>
        <v>-288</v>
      </c>
      <c r="M109" s="3"/>
      <c r="N109" s="22">
        <f t="shared" si="25"/>
        <v>-1</v>
      </c>
      <c r="O109" s="11"/>
      <c r="P109" s="3"/>
      <c r="Q109" s="3"/>
      <c r="R109" s="22">
        <f t="shared" si="26"/>
        <v>0</v>
      </c>
      <c r="S109" s="3"/>
      <c r="T109" s="3">
        <v>288</v>
      </c>
      <c r="U109" s="3"/>
      <c r="V109" s="22">
        <f t="shared" si="27"/>
        <v>3.9873967802463248E-4</v>
      </c>
      <c r="W109" s="3"/>
      <c r="X109" s="3">
        <f t="shared" si="28"/>
        <v>-288</v>
      </c>
      <c r="Y109" s="3"/>
      <c r="Z109" s="22">
        <f t="shared" si="29"/>
        <v>-1</v>
      </c>
    </row>
    <row r="110" spans="1:26" s="24" customFormat="1" hidden="1" outlineLevel="1" x14ac:dyDescent="0.25">
      <c r="A110" s="50"/>
      <c r="B110" s="11" t="str">
        <f>CONCATENATE("          ", "5013", " - ", "PURCHASES @ COST-TRADE BOOKS")</f>
        <v xml:space="preserve">          5013 - PURCHASES @ COST-TRADE BOOKS</v>
      </c>
      <c r="C110" s="11"/>
      <c r="D110" s="3">
        <v>108.54</v>
      </c>
      <c r="E110" s="3"/>
      <c r="F110" s="22">
        <f t="shared" si="22"/>
        <v>2.4915392340989109E-4</v>
      </c>
      <c r="G110" s="3"/>
      <c r="H110" s="3">
        <v>204.9</v>
      </c>
      <c r="I110" s="3"/>
      <c r="J110" s="22">
        <f t="shared" si="23"/>
        <v>2.83686666761275E-4</v>
      </c>
      <c r="K110" s="3"/>
      <c r="L110" s="3">
        <f t="shared" si="24"/>
        <v>-96.36</v>
      </c>
      <c r="M110" s="3"/>
      <c r="N110" s="22">
        <f t="shared" si="25"/>
        <v>-0.47027818448023423</v>
      </c>
      <c r="O110" s="11"/>
      <c r="P110" s="3">
        <v>108.54</v>
      </c>
      <c r="Q110" s="3"/>
      <c r="R110" s="22">
        <f t="shared" si="26"/>
        <v>2.4915392340989109E-4</v>
      </c>
      <c r="S110" s="3"/>
      <c r="T110" s="3">
        <v>204.9</v>
      </c>
      <c r="U110" s="3"/>
      <c r="V110" s="22">
        <f t="shared" si="27"/>
        <v>2.83686666761275E-4</v>
      </c>
      <c r="W110" s="3"/>
      <c r="X110" s="3">
        <f t="shared" si="28"/>
        <v>-96.36</v>
      </c>
      <c r="Y110" s="3"/>
      <c r="Z110" s="22">
        <f t="shared" si="29"/>
        <v>-0.47027818448023423</v>
      </c>
    </row>
    <row r="111" spans="1:26" s="24" customFormat="1" hidden="1" outlineLevel="1" x14ac:dyDescent="0.25">
      <c r="A111" s="50"/>
      <c r="B111" s="11" t="str">
        <f>CONCATENATE("          ", "5014", " - ", "PURCHASES @ COST-REMAINDERS")</f>
        <v xml:space="preserve">          5014 - PURCHASES @ COST-REMAINDERS</v>
      </c>
      <c r="C111" s="11"/>
      <c r="D111" s="3">
        <v>-12.51</v>
      </c>
      <c r="E111" s="3"/>
      <c r="F111" s="22">
        <f t="shared" si="22"/>
        <v>-2.8716745732980813E-5</v>
      </c>
      <c r="G111" s="3"/>
      <c r="H111" s="3">
        <v>100.48</v>
      </c>
      <c r="I111" s="3"/>
      <c r="J111" s="22">
        <f t="shared" si="23"/>
        <v>1.3911584322192735E-4</v>
      </c>
      <c r="K111" s="3"/>
      <c r="L111" s="3">
        <f t="shared" si="24"/>
        <v>-112.99000000000001</v>
      </c>
      <c r="M111" s="3"/>
      <c r="N111" s="22">
        <f t="shared" si="25"/>
        <v>-1.1245023885350318</v>
      </c>
      <c r="O111" s="11"/>
      <c r="P111" s="3">
        <v>-12.51</v>
      </c>
      <c r="Q111" s="3"/>
      <c r="R111" s="22">
        <f t="shared" si="26"/>
        <v>-2.8716745732980813E-5</v>
      </c>
      <c r="S111" s="3"/>
      <c r="T111" s="3">
        <v>100.48</v>
      </c>
      <c r="U111" s="3"/>
      <c r="V111" s="22">
        <f t="shared" si="27"/>
        <v>1.3911584322192735E-4</v>
      </c>
      <c r="W111" s="3"/>
      <c r="X111" s="3">
        <f t="shared" si="28"/>
        <v>-112.99000000000001</v>
      </c>
      <c r="Y111" s="3"/>
      <c r="Z111" s="22">
        <f t="shared" si="29"/>
        <v>-1.1245023885350318</v>
      </c>
    </row>
    <row r="112" spans="1:26" s="24" customFormat="1" hidden="1" outlineLevel="1" x14ac:dyDescent="0.25">
      <c r="A112" s="50"/>
      <c r="B112" s="11" t="str">
        <f>CONCATENATE("          ", "5018", " - ", "PURCHASES @ COST-STUDY GUIDES")</f>
        <v xml:space="preserve">          5018 - PURCHASES @ COST-STUDY GUIDES</v>
      </c>
      <c r="C112" s="11"/>
      <c r="D112" s="3"/>
      <c r="E112" s="3"/>
      <c r="F112" s="22">
        <f t="shared" si="22"/>
        <v>0</v>
      </c>
      <c r="G112" s="3"/>
      <c r="H112" s="3">
        <v>503.93</v>
      </c>
      <c r="I112" s="3"/>
      <c r="J112" s="22">
        <f t="shared" si="23"/>
        <v>6.9769752064914256E-4</v>
      </c>
      <c r="K112" s="3"/>
      <c r="L112" s="3">
        <f t="shared" si="24"/>
        <v>-503.93</v>
      </c>
      <c r="M112" s="3"/>
      <c r="N112" s="22">
        <f t="shared" si="25"/>
        <v>-1</v>
      </c>
      <c r="O112" s="11"/>
      <c r="P112" s="3"/>
      <c r="Q112" s="3"/>
      <c r="R112" s="22">
        <f t="shared" si="26"/>
        <v>0</v>
      </c>
      <c r="S112" s="3"/>
      <c r="T112" s="3">
        <v>503.93</v>
      </c>
      <c r="U112" s="3"/>
      <c r="V112" s="22">
        <f t="shared" si="27"/>
        <v>6.9769752064914256E-4</v>
      </c>
      <c r="W112" s="3"/>
      <c r="X112" s="3">
        <f t="shared" si="28"/>
        <v>-503.93</v>
      </c>
      <c r="Y112" s="3"/>
      <c r="Z112" s="22">
        <f t="shared" si="29"/>
        <v>-1</v>
      </c>
    </row>
    <row r="113" spans="1:26" s="24" customFormat="1" hidden="1" outlineLevel="1" x14ac:dyDescent="0.25">
      <c r="A113" s="50"/>
      <c r="B113" s="11" t="str">
        <f>CONCATENATE("          ", "5025", " - ", "PURCHASES @ COST-TEST FORMS")</f>
        <v xml:space="preserve">          5025 - PURCHASES @ COST-TEST FORMS</v>
      </c>
      <c r="C113" s="11"/>
      <c r="D113" s="3"/>
      <c r="E113" s="3"/>
      <c r="F113" s="22">
        <f t="shared" si="22"/>
        <v>0</v>
      </c>
      <c r="G113" s="3"/>
      <c r="H113" s="3">
        <v>879.12</v>
      </c>
      <c r="I113" s="3"/>
      <c r="J113" s="22">
        <f t="shared" si="23"/>
        <v>1.2171528671701907E-3</v>
      </c>
      <c r="K113" s="3"/>
      <c r="L113" s="3">
        <f t="shared" si="24"/>
        <v>-879.12</v>
      </c>
      <c r="M113" s="3"/>
      <c r="N113" s="22">
        <f t="shared" si="25"/>
        <v>-1</v>
      </c>
      <c r="O113" s="11"/>
      <c r="P113" s="3"/>
      <c r="Q113" s="3"/>
      <c r="R113" s="22">
        <f t="shared" si="26"/>
        <v>0</v>
      </c>
      <c r="S113" s="3"/>
      <c r="T113" s="3">
        <v>879.12</v>
      </c>
      <c r="U113" s="3"/>
      <c r="V113" s="22">
        <f t="shared" si="27"/>
        <v>1.2171528671701907E-3</v>
      </c>
      <c r="W113" s="3"/>
      <c r="X113" s="3">
        <f t="shared" si="28"/>
        <v>-879.12</v>
      </c>
      <c r="Y113" s="3"/>
      <c r="Z113" s="22">
        <f t="shared" si="29"/>
        <v>-1</v>
      </c>
    </row>
    <row r="114" spans="1:26" s="24" customFormat="1" hidden="1" outlineLevel="1" x14ac:dyDescent="0.25">
      <c r="A114" s="50"/>
      <c r="B114" s="11" t="str">
        <f>CONCATENATE("          ", "5026", " - ", "PURCHASES @ COST-WRITING INSTR")</f>
        <v xml:space="preserve">          5026 - PURCHASES @ COST-WRITING INSTR</v>
      </c>
      <c r="C114" s="11"/>
      <c r="D114" s="3"/>
      <c r="E114" s="3"/>
      <c r="F114" s="22">
        <f t="shared" si="22"/>
        <v>0</v>
      </c>
      <c r="G114" s="3"/>
      <c r="H114" s="3">
        <v>10331.040000000001</v>
      </c>
      <c r="I114" s="3"/>
      <c r="J114" s="22">
        <f t="shared" si="23"/>
        <v>1.430345681687361E-2</v>
      </c>
      <c r="K114" s="3"/>
      <c r="L114" s="3">
        <f t="shared" si="24"/>
        <v>-10331.040000000001</v>
      </c>
      <c r="M114" s="3"/>
      <c r="N114" s="22">
        <f t="shared" si="25"/>
        <v>-1</v>
      </c>
      <c r="O114" s="11"/>
      <c r="P114" s="3"/>
      <c r="Q114" s="3"/>
      <c r="R114" s="22">
        <f t="shared" si="26"/>
        <v>0</v>
      </c>
      <c r="S114" s="3"/>
      <c r="T114" s="3">
        <v>10331.040000000001</v>
      </c>
      <c r="U114" s="3"/>
      <c r="V114" s="22">
        <f t="shared" si="27"/>
        <v>1.430345681687361E-2</v>
      </c>
      <c r="W114" s="3"/>
      <c r="X114" s="3">
        <f t="shared" si="28"/>
        <v>-10331.040000000001</v>
      </c>
      <c r="Y114" s="3"/>
      <c r="Z114" s="22">
        <f t="shared" si="29"/>
        <v>-1</v>
      </c>
    </row>
    <row r="115" spans="1:26" s="24" customFormat="1" hidden="1" outlineLevel="1" x14ac:dyDescent="0.25">
      <c r="A115" s="50"/>
      <c r="B115" s="11" t="str">
        <f>CONCATENATE("          ", "5027", " - ", "PURCHASES @ COST-SCHOOL SUPPLI")</f>
        <v xml:space="preserve">          5027 - PURCHASES @ COST-SCHOOL SUPPLI</v>
      </c>
      <c r="C115" s="11"/>
      <c r="D115" s="3">
        <v>8503.4</v>
      </c>
      <c r="E115" s="3"/>
      <c r="F115" s="22">
        <f t="shared" si="22"/>
        <v>1.9519582387356439E-2</v>
      </c>
      <c r="G115" s="3"/>
      <c r="H115" s="3">
        <v>50115.47</v>
      </c>
      <c r="I115" s="3"/>
      <c r="J115" s="22">
        <f t="shared" si="23"/>
        <v>6.9385508235601148E-2</v>
      </c>
      <c r="K115" s="3"/>
      <c r="L115" s="3">
        <f t="shared" si="24"/>
        <v>-41612.07</v>
      </c>
      <c r="M115" s="3"/>
      <c r="N115" s="22">
        <f t="shared" si="25"/>
        <v>-0.83032385010057774</v>
      </c>
      <c r="O115" s="11"/>
      <c r="P115" s="3">
        <v>8503.4</v>
      </c>
      <c r="Q115" s="3"/>
      <c r="R115" s="22">
        <f t="shared" si="26"/>
        <v>1.9519582387356439E-2</v>
      </c>
      <c r="S115" s="3"/>
      <c r="T115" s="3">
        <v>50115.47</v>
      </c>
      <c r="U115" s="3"/>
      <c r="V115" s="22">
        <f t="shared" si="27"/>
        <v>6.9385508235601148E-2</v>
      </c>
      <c r="W115" s="3"/>
      <c r="X115" s="3">
        <f t="shared" si="28"/>
        <v>-41612.07</v>
      </c>
      <c r="Y115" s="3"/>
      <c r="Z115" s="22">
        <f t="shared" si="29"/>
        <v>-0.83032385010057774</v>
      </c>
    </row>
    <row r="116" spans="1:26" s="24" customFormat="1" hidden="1" outlineLevel="1" x14ac:dyDescent="0.25">
      <c r="A116" s="50"/>
      <c r="B116" s="11" t="str">
        <f>CONCATENATE("          ", "5028", " - ", "PURCHASES @ COST-ART/TECH")</f>
        <v xml:space="preserve">          5028 - PURCHASES @ COST-ART/TECH</v>
      </c>
      <c r="C116" s="11"/>
      <c r="D116" s="3"/>
      <c r="E116" s="3"/>
      <c r="F116" s="22">
        <f t="shared" si="22"/>
        <v>0</v>
      </c>
      <c r="G116" s="3"/>
      <c r="H116" s="3">
        <v>28027.649999999998</v>
      </c>
      <c r="I116" s="3"/>
      <c r="J116" s="22">
        <f t="shared" si="23"/>
        <v>3.8804639363844061E-2</v>
      </c>
      <c r="K116" s="3"/>
      <c r="L116" s="3">
        <f t="shared" si="24"/>
        <v>-28027.649999999998</v>
      </c>
      <c r="M116" s="3"/>
      <c r="N116" s="22">
        <f t="shared" si="25"/>
        <v>-1</v>
      </c>
      <c r="O116" s="11"/>
      <c r="P116" s="3"/>
      <c r="Q116" s="3"/>
      <c r="R116" s="22">
        <f t="shared" si="26"/>
        <v>0</v>
      </c>
      <c r="S116" s="3"/>
      <c r="T116" s="3">
        <v>28027.649999999998</v>
      </c>
      <c r="U116" s="3"/>
      <c r="V116" s="22">
        <f t="shared" si="27"/>
        <v>3.8804639363844061E-2</v>
      </c>
      <c r="W116" s="3"/>
      <c r="X116" s="3">
        <f t="shared" si="28"/>
        <v>-28027.649999999998</v>
      </c>
      <c r="Y116" s="3"/>
      <c r="Z116" s="22">
        <f t="shared" si="29"/>
        <v>-1</v>
      </c>
    </row>
    <row r="117" spans="1:26" s="24" customFormat="1" hidden="1" outlineLevel="1" x14ac:dyDescent="0.25">
      <c r="A117" s="50"/>
      <c r="B117" s="11" t="str">
        <f>CONCATENATE("          ", "5032", " - ", "PURCHASES @ COST-JUICE")</f>
        <v xml:space="preserve">          5032 - PURCHASES @ COST-JUICE</v>
      </c>
      <c r="C117" s="11"/>
      <c r="D117" s="3"/>
      <c r="E117" s="3"/>
      <c r="F117" s="22">
        <f t="shared" si="22"/>
        <v>0</v>
      </c>
      <c r="G117" s="3"/>
      <c r="H117" s="3">
        <v>114.42</v>
      </c>
      <c r="I117" s="3"/>
      <c r="J117" s="22">
        <f t="shared" si="23"/>
        <v>1.5841595124853629E-4</v>
      </c>
      <c r="K117" s="3"/>
      <c r="L117" s="3">
        <f t="shared" si="24"/>
        <v>-114.42</v>
      </c>
      <c r="M117" s="3"/>
      <c r="N117" s="22">
        <f t="shared" si="25"/>
        <v>-1</v>
      </c>
      <c r="O117" s="11"/>
      <c r="P117" s="3"/>
      <c r="Q117" s="3"/>
      <c r="R117" s="22">
        <f t="shared" si="26"/>
        <v>0</v>
      </c>
      <c r="S117" s="3"/>
      <c r="T117" s="3">
        <v>114.42</v>
      </c>
      <c r="U117" s="3"/>
      <c r="V117" s="22">
        <f t="shared" si="27"/>
        <v>1.5841595124853629E-4</v>
      </c>
      <c r="W117" s="3"/>
      <c r="X117" s="3">
        <f t="shared" si="28"/>
        <v>-114.42</v>
      </c>
      <c r="Y117" s="3"/>
      <c r="Z117" s="22">
        <f t="shared" si="29"/>
        <v>-1</v>
      </c>
    </row>
    <row r="118" spans="1:26" s="24" customFormat="1" hidden="1" outlineLevel="1" x14ac:dyDescent="0.25">
      <c r="A118" s="50"/>
      <c r="B118" s="11" t="str">
        <f>CONCATENATE("          ", "5034", " - ", "PURCHASES @ COST-SODA")</f>
        <v xml:space="preserve">          5034 - PURCHASES @ COST-SODA</v>
      </c>
      <c r="C118" s="11"/>
      <c r="D118" s="3"/>
      <c r="E118" s="3"/>
      <c r="F118" s="22">
        <f t="shared" si="22"/>
        <v>0</v>
      </c>
      <c r="G118" s="3"/>
      <c r="H118" s="3">
        <v>-61.54</v>
      </c>
      <c r="I118" s="3"/>
      <c r="J118" s="22">
        <f t="shared" si="23"/>
        <v>-8.5202915922346812E-5</v>
      </c>
      <c r="K118" s="3"/>
      <c r="L118" s="3">
        <f t="shared" si="24"/>
        <v>61.54</v>
      </c>
      <c r="M118" s="3"/>
      <c r="N118" s="22">
        <f t="shared" si="25"/>
        <v>-1</v>
      </c>
      <c r="O118" s="11"/>
      <c r="P118" s="3"/>
      <c r="Q118" s="3"/>
      <c r="R118" s="22">
        <f t="shared" si="26"/>
        <v>0</v>
      </c>
      <c r="S118" s="3"/>
      <c r="T118" s="3">
        <v>-61.54</v>
      </c>
      <c r="U118" s="3"/>
      <c r="V118" s="22">
        <f t="shared" si="27"/>
        <v>-8.5202915922346812E-5</v>
      </c>
      <c r="W118" s="3"/>
      <c r="X118" s="3">
        <f t="shared" si="28"/>
        <v>61.54</v>
      </c>
      <c r="Y118" s="3"/>
      <c r="Z118" s="22">
        <f t="shared" si="29"/>
        <v>-1</v>
      </c>
    </row>
    <row r="119" spans="1:26" s="24" customFormat="1" hidden="1" outlineLevel="1" x14ac:dyDescent="0.25">
      <c r="A119" s="50"/>
      <c r="B119" s="11" t="str">
        <f>CONCATENATE("          ", "5037", " - ", "PURCHASES @ COST-WATER")</f>
        <v xml:space="preserve">          5037 - PURCHASES @ COST-WATER</v>
      </c>
      <c r="C119" s="11"/>
      <c r="D119" s="3"/>
      <c r="E119" s="3"/>
      <c r="F119" s="22">
        <f t="shared" si="22"/>
        <v>0</v>
      </c>
      <c r="G119" s="3"/>
      <c r="H119" s="3">
        <v>33.58</v>
      </c>
      <c r="I119" s="3"/>
      <c r="J119" s="22">
        <f t="shared" si="23"/>
        <v>4.6491938847455412E-5</v>
      </c>
      <c r="K119" s="3"/>
      <c r="L119" s="3">
        <f t="shared" si="24"/>
        <v>-33.58</v>
      </c>
      <c r="M119" s="3"/>
      <c r="N119" s="22">
        <f t="shared" si="25"/>
        <v>-1</v>
      </c>
      <c r="O119" s="11"/>
      <c r="P119" s="3"/>
      <c r="Q119" s="3"/>
      <c r="R119" s="22">
        <f t="shared" si="26"/>
        <v>0</v>
      </c>
      <c r="S119" s="3"/>
      <c r="T119" s="3">
        <v>33.58</v>
      </c>
      <c r="U119" s="3"/>
      <c r="V119" s="22">
        <f t="shared" si="27"/>
        <v>4.6491938847455412E-5</v>
      </c>
      <c r="W119" s="3"/>
      <c r="X119" s="3">
        <f t="shared" si="28"/>
        <v>-33.58</v>
      </c>
      <c r="Y119" s="3"/>
      <c r="Z119" s="22">
        <f t="shared" si="29"/>
        <v>-1</v>
      </c>
    </row>
    <row r="120" spans="1:26" s="24" customFormat="1" hidden="1" outlineLevel="1" x14ac:dyDescent="0.25">
      <c r="A120" s="50"/>
      <c r="B120" s="11" t="str">
        <f>CONCATENATE("          ", "5040", " - ", "PURCHASES @ COST-LOGO CLOTHING")</f>
        <v xml:space="preserve">          5040 - PURCHASES @ COST-LOGO CLOTHING</v>
      </c>
      <c r="C120" s="11"/>
      <c r="D120" s="3">
        <v>1723.07</v>
      </c>
      <c r="E120" s="3"/>
      <c r="F120" s="22">
        <f t="shared" si="22"/>
        <v>3.9553127953738804E-3</v>
      </c>
      <c r="G120" s="3"/>
      <c r="H120" s="3">
        <v>78921.570000000007</v>
      </c>
      <c r="I120" s="3"/>
      <c r="J120" s="22">
        <f t="shared" si="23"/>
        <v>0.10926792156596701</v>
      </c>
      <c r="K120" s="3"/>
      <c r="L120" s="3">
        <f t="shared" si="24"/>
        <v>-77198.5</v>
      </c>
      <c r="M120" s="3"/>
      <c r="N120" s="22">
        <f t="shared" si="25"/>
        <v>-0.97816731218094111</v>
      </c>
      <c r="O120" s="11"/>
      <c r="P120" s="3">
        <v>1723.07</v>
      </c>
      <c r="Q120" s="3"/>
      <c r="R120" s="22">
        <f t="shared" si="26"/>
        <v>3.9553127953738804E-3</v>
      </c>
      <c r="S120" s="3"/>
      <c r="T120" s="3">
        <v>78921.570000000007</v>
      </c>
      <c r="U120" s="3"/>
      <c r="V120" s="22">
        <f t="shared" si="27"/>
        <v>0.10926792156596701</v>
      </c>
      <c r="W120" s="3"/>
      <c r="X120" s="3">
        <f t="shared" si="28"/>
        <v>-77198.5</v>
      </c>
      <c r="Y120" s="3"/>
      <c r="Z120" s="22">
        <f t="shared" si="29"/>
        <v>-0.97816731218094111</v>
      </c>
    </row>
    <row r="121" spans="1:26" s="24" customFormat="1" hidden="1" outlineLevel="1" x14ac:dyDescent="0.25">
      <c r="A121" s="50"/>
      <c r="B121" s="11" t="str">
        <f>CONCATENATE("          ", "5041", " - ", "PURCHASES @ COST-LOGO GIFTS")</f>
        <v xml:space="preserve">          5041 - PURCHASES @ COST-LOGO GIFTS</v>
      </c>
      <c r="C121" s="11"/>
      <c r="D121" s="3">
        <v>-713.75</v>
      </c>
      <c r="E121" s="3"/>
      <c r="F121" s="22">
        <f t="shared" si="22"/>
        <v>-1.6384154489940091E-3</v>
      </c>
      <c r="G121" s="3"/>
      <c r="H121" s="3">
        <v>11950.27</v>
      </c>
      <c r="I121" s="3"/>
      <c r="J121" s="22">
        <f t="shared" si="23"/>
        <v>1.6545301430928559E-2</v>
      </c>
      <c r="K121" s="3"/>
      <c r="L121" s="3">
        <f t="shared" si="24"/>
        <v>-12664.02</v>
      </c>
      <c r="M121" s="3"/>
      <c r="N121" s="22">
        <f t="shared" si="25"/>
        <v>-1.0597266839996085</v>
      </c>
      <c r="O121" s="11"/>
      <c r="P121" s="3">
        <v>-713.75</v>
      </c>
      <c r="Q121" s="3"/>
      <c r="R121" s="22">
        <f t="shared" si="26"/>
        <v>-1.6384154489940091E-3</v>
      </c>
      <c r="S121" s="3"/>
      <c r="T121" s="3">
        <v>11950.27</v>
      </c>
      <c r="U121" s="3"/>
      <c r="V121" s="22">
        <f t="shared" si="27"/>
        <v>1.6545301430928559E-2</v>
      </c>
      <c r="W121" s="3"/>
      <c r="X121" s="3">
        <f t="shared" si="28"/>
        <v>-12664.02</v>
      </c>
      <c r="Y121" s="3"/>
      <c r="Z121" s="22">
        <f t="shared" si="29"/>
        <v>-1.0597266839996085</v>
      </c>
    </row>
    <row r="122" spans="1:26" s="24" customFormat="1" hidden="1" outlineLevel="1" x14ac:dyDescent="0.25">
      <c r="A122" s="50"/>
      <c r="B122" s="11" t="str">
        <f>CONCATENATE("          ", "5042", " - ", "PURCHASES @ COST-EVERYDAY GIFT")</f>
        <v xml:space="preserve">          5042 - PURCHASES @ COST-EVERYDAY GIFT</v>
      </c>
      <c r="C122" s="11"/>
      <c r="D122" s="3">
        <v>236.16</v>
      </c>
      <c r="E122" s="3"/>
      <c r="F122" s="22">
        <f t="shared" si="22"/>
        <v>5.42106048944904E-4</v>
      </c>
      <c r="G122" s="3"/>
      <c r="H122" s="3">
        <v>7752.36</v>
      </c>
      <c r="I122" s="3"/>
      <c r="J122" s="22">
        <f t="shared" si="23"/>
        <v>1.0733241424760554E-2</v>
      </c>
      <c r="K122" s="3"/>
      <c r="L122" s="3">
        <f t="shared" si="24"/>
        <v>-7516.2</v>
      </c>
      <c r="M122" s="3"/>
      <c r="N122" s="22">
        <f t="shared" si="25"/>
        <v>-0.96953701840471807</v>
      </c>
      <c r="O122" s="11"/>
      <c r="P122" s="3">
        <v>236.16</v>
      </c>
      <c r="Q122" s="3"/>
      <c r="R122" s="22">
        <f t="shared" si="26"/>
        <v>5.42106048944904E-4</v>
      </c>
      <c r="S122" s="3"/>
      <c r="T122" s="3">
        <v>7752.36</v>
      </c>
      <c r="U122" s="3"/>
      <c r="V122" s="22">
        <f t="shared" si="27"/>
        <v>1.0733241424760554E-2</v>
      </c>
      <c r="W122" s="3"/>
      <c r="X122" s="3">
        <f t="shared" si="28"/>
        <v>-7516.2</v>
      </c>
      <c r="Y122" s="3"/>
      <c r="Z122" s="22">
        <f t="shared" si="29"/>
        <v>-0.96953701840471807</v>
      </c>
    </row>
    <row r="123" spans="1:26" s="24" customFormat="1" hidden="1" outlineLevel="1" x14ac:dyDescent="0.25">
      <c r="A123" s="50"/>
      <c r="B123" s="11" t="str">
        <f>CONCATENATE("          ", "5043", " - ", "PURCHASES @ COST-CARDS")</f>
        <v xml:space="preserve">          5043 - PURCHASES @ COST-CARDS</v>
      </c>
      <c r="C123" s="11"/>
      <c r="D123" s="3">
        <v>308.7</v>
      </c>
      <c r="E123" s="3"/>
      <c r="F123" s="22">
        <f t="shared" si="22"/>
        <v>7.0862185513758411E-4</v>
      </c>
      <c r="G123" s="3"/>
      <c r="H123" s="3">
        <v>498.26</v>
      </c>
      <c r="I123" s="3"/>
      <c r="J123" s="22">
        <f t="shared" si="23"/>
        <v>6.898473332380326E-4</v>
      </c>
      <c r="K123" s="3"/>
      <c r="L123" s="3">
        <f t="shared" si="24"/>
        <v>-189.56</v>
      </c>
      <c r="M123" s="3"/>
      <c r="N123" s="22">
        <f t="shared" si="25"/>
        <v>-0.38044394492835065</v>
      </c>
      <c r="O123" s="11"/>
      <c r="P123" s="3">
        <v>308.7</v>
      </c>
      <c r="Q123" s="3"/>
      <c r="R123" s="22">
        <f t="shared" si="26"/>
        <v>7.0862185513758411E-4</v>
      </c>
      <c r="S123" s="3"/>
      <c r="T123" s="3">
        <v>498.26</v>
      </c>
      <c r="U123" s="3"/>
      <c r="V123" s="22">
        <f t="shared" si="27"/>
        <v>6.898473332380326E-4</v>
      </c>
      <c r="W123" s="3"/>
      <c r="X123" s="3">
        <f t="shared" si="28"/>
        <v>-189.56</v>
      </c>
      <c r="Y123" s="3"/>
      <c r="Z123" s="22">
        <f t="shared" si="29"/>
        <v>-0.38044394492835065</v>
      </c>
    </row>
    <row r="124" spans="1:26" s="24" customFormat="1" hidden="1" outlineLevel="1" x14ac:dyDescent="0.25">
      <c r="A124" s="50"/>
      <c r="B124" s="11" t="str">
        <f>CONCATENATE("          ", "5044", " - ", "PURCHASES @ COST-ACCESSORIES")</f>
        <v xml:space="preserve">          5044 - PURCHASES @ COST-ACCESSORIES</v>
      </c>
      <c r="C124" s="11"/>
      <c r="D124" s="3"/>
      <c r="E124" s="3"/>
      <c r="F124" s="22">
        <f t="shared" si="22"/>
        <v>0</v>
      </c>
      <c r="G124" s="3"/>
      <c r="H124" s="3">
        <v>4839</v>
      </c>
      <c r="I124" s="3"/>
      <c r="J124" s="22">
        <f t="shared" si="23"/>
        <v>6.6996572984763776E-3</v>
      </c>
      <c r="K124" s="3"/>
      <c r="L124" s="3">
        <f t="shared" si="24"/>
        <v>-4839</v>
      </c>
      <c r="M124" s="3"/>
      <c r="N124" s="22">
        <f t="shared" si="25"/>
        <v>-1</v>
      </c>
      <c r="O124" s="11"/>
      <c r="P124" s="3"/>
      <c r="Q124" s="3"/>
      <c r="R124" s="22">
        <f t="shared" si="26"/>
        <v>0</v>
      </c>
      <c r="S124" s="3"/>
      <c r="T124" s="3">
        <v>4839</v>
      </c>
      <c r="U124" s="3"/>
      <c r="V124" s="22">
        <f t="shared" si="27"/>
        <v>6.6996572984763776E-3</v>
      </c>
      <c r="W124" s="3"/>
      <c r="X124" s="3">
        <f t="shared" si="28"/>
        <v>-4839</v>
      </c>
      <c r="Y124" s="3"/>
      <c r="Z124" s="22">
        <f t="shared" si="29"/>
        <v>-1</v>
      </c>
    </row>
    <row r="125" spans="1:26" s="24" customFormat="1" hidden="1" outlineLevel="1" x14ac:dyDescent="0.25">
      <c r="A125" s="50"/>
      <c r="B125" s="11" t="str">
        <f>CONCATENATE("          ", "5045", " - ", "PURCHASES @ COST-SPECIAL ORDER")</f>
        <v xml:space="preserve">          5045 - PURCHASES @ COST-SPECIAL ORDER</v>
      </c>
      <c r="C125" s="11"/>
      <c r="D125" s="3">
        <v>2756.21</v>
      </c>
      <c r="E125" s="3"/>
      <c r="F125" s="22">
        <f t="shared" si="22"/>
        <v>6.3268890293124739E-3</v>
      </c>
      <c r="G125" s="3"/>
      <c r="H125" s="3">
        <v>15992.849999999999</v>
      </c>
      <c r="I125" s="3"/>
      <c r="J125" s="22">
        <f t="shared" si="23"/>
        <v>2.2142305068389732E-2</v>
      </c>
      <c r="K125" s="3"/>
      <c r="L125" s="3">
        <f t="shared" si="24"/>
        <v>-13236.64</v>
      </c>
      <c r="M125" s="3"/>
      <c r="N125" s="22">
        <f t="shared" si="25"/>
        <v>-0.82765986050016105</v>
      </c>
      <c r="O125" s="11"/>
      <c r="P125" s="3">
        <v>2756.21</v>
      </c>
      <c r="Q125" s="3"/>
      <c r="R125" s="22">
        <f t="shared" si="26"/>
        <v>6.3268890293124739E-3</v>
      </c>
      <c r="S125" s="3"/>
      <c r="T125" s="3">
        <v>15992.849999999999</v>
      </c>
      <c r="U125" s="3"/>
      <c r="V125" s="22">
        <f t="shared" si="27"/>
        <v>2.2142305068389732E-2</v>
      </c>
      <c r="W125" s="3"/>
      <c r="X125" s="3">
        <f t="shared" si="28"/>
        <v>-13236.64</v>
      </c>
      <c r="Y125" s="3"/>
      <c r="Z125" s="22">
        <f t="shared" si="29"/>
        <v>-0.82765986050016105</v>
      </c>
    </row>
    <row r="126" spans="1:26" s="24" customFormat="1" hidden="1" outlineLevel="1" x14ac:dyDescent="0.25">
      <c r="A126" s="50"/>
      <c r="B126" s="11" t="str">
        <f>CONCATENATE("          ", "5081", " - ", "PURCHASES @ COST-ELECTRONICS")</f>
        <v xml:space="preserve">          5081 - PURCHASES @ COST-ELECTRONICS</v>
      </c>
      <c r="C126" s="11"/>
      <c r="D126" s="3">
        <v>6676.92</v>
      </c>
      <c r="E126" s="3"/>
      <c r="F126" s="22">
        <f t="shared" si="22"/>
        <v>1.5326891600276119E-2</v>
      </c>
      <c r="G126" s="3"/>
      <c r="H126" s="3">
        <v>66058.349999999991</v>
      </c>
      <c r="I126" s="3"/>
      <c r="J126" s="22">
        <f t="shared" si="23"/>
        <v>9.1458629200828048E-2</v>
      </c>
      <c r="K126" s="3"/>
      <c r="L126" s="3">
        <f t="shared" si="24"/>
        <v>-59381.429999999993</v>
      </c>
      <c r="M126" s="3"/>
      <c r="N126" s="22">
        <f t="shared" si="25"/>
        <v>-0.89892390591045646</v>
      </c>
      <c r="O126" s="11"/>
      <c r="P126" s="3">
        <v>6676.92</v>
      </c>
      <c r="Q126" s="3"/>
      <c r="R126" s="22">
        <f t="shared" si="26"/>
        <v>1.5326891600276119E-2</v>
      </c>
      <c r="S126" s="3"/>
      <c r="T126" s="3">
        <v>66058.349999999991</v>
      </c>
      <c r="U126" s="3"/>
      <c r="V126" s="22">
        <f t="shared" si="27"/>
        <v>9.1458629200828048E-2</v>
      </c>
      <c r="W126" s="3"/>
      <c r="X126" s="3">
        <f t="shared" si="28"/>
        <v>-59381.429999999993</v>
      </c>
      <c r="Y126" s="3"/>
      <c r="Z126" s="22">
        <f t="shared" si="29"/>
        <v>-0.89892390591045646</v>
      </c>
    </row>
    <row r="127" spans="1:26" s="24" customFormat="1" hidden="1" outlineLevel="1" x14ac:dyDescent="0.25">
      <c r="A127" s="50"/>
      <c r="B127" s="11" t="str">
        <f>CONCATENATE("          ", "5082", " - ", "PURCHASES @ COST-COMPUTER HARD")</f>
        <v xml:space="preserve">          5082 - PURCHASES @ COST-COMPUTER HARD</v>
      </c>
      <c r="C127" s="11"/>
      <c r="D127" s="3">
        <v>186472.57</v>
      </c>
      <c r="E127" s="3"/>
      <c r="F127" s="22">
        <f t="shared" si="22"/>
        <v>0.42804839159596053</v>
      </c>
      <c r="G127" s="3"/>
      <c r="H127" s="3">
        <v>356559.97</v>
      </c>
      <c r="I127" s="3"/>
      <c r="J127" s="22">
        <f t="shared" si="23"/>
        <v>0.49366183206344655</v>
      </c>
      <c r="K127" s="3"/>
      <c r="L127" s="3">
        <f t="shared" si="24"/>
        <v>-170087.39999999997</v>
      </c>
      <c r="M127" s="3"/>
      <c r="N127" s="22">
        <f t="shared" si="25"/>
        <v>-0.4770232620335928</v>
      </c>
      <c r="O127" s="11"/>
      <c r="P127" s="3">
        <v>186472.57</v>
      </c>
      <c r="Q127" s="3"/>
      <c r="R127" s="22">
        <f t="shared" si="26"/>
        <v>0.42804839159596053</v>
      </c>
      <c r="S127" s="3"/>
      <c r="T127" s="3">
        <v>356559.97</v>
      </c>
      <c r="U127" s="3"/>
      <c r="V127" s="22">
        <f t="shared" si="27"/>
        <v>0.49366183206344655</v>
      </c>
      <c r="W127" s="3"/>
      <c r="X127" s="3">
        <f t="shared" si="28"/>
        <v>-170087.39999999997</v>
      </c>
      <c r="Y127" s="3"/>
      <c r="Z127" s="22">
        <f t="shared" si="29"/>
        <v>-0.4770232620335928</v>
      </c>
    </row>
    <row r="128" spans="1:26" s="24" customFormat="1" hidden="1" outlineLevel="1" x14ac:dyDescent="0.25">
      <c r="A128" s="50"/>
      <c r="B128" s="11" t="str">
        <f>CONCATENATE("          ", "5083", " - ", "PURCHASES @ COST-COMPUTER EQUI")</f>
        <v xml:space="preserve">          5083 - PURCHASES @ COST-COMPUTER EQUI</v>
      </c>
      <c r="C128" s="11"/>
      <c r="D128" s="3">
        <v>29938.300000000003</v>
      </c>
      <c r="E128" s="3"/>
      <c r="F128" s="22">
        <f t="shared" si="22"/>
        <v>6.8723465130111877E-2</v>
      </c>
      <c r="G128" s="3"/>
      <c r="H128" s="3">
        <v>7276.14</v>
      </c>
      <c r="I128" s="3"/>
      <c r="J128" s="22">
        <f t="shared" si="23"/>
        <v>1.0073908752993575E-2</v>
      </c>
      <c r="K128" s="3"/>
      <c r="L128" s="3">
        <f t="shared" si="24"/>
        <v>22662.160000000003</v>
      </c>
      <c r="M128" s="3"/>
      <c r="N128" s="22">
        <f t="shared" si="25"/>
        <v>3.1145854807631523</v>
      </c>
      <c r="O128" s="11"/>
      <c r="P128" s="3">
        <v>29938.300000000003</v>
      </c>
      <c r="Q128" s="3"/>
      <c r="R128" s="22">
        <f t="shared" si="26"/>
        <v>6.8723465130111877E-2</v>
      </c>
      <c r="S128" s="3"/>
      <c r="T128" s="3">
        <v>7276.14</v>
      </c>
      <c r="U128" s="3"/>
      <c r="V128" s="22">
        <f t="shared" si="27"/>
        <v>1.0073908752993575E-2</v>
      </c>
      <c r="W128" s="3"/>
      <c r="X128" s="3">
        <f t="shared" si="28"/>
        <v>22662.160000000003</v>
      </c>
      <c r="Y128" s="3"/>
      <c r="Z128" s="22">
        <f t="shared" si="29"/>
        <v>3.1145854807631523</v>
      </c>
    </row>
    <row r="129" spans="1:26" s="24" customFormat="1" hidden="1" outlineLevel="1" x14ac:dyDescent="0.25">
      <c r="A129" s="50"/>
      <c r="B129" s="11" t="str">
        <f>CONCATENATE("          ", "5085", " - ", "PURCHASES @ COST-SOFTWARE")</f>
        <v xml:space="preserve">          5085 - PURCHASES @ COST-SOFTWARE</v>
      </c>
      <c r="C129" s="11"/>
      <c r="D129" s="3">
        <v>3864.34</v>
      </c>
      <c r="E129" s="3"/>
      <c r="F129" s="22">
        <f t="shared" si="22"/>
        <v>8.8706050524210295E-3</v>
      </c>
      <c r="G129" s="3"/>
      <c r="H129" s="3"/>
      <c r="I129" s="3"/>
      <c r="J129" s="22">
        <f t="shared" si="23"/>
        <v>0</v>
      </c>
      <c r="K129" s="3"/>
      <c r="L129" s="3">
        <f t="shared" si="24"/>
        <v>3864.34</v>
      </c>
      <c r="M129" s="3"/>
      <c r="N129" s="22">
        <f t="shared" si="25"/>
        <v>0</v>
      </c>
      <c r="O129" s="11"/>
      <c r="P129" s="3">
        <v>3864.34</v>
      </c>
      <c r="Q129" s="3"/>
      <c r="R129" s="22">
        <f t="shared" si="26"/>
        <v>8.8706050524210295E-3</v>
      </c>
      <c r="S129" s="3"/>
      <c r="T129" s="3"/>
      <c r="U129" s="3"/>
      <c r="V129" s="22">
        <f t="shared" si="27"/>
        <v>0</v>
      </c>
      <c r="W129" s="3"/>
      <c r="X129" s="3">
        <f t="shared" si="28"/>
        <v>3864.34</v>
      </c>
      <c r="Y129" s="3"/>
      <c r="Z129" s="22">
        <f t="shared" si="29"/>
        <v>0</v>
      </c>
    </row>
    <row r="130" spans="1:26" s="24" customFormat="1" hidden="1" outlineLevel="1" x14ac:dyDescent="0.25">
      <c r="A130" s="50"/>
      <c r="B130" s="11" t="str">
        <f>CONCATENATE("          ", "5086", " - ", "PURCHASES @ COST-COMPUTER SUPP")</f>
        <v xml:space="preserve">          5086 - PURCHASES @ COST-COMPUTER SUPP</v>
      </c>
      <c r="C130" s="11"/>
      <c r="D130" s="3">
        <v>87.25</v>
      </c>
      <c r="E130" s="3"/>
      <c r="F130" s="22">
        <f t="shared" si="22"/>
        <v>2.0028265908893494E-4</v>
      </c>
      <c r="G130" s="3"/>
      <c r="H130" s="3">
        <v>3427.07</v>
      </c>
      <c r="I130" s="3"/>
      <c r="J130" s="22">
        <f t="shared" si="23"/>
        <v>4.7448221818329073E-3</v>
      </c>
      <c r="K130" s="3"/>
      <c r="L130" s="3">
        <f t="shared" si="24"/>
        <v>-3339.82</v>
      </c>
      <c r="M130" s="3"/>
      <c r="N130" s="22">
        <f t="shared" si="25"/>
        <v>-0.97454093438418243</v>
      </c>
      <c r="O130" s="11"/>
      <c r="P130" s="3">
        <v>87.25</v>
      </c>
      <c r="Q130" s="3"/>
      <c r="R130" s="22">
        <f t="shared" si="26"/>
        <v>2.0028265908893494E-4</v>
      </c>
      <c r="S130" s="3"/>
      <c r="T130" s="3">
        <v>3427.07</v>
      </c>
      <c r="U130" s="3"/>
      <c r="V130" s="22">
        <f t="shared" si="27"/>
        <v>4.7448221818329073E-3</v>
      </c>
      <c r="W130" s="3"/>
      <c r="X130" s="3">
        <f t="shared" si="28"/>
        <v>-3339.82</v>
      </c>
      <c r="Y130" s="3"/>
      <c r="Z130" s="22">
        <f t="shared" si="29"/>
        <v>-0.97454093438418243</v>
      </c>
    </row>
    <row r="131" spans="1:26" s="24" customFormat="1" hidden="1" outlineLevel="1" x14ac:dyDescent="0.25">
      <c r="A131" s="50"/>
      <c r="B131" s="11" t="str">
        <f>CONCATENATE("          ", "5088", " - ", "PURCHASES @ COST-MUSIC")</f>
        <v xml:space="preserve">          5088 - PURCHASES @ COST-MUSIC</v>
      </c>
      <c r="C131" s="11"/>
      <c r="D131" s="3"/>
      <c r="E131" s="3"/>
      <c r="F131" s="22">
        <f t="shared" si="22"/>
        <v>0</v>
      </c>
      <c r="G131" s="3"/>
      <c r="H131" s="3">
        <v>82</v>
      </c>
      <c r="I131" s="3"/>
      <c r="J131" s="22">
        <f t="shared" si="23"/>
        <v>1.1353004721534675E-4</v>
      </c>
      <c r="K131" s="3"/>
      <c r="L131" s="3">
        <f t="shared" si="24"/>
        <v>-82</v>
      </c>
      <c r="M131" s="3"/>
      <c r="N131" s="22">
        <f t="shared" si="25"/>
        <v>-1</v>
      </c>
      <c r="O131" s="11"/>
      <c r="P131" s="3"/>
      <c r="Q131" s="3"/>
      <c r="R131" s="22">
        <f t="shared" si="26"/>
        <v>0</v>
      </c>
      <c r="S131" s="3"/>
      <c r="T131" s="3">
        <v>82</v>
      </c>
      <c r="U131" s="3"/>
      <c r="V131" s="22">
        <f t="shared" si="27"/>
        <v>1.1353004721534675E-4</v>
      </c>
      <c r="W131" s="3"/>
      <c r="X131" s="3">
        <f t="shared" si="28"/>
        <v>-82</v>
      </c>
      <c r="Y131" s="3"/>
      <c r="Z131" s="22">
        <f t="shared" si="29"/>
        <v>-1</v>
      </c>
    </row>
    <row r="132" spans="1:26" s="24" customFormat="1" hidden="1" outlineLevel="1" x14ac:dyDescent="0.25">
      <c r="A132" s="50"/>
      <c r="B132" s="11" t="str">
        <f>CONCATENATE("          ", "5092", " - ", "PURCHASES @ COST-GRAD MERCH")</f>
        <v xml:space="preserve">          5092 - PURCHASES @ COST-GRAD MERCH</v>
      </c>
      <c r="C132" s="11"/>
      <c r="D132" s="3"/>
      <c r="E132" s="3"/>
      <c r="F132" s="22">
        <f t="shared" si="22"/>
        <v>0</v>
      </c>
      <c r="G132" s="3"/>
      <c r="H132" s="3">
        <v>1228.5999999999999</v>
      </c>
      <c r="I132" s="3"/>
      <c r="J132" s="22">
        <f t="shared" si="23"/>
        <v>1.7010123903509148E-3</v>
      </c>
      <c r="K132" s="3"/>
      <c r="L132" s="3">
        <f t="shared" si="24"/>
        <v>-1228.5999999999999</v>
      </c>
      <c r="M132" s="3"/>
      <c r="N132" s="22">
        <f t="shared" si="25"/>
        <v>-1</v>
      </c>
      <c r="O132" s="11"/>
      <c r="P132" s="3"/>
      <c r="Q132" s="3"/>
      <c r="R132" s="22">
        <f t="shared" si="26"/>
        <v>0</v>
      </c>
      <c r="S132" s="3"/>
      <c r="T132" s="3">
        <v>1228.5999999999999</v>
      </c>
      <c r="U132" s="3"/>
      <c r="V132" s="22">
        <f t="shared" si="27"/>
        <v>1.7010123903509148E-3</v>
      </c>
      <c r="W132" s="3"/>
      <c r="X132" s="3">
        <f t="shared" si="28"/>
        <v>-1228.5999999999999</v>
      </c>
      <c r="Y132" s="3"/>
      <c r="Z132" s="22">
        <f t="shared" si="29"/>
        <v>-1</v>
      </c>
    </row>
    <row r="133" spans="1:26" s="24" customFormat="1" hidden="1" outlineLevel="1" x14ac:dyDescent="0.25">
      <c r="A133" s="50"/>
      <c r="B133" s="11" t="str">
        <f>CONCATENATE("          ", "5095", " - ", "PURCHASES @ COST-CUSTOMER SERV")</f>
        <v xml:space="preserve">          5095 - PURCHASES @ COST-CUSTOMER SERV</v>
      </c>
      <c r="C133" s="11"/>
      <c r="D133" s="3"/>
      <c r="E133" s="3"/>
      <c r="F133" s="22">
        <f t="shared" si="22"/>
        <v>0</v>
      </c>
      <c r="G133" s="3"/>
      <c r="H133" s="3">
        <v>0</v>
      </c>
      <c r="I133" s="3"/>
      <c r="J133" s="22">
        <f t="shared" si="23"/>
        <v>0</v>
      </c>
      <c r="K133" s="3"/>
      <c r="L133" s="3">
        <f t="shared" si="24"/>
        <v>0</v>
      </c>
      <c r="M133" s="3"/>
      <c r="N133" s="22">
        <f t="shared" si="25"/>
        <v>0</v>
      </c>
      <c r="O133" s="11"/>
      <c r="P133" s="3"/>
      <c r="Q133" s="3"/>
      <c r="R133" s="22">
        <f t="shared" si="26"/>
        <v>0</v>
      </c>
      <c r="S133" s="3"/>
      <c r="T133" s="3">
        <v>0</v>
      </c>
      <c r="U133" s="3"/>
      <c r="V133" s="22">
        <f t="shared" si="27"/>
        <v>0</v>
      </c>
      <c r="W133" s="3"/>
      <c r="X133" s="3">
        <f t="shared" si="28"/>
        <v>0</v>
      </c>
      <c r="Y133" s="3"/>
      <c r="Z133" s="22">
        <f t="shared" si="29"/>
        <v>0</v>
      </c>
    </row>
    <row r="134" spans="1:26" s="24" customFormat="1" hidden="1" outlineLevel="1" x14ac:dyDescent="0.25">
      <c r="A134" s="50"/>
      <c r="B134" s="11" t="str">
        <f>CONCATENATE("          ", "5200", " - ", "PURCHASES OFFSET")</f>
        <v xml:space="preserve">          5200 - PURCHASES OFFSET</v>
      </c>
      <c r="C134" s="11"/>
      <c r="D134" s="3">
        <v>-442822.05</v>
      </c>
      <c r="E134" s="3"/>
      <c r="F134" s="22">
        <f t="shared" si="22"/>
        <v>-1.0164994576184905</v>
      </c>
      <c r="G134" s="3"/>
      <c r="H134" s="3">
        <v>-1262309</v>
      </c>
      <c r="I134" s="3"/>
      <c r="J134" s="22">
        <f t="shared" si="23"/>
        <v>-1.7476829313458189</v>
      </c>
      <c r="K134" s="3"/>
      <c r="L134" s="3">
        <f t="shared" si="24"/>
        <v>819486.95</v>
      </c>
      <c r="M134" s="3"/>
      <c r="N134" s="22">
        <f t="shared" si="25"/>
        <v>-0.64919678937565994</v>
      </c>
      <c r="O134" s="11"/>
      <c r="P134" s="3">
        <v>-442822.05</v>
      </c>
      <c r="Q134" s="3"/>
      <c r="R134" s="22">
        <f t="shared" si="26"/>
        <v>-1.0164994576184905</v>
      </c>
      <c r="S134" s="3"/>
      <c r="T134" s="3">
        <v>-1262309</v>
      </c>
      <c r="U134" s="3"/>
      <c r="V134" s="22">
        <f t="shared" si="27"/>
        <v>-1.7476829313458189</v>
      </c>
      <c r="W134" s="3"/>
      <c r="X134" s="3">
        <f t="shared" si="28"/>
        <v>819486.95</v>
      </c>
      <c r="Y134" s="3"/>
      <c r="Z134" s="22">
        <f t="shared" si="29"/>
        <v>-0.64919678937565994</v>
      </c>
    </row>
    <row r="135" spans="1:26" s="24" customFormat="1" hidden="1" outlineLevel="1" x14ac:dyDescent="0.25">
      <c r="A135" s="50"/>
      <c r="B135" s="11" t="str">
        <f>CONCATENATE("          ", "5300", " - ", "COG$ OFFSET")</f>
        <v xml:space="preserve">          5300 - COG$ OFFSET</v>
      </c>
      <c r="C135" s="11"/>
      <c r="D135" s="3">
        <v>319584</v>
      </c>
      <c r="E135" s="3"/>
      <c r="F135" s="22">
        <f t="shared" si="22"/>
        <v>0.73360611257625419</v>
      </c>
      <c r="G135" s="3"/>
      <c r="H135" s="3">
        <v>523490</v>
      </c>
      <c r="I135" s="3"/>
      <c r="J135" s="22">
        <f t="shared" si="23"/>
        <v>0.7247785904483155</v>
      </c>
      <c r="K135" s="3"/>
      <c r="L135" s="3">
        <f t="shared" si="24"/>
        <v>-203906</v>
      </c>
      <c r="M135" s="3"/>
      <c r="N135" s="22">
        <f t="shared" si="25"/>
        <v>-0.38951269365221874</v>
      </c>
      <c r="O135" s="11"/>
      <c r="P135" s="3">
        <v>319584</v>
      </c>
      <c r="Q135" s="3"/>
      <c r="R135" s="22">
        <f t="shared" si="26"/>
        <v>0.73360611257625419</v>
      </c>
      <c r="S135" s="3"/>
      <c r="T135" s="3">
        <v>523490</v>
      </c>
      <c r="U135" s="3"/>
      <c r="V135" s="22">
        <f t="shared" si="27"/>
        <v>0.7247785904483155</v>
      </c>
      <c r="W135" s="3"/>
      <c r="X135" s="3">
        <f t="shared" si="28"/>
        <v>-203906</v>
      </c>
      <c r="Y135" s="3"/>
      <c r="Z135" s="22">
        <f t="shared" si="29"/>
        <v>-0.38951269365221874</v>
      </c>
    </row>
    <row r="136" spans="1:26" s="24" customFormat="1" hidden="1" outlineLevel="1" x14ac:dyDescent="0.25">
      <c r="A136" s="50"/>
      <c r="B136" s="11" t="str">
        <f>CONCATENATE("          ", "5500", " - ", "FREIGHT-IN")</f>
        <v xml:space="preserve">          5500 - FREIGHT-IN</v>
      </c>
      <c r="C136" s="11"/>
      <c r="D136" s="3"/>
      <c r="E136" s="3"/>
      <c r="F136" s="22">
        <f t="shared" si="22"/>
        <v>0</v>
      </c>
      <c r="G136" s="3"/>
      <c r="H136" s="3">
        <v>49</v>
      </c>
      <c r="I136" s="3"/>
      <c r="J136" s="22">
        <f t="shared" si="23"/>
        <v>6.7841125775024283E-5</v>
      </c>
      <c r="K136" s="3"/>
      <c r="L136" s="3">
        <f t="shared" si="24"/>
        <v>-49</v>
      </c>
      <c r="M136" s="3"/>
      <c r="N136" s="22">
        <f t="shared" si="25"/>
        <v>-1</v>
      </c>
      <c r="O136" s="11"/>
      <c r="P136" s="3"/>
      <c r="Q136" s="3"/>
      <c r="R136" s="22">
        <f t="shared" si="26"/>
        <v>0</v>
      </c>
      <c r="S136" s="3"/>
      <c r="T136" s="3">
        <v>49</v>
      </c>
      <c r="U136" s="3"/>
      <c r="V136" s="22">
        <f t="shared" si="27"/>
        <v>6.7841125775024283E-5</v>
      </c>
      <c r="W136" s="3"/>
      <c r="X136" s="3">
        <f t="shared" si="28"/>
        <v>-49</v>
      </c>
      <c r="Y136" s="3"/>
      <c r="Z136" s="22">
        <f t="shared" si="29"/>
        <v>-1</v>
      </c>
    </row>
    <row r="137" spans="1:26" s="24" customFormat="1" hidden="1" outlineLevel="1" x14ac:dyDescent="0.25">
      <c r="A137" s="50"/>
      <c r="B137" s="11" t="str">
        <f>CONCATENATE("          ", "5501", " - ", "FREIGHT-IN-NEW TEXT")</f>
        <v xml:space="preserve">          5501 - FREIGHT-IN-NEW TEXT</v>
      </c>
      <c r="C137" s="11"/>
      <c r="D137" s="3">
        <v>802.72</v>
      </c>
      <c r="E137" s="3"/>
      <c r="F137" s="22">
        <f t="shared" si="22"/>
        <v>1.842646373683322E-3</v>
      </c>
      <c r="G137" s="3"/>
      <c r="H137" s="3">
        <v>1716.08</v>
      </c>
      <c r="I137" s="3"/>
      <c r="J137" s="22">
        <f t="shared" si="23"/>
        <v>2.375934675918442E-3</v>
      </c>
      <c r="K137" s="3"/>
      <c r="L137" s="3">
        <f t="shared" si="24"/>
        <v>-913.3599999999999</v>
      </c>
      <c r="M137" s="3"/>
      <c r="N137" s="22">
        <f t="shared" si="25"/>
        <v>-0.53223625938184693</v>
      </c>
      <c r="O137" s="11"/>
      <c r="P137" s="3">
        <v>802.72</v>
      </c>
      <c r="Q137" s="3"/>
      <c r="R137" s="22">
        <f t="shared" si="26"/>
        <v>1.842646373683322E-3</v>
      </c>
      <c r="S137" s="3"/>
      <c r="T137" s="3">
        <v>1716.08</v>
      </c>
      <c r="U137" s="3"/>
      <c r="V137" s="22">
        <f t="shared" si="27"/>
        <v>2.375934675918442E-3</v>
      </c>
      <c r="W137" s="3"/>
      <c r="X137" s="3">
        <f t="shared" si="28"/>
        <v>-913.3599999999999</v>
      </c>
      <c r="Y137" s="3"/>
      <c r="Z137" s="22">
        <f t="shared" si="29"/>
        <v>-0.53223625938184693</v>
      </c>
    </row>
    <row r="138" spans="1:26" s="24" customFormat="1" hidden="1" outlineLevel="1" x14ac:dyDescent="0.25">
      <c r="A138" s="50"/>
      <c r="B138" s="11" t="str">
        <f>CONCATENATE("          ", "5502", " - ", "FREIGHT-IN-USED TEXT")</f>
        <v xml:space="preserve">          5502 - FREIGHT-IN-USED TEXT</v>
      </c>
      <c r="C138" s="11"/>
      <c r="D138" s="3">
        <v>47.89</v>
      </c>
      <c r="E138" s="3"/>
      <c r="F138" s="22">
        <f t="shared" si="22"/>
        <v>1.0993165093145093E-4</v>
      </c>
      <c r="G138" s="3"/>
      <c r="H138" s="3">
        <v>277.49</v>
      </c>
      <c r="I138" s="3"/>
      <c r="J138" s="22">
        <f t="shared" si="23"/>
        <v>3.8418844880227528E-4</v>
      </c>
      <c r="K138" s="3"/>
      <c r="L138" s="3">
        <f t="shared" si="24"/>
        <v>-229.60000000000002</v>
      </c>
      <c r="M138" s="3"/>
      <c r="N138" s="22">
        <f t="shared" si="25"/>
        <v>-0.82741720422357568</v>
      </c>
      <c r="O138" s="11"/>
      <c r="P138" s="3">
        <v>47.89</v>
      </c>
      <c r="Q138" s="3"/>
      <c r="R138" s="22">
        <f t="shared" si="26"/>
        <v>1.0993165093145093E-4</v>
      </c>
      <c r="S138" s="3"/>
      <c r="T138" s="3">
        <v>277.49</v>
      </c>
      <c r="U138" s="3"/>
      <c r="V138" s="22">
        <f t="shared" si="27"/>
        <v>3.8418844880227528E-4</v>
      </c>
      <c r="W138" s="3"/>
      <c r="X138" s="3">
        <f t="shared" si="28"/>
        <v>-229.60000000000002</v>
      </c>
      <c r="Y138" s="3"/>
      <c r="Z138" s="22">
        <f t="shared" si="29"/>
        <v>-0.82741720422357568</v>
      </c>
    </row>
    <row r="139" spans="1:26" s="24" customFormat="1" hidden="1" outlineLevel="1" x14ac:dyDescent="0.25">
      <c r="A139" s="50"/>
      <c r="B139" s="11" t="str">
        <f>CONCATENATE("          ", "5526", " - ", "FREIGHT-IN-WRITING INSTRUMENTS")</f>
        <v xml:space="preserve">          5526 - FREIGHT-IN-WRITING INSTRUMENTS</v>
      </c>
      <c r="C139" s="11"/>
      <c r="D139" s="3"/>
      <c r="E139" s="3"/>
      <c r="F139" s="22">
        <f t="shared" si="22"/>
        <v>0</v>
      </c>
      <c r="G139" s="3"/>
      <c r="H139" s="3">
        <v>39.11</v>
      </c>
      <c r="I139" s="3"/>
      <c r="J139" s="22">
        <f t="shared" si="23"/>
        <v>5.4148294470636722E-5</v>
      </c>
      <c r="K139" s="3"/>
      <c r="L139" s="3">
        <f t="shared" si="24"/>
        <v>-39.11</v>
      </c>
      <c r="M139" s="3"/>
      <c r="N139" s="22">
        <f t="shared" si="25"/>
        <v>-1</v>
      </c>
      <c r="O139" s="11"/>
      <c r="P139" s="3"/>
      <c r="Q139" s="3"/>
      <c r="R139" s="22">
        <f t="shared" si="26"/>
        <v>0</v>
      </c>
      <c r="S139" s="3"/>
      <c r="T139" s="3">
        <v>39.11</v>
      </c>
      <c r="U139" s="3"/>
      <c r="V139" s="22">
        <f t="shared" si="27"/>
        <v>5.4148294470636722E-5</v>
      </c>
      <c r="W139" s="3"/>
      <c r="X139" s="3">
        <f t="shared" si="28"/>
        <v>-39.11</v>
      </c>
      <c r="Y139" s="3"/>
      <c r="Z139" s="22">
        <f t="shared" si="29"/>
        <v>-1</v>
      </c>
    </row>
    <row r="140" spans="1:26" s="24" customFormat="1" hidden="1" outlineLevel="1" x14ac:dyDescent="0.25">
      <c r="A140" s="50"/>
      <c r="B140" s="11" t="str">
        <f>CONCATENATE("          ", "5527", " - ", "FREIGHT-IN-SCHOOL SUPPLIES")</f>
        <v xml:space="preserve">          5527 - FREIGHT-IN-SCHOOL SUPPLIES</v>
      </c>
      <c r="C140" s="11"/>
      <c r="D140" s="3"/>
      <c r="E140" s="3"/>
      <c r="F140" s="22">
        <f t="shared" si="22"/>
        <v>0</v>
      </c>
      <c r="G140" s="3"/>
      <c r="H140" s="3">
        <v>250.02</v>
      </c>
      <c r="I140" s="3"/>
      <c r="J140" s="22">
        <f t="shared" si="23"/>
        <v>3.4615588298513407E-4</v>
      </c>
      <c r="K140" s="3"/>
      <c r="L140" s="3">
        <f t="shared" si="24"/>
        <v>-250.02</v>
      </c>
      <c r="M140" s="3"/>
      <c r="N140" s="22">
        <f t="shared" si="25"/>
        <v>-1</v>
      </c>
      <c r="O140" s="11"/>
      <c r="P140" s="3"/>
      <c r="Q140" s="3"/>
      <c r="R140" s="22">
        <f t="shared" si="26"/>
        <v>0</v>
      </c>
      <c r="S140" s="3"/>
      <c r="T140" s="3">
        <v>250.02</v>
      </c>
      <c r="U140" s="3"/>
      <c r="V140" s="22">
        <f t="shared" si="27"/>
        <v>3.4615588298513407E-4</v>
      </c>
      <c r="W140" s="3"/>
      <c r="X140" s="3">
        <f t="shared" si="28"/>
        <v>-250.02</v>
      </c>
      <c r="Y140" s="3"/>
      <c r="Z140" s="22">
        <f t="shared" si="29"/>
        <v>-1</v>
      </c>
    </row>
    <row r="141" spans="1:26" s="24" customFormat="1" hidden="1" outlineLevel="1" x14ac:dyDescent="0.25">
      <c r="A141" s="50"/>
      <c r="B141" s="11" t="str">
        <f>CONCATENATE("          ", "5528", " - ", "FREIGHT-IN-ART/TECH")</f>
        <v xml:space="preserve">          5528 - FREIGHT-IN-ART/TECH</v>
      </c>
      <c r="C141" s="11"/>
      <c r="D141" s="3">
        <v>38.049999999999997</v>
      </c>
      <c r="E141" s="3"/>
      <c r="F141" s="22">
        <f t="shared" si="22"/>
        <v>8.7343898892079932E-5</v>
      </c>
      <c r="G141" s="3"/>
      <c r="H141" s="3">
        <v>44.35</v>
      </c>
      <c r="I141" s="3"/>
      <c r="J141" s="22">
        <f t="shared" si="23"/>
        <v>6.1403141390251566E-5</v>
      </c>
      <c r="K141" s="3"/>
      <c r="L141" s="3">
        <f t="shared" si="24"/>
        <v>-6.3000000000000043</v>
      </c>
      <c r="M141" s="3"/>
      <c r="N141" s="22">
        <f t="shared" si="25"/>
        <v>-0.14205186020293131</v>
      </c>
      <c r="O141" s="11"/>
      <c r="P141" s="3">
        <v>38.049999999999997</v>
      </c>
      <c r="Q141" s="3"/>
      <c r="R141" s="22">
        <f t="shared" si="26"/>
        <v>8.7343898892079932E-5</v>
      </c>
      <c r="S141" s="3"/>
      <c r="T141" s="3">
        <v>44.35</v>
      </c>
      <c r="U141" s="3"/>
      <c r="V141" s="22">
        <f t="shared" si="27"/>
        <v>6.1403141390251566E-5</v>
      </c>
      <c r="W141" s="3"/>
      <c r="X141" s="3">
        <f t="shared" si="28"/>
        <v>-6.3000000000000043</v>
      </c>
      <c r="Y141" s="3"/>
      <c r="Z141" s="22">
        <f t="shared" si="29"/>
        <v>-0.14205186020293131</v>
      </c>
    </row>
    <row r="142" spans="1:26" s="24" customFormat="1" hidden="1" outlineLevel="1" x14ac:dyDescent="0.25">
      <c r="A142" s="50"/>
      <c r="B142" s="11" t="str">
        <f>CONCATENATE("          ", "5540", " - ", "FREIGHT-IN-LOGO CLOTHING")</f>
        <v xml:space="preserve">          5540 - FREIGHT-IN-LOGO CLOTHING</v>
      </c>
      <c r="C142" s="11"/>
      <c r="D142" s="3">
        <v>909.83</v>
      </c>
      <c r="E142" s="3"/>
      <c r="F142" s="22">
        <f t="shared" si="22"/>
        <v>2.0885177274370852E-3</v>
      </c>
      <c r="G142" s="3"/>
      <c r="H142" s="3">
        <v>395.22</v>
      </c>
      <c r="I142" s="3"/>
      <c r="J142" s="22">
        <f t="shared" si="23"/>
        <v>5.4718713732255305E-4</v>
      </c>
      <c r="K142" s="3"/>
      <c r="L142" s="3">
        <f t="shared" si="24"/>
        <v>514.61</v>
      </c>
      <c r="M142" s="3"/>
      <c r="N142" s="22">
        <f t="shared" si="25"/>
        <v>1.3020849147310358</v>
      </c>
      <c r="O142" s="11"/>
      <c r="P142" s="3">
        <v>909.83</v>
      </c>
      <c r="Q142" s="3"/>
      <c r="R142" s="22">
        <f t="shared" si="26"/>
        <v>2.0885177274370852E-3</v>
      </c>
      <c r="S142" s="3"/>
      <c r="T142" s="3">
        <v>395.22</v>
      </c>
      <c r="U142" s="3"/>
      <c r="V142" s="22">
        <f t="shared" si="27"/>
        <v>5.4718713732255305E-4</v>
      </c>
      <c r="W142" s="3"/>
      <c r="X142" s="3">
        <f t="shared" si="28"/>
        <v>514.61</v>
      </c>
      <c r="Y142" s="3"/>
      <c r="Z142" s="22">
        <f t="shared" si="29"/>
        <v>1.3020849147310358</v>
      </c>
    </row>
    <row r="143" spans="1:26" s="24" customFormat="1" hidden="1" outlineLevel="1" x14ac:dyDescent="0.25">
      <c r="A143" s="50"/>
      <c r="B143" s="11" t="str">
        <f>CONCATENATE("          ", "5541", " - ", "FREIGHT-IN-LOGO GIFTS")</f>
        <v xml:space="preserve">          5541 - FREIGHT-IN-LOGO GIFTS</v>
      </c>
      <c r="C143" s="11"/>
      <c r="D143" s="3">
        <v>83.58</v>
      </c>
      <c r="E143" s="3"/>
      <c r="F143" s="22">
        <f t="shared" si="22"/>
        <v>1.9185816213929146E-4</v>
      </c>
      <c r="G143" s="3"/>
      <c r="H143" s="3">
        <v>314.49</v>
      </c>
      <c r="I143" s="3"/>
      <c r="J143" s="22">
        <f t="shared" si="23"/>
        <v>4.3541542132627316E-4</v>
      </c>
      <c r="K143" s="3"/>
      <c r="L143" s="3">
        <f t="shared" si="24"/>
        <v>-230.91000000000003</v>
      </c>
      <c r="M143" s="3"/>
      <c r="N143" s="22">
        <f t="shared" si="25"/>
        <v>-0.73423638271487179</v>
      </c>
      <c r="O143" s="11"/>
      <c r="P143" s="3">
        <v>83.58</v>
      </c>
      <c r="Q143" s="3"/>
      <c r="R143" s="22">
        <f t="shared" si="26"/>
        <v>1.9185816213929146E-4</v>
      </c>
      <c r="S143" s="3"/>
      <c r="T143" s="3">
        <v>314.49</v>
      </c>
      <c r="U143" s="3"/>
      <c r="V143" s="22">
        <f t="shared" si="27"/>
        <v>4.3541542132627316E-4</v>
      </c>
      <c r="W143" s="3"/>
      <c r="X143" s="3">
        <f t="shared" si="28"/>
        <v>-230.91000000000003</v>
      </c>
      <c r="Y143" s="3"/>
      <c r="Z143" s="22">
        <f t="shared" si="29"/>
        <v>-0.73423638271487179</v>
      </c>
    </row>
    <row r="144" spans="1:26" s="24" customFormat="1" hidden="1" outlineLevel="1" x14ac:dyDescent="0.25">
      <c r="A144" s="50"/>
      <c r="B144" s="11" t="str">
        <f>CONCATENATE("          ", "5542", " - ", "FREIGHT-IN-EVERYDAY GIFTS")</f>
        <v xml:space="preserve">          5542 - FREIGHT-IN-EVERYDAY GIFTS</v>
      </c>
      <c r="C144" s="11"/>
      <c r="D144" s="3">
        <v>5.94</v>
      </c>
      <c r="E144" s="3"/>
      <c r="F144" s="22">
        <f t="shared" si="22"/>
        <v>1.3635289340839812E-5</v>
      </c>
      <c r="G144" s="3"/>
      <c r="H144" s="3">
        <v>29.72</v>
      </c>
      <c r="I144" s="3"/>
      <c r="J144" s="22">
        <f t="shared" si="23"/>
        <v>4.1147719551708599E-5</v>
      </c>
      <c r="K144" s="3"/>
      <c r="L144" s="3">
        <f t="shared" si="24"/>
        <v>-23.779999999999998</v>
      </c>
      <c r="M144" s="3"/>
      <c r="N144" s="22">
        <f t="shared" si="25"/>
        <v>-0.80013458950201877</v>
      </c>
      <c r="O144" s="11"/>
      <c r="P144" s="3">
        <v>5.94</v>
      </c>
      <c r="Q144" s="3"/>
      <c r="R144" s="22">
        <f t="shared" si="26"/>
        <v>1.3635289340839812E-5</v>
      </c>
      <c r="S144" s="3"/>
      <c r="T144" s="3">
        <v>29.72</v>
      </c>
      <c r="U144" s="3"/>
      <c r="V144" s="22">
        <f t="shared" si="27"/>
        <v>4.1147719551708599E-5</v>
      </c>
      <c r="W144" s="3"/>
      <c r="X144" s="3">
        <f t="shared" si="28"/>
        <v>-23.779999999999998</v>
      </c>
      <c r="Y144" s="3"/>
      <c r="Z144" s="22">
        <f t="shared" si="29"/>
        <v>-0.80013458950201877</v>
      </c>
    </row>
    <row r="145" spans="1:26" s="24" customFormat="1" hidden="1" outlineLevel="1" x14ac:dyDescent="0.25">
      <c r="A145" s="50"/>
      <c r="B145" s="11" t="str">
        <f>CONCATENATE("          ", "5544", " - ", "FREIGHT-IN-ACCESSORIES")</f>
        <v xml:space="preserve">          5544 - FREIGHT-IN-ACCESSORIES</v>
      </c>
      <c r="C145" s="11"/>
      <c r="D145" s="3"/>
      <c r="E145" s="3"/>
      <c r="F145" s="22">
        <f t="shared" si="22"/>
        <v>0</v>
      </c>
      <c r="G145" s="3"/>
      <c r="H145" s="3">
        <v>16.73</v>
      </c>
      <c r="I145" s="3"/>
      <c r="J145" s="22">
        <f t="shared" si="23"/>
        <v>2.3162898657472577E-5</v>
      </c>
      <c r="K145" s="3"/>
      <c r="L145" s="3">
        <f t="shared" si="24"/>
        <v>-16.73</v>
      </c>
      <c r="M145" s="3"/>
      <c r="N145" s="22">
        <f t="shared" si="25"/>
        <v>-1</v>
      </c>
      <c r="O145" s="11"/>
      <c r="P145" s="3"/>
      <c r="Q145" s="3"/>
      <c r="R145" s="22">
        <f t="shared" si="26"/>
        <v>0</v>
      </c>
      <c r="S145" s="3"/>
      <c r="T145" s="3">
        <v>16.73</v>
      </c>
      <c r="U145" s="3"/>
      <c r="V145" s="22">
        <f t="shared" si="27"/>
        <v>2.3162898657472577E-5</v>
      </c>
      <c r="W145" s="3"/>
      <c r="X145" s="3">
        <f t="shared" si="28"/>
        <v>-16.73</v>
      </c>
      <c r="Y145" s="3"/>
      <c r="Z145" s="22">
        <f t="shared" si="29"/>
        <v>-1</v>
      </c>
    </row>
    <row r="146" spans="1:26" s="24" customFormat="1" hidden="1" outlineLevel="1" x14ac:dyDescent="0.25">
      <c r="A146" s="50"/>
      <c r="B146" s="11" t="str">
        <f>CONCATENATE("          ", "5545", " - ", "FREIGHT-IN-SPECIAL ORDERS")</f>
        <v xml:space="preserve">          5545 - FREIGHT-IN-SPECIAL ORDERS</v>
      </c>
      <c r="C146" s="11"/>
      <c r="D146" s="3">
        <v>300.39999999999998</v>
      </c>
      <c r="E146" s="3"/>
      <c r="F146" s="22">
        <f t="shared" si="22"/>
        <v>6.895691781125049E-4</v>
      </c>
      <c r="G146" s="3"/>
      <c r="H146" s="3">
        <v>227.08</v>
      </c>
      <c r="I146" s="3"/>
      <c r="J146" s="22">
        <f t="shared" si="23"/>
        <v>3.1439516002025538E-4</v>
      </c>
      <c r="K146" s="3"/>
      <c r="L146" s="3">
        <f t="shared" si="24"/>
        <v>73.319999999999965</v>
      </c>
      <c r="M146" s="3"/>
      <c r="N146" s="22">
        <f t="shared" si="25"/>
        <v>0.32288180376959646</v>
      </c>
      <c r="O146" s="11"/>
      <c r="P146" s="3">
        <v>300.39999999999998</v>
      </c>
      <c r="Q146" s="3"/>
      <c r="R146" s="22">
        <f t="shared" si="26"/>
        <v>6.895691781125049E-4</v>
      </c>
      <c r="S146" s="3"/>
      <c r="T146" s="3">
        <v>227.08</v>
      </c>
      <c r="U146" s="3"/>
      <c r="V146" s="22">
        <f t="shared" si="27"/>
        <v>3.1439516002025538E-4</v>
      </c>
      <c r="W146" s="3"/>
      <c r="X146" s="3">
        <f t="shared" si="28"/>
        <v>73.319999999999965</v>
      </c>
      <c r="Y146" s="3"/>
      <c r="Z146" s="22">
        <f t="shared" si="29"/>
        <v>0.32288180376959646</v>
      </c>
    </row>
    <row r="147" spans="1:26" s="24" customFormat="1" hidden="1" outlineLevel="1" x14ac:dyDescent="0.25">
      <c r="A147" s="50"/>
      <c r="B147" s="11" t="str">
        <f>CONCATENATE("          ", "5583", " - ", "FREIGHT-IN-COMPUTER EQUIPMENT")</f>
        <v xml:space="preserve">          5583 - FREIGHT-IN-COMPUTER EQUIPMENT</v>
      </c>
      <c r="C147" s="11"/>
      <c r="D147" s="3">
        <v>17.39</v>
      </c>
      <c r="E147" s="3"/>
      <c r="F147" s="22">
        <f t="shared" si="22"/>
        <v>3.9918801622424967E-5</v>
      </c>
      <c r="G147" s="3"/>
      <c r="H147" s="3">
        <v>6.99</v>
      </c>
      <c r="I147" s="3"/>
      <c r="J147" s="22">
        <f t="shared" si="23"/>
        <v>9.6777442687228517E-6</v>
      </c>
      <c r="K147" s="3"/>
      <c r="L147" s="3">
        <f t="shared" si="24"/>
        <v>10.4</v>
      </c>
      <c r="M147" s="3"/>
      <c r="N147" s="22">
        <f t="shared" si="25"/>
        <v>1.4878397711015736</v>
      </c>
      <c r="O147" s="11"/>
      <c r="P147" s="3">
        <v>17.39</v>
      </c>
      <c r="Q147" s="3"/>
      <c r="R147" s="22">
        <f t="shared" si="26"/>
        <v>3.9918801622424967E-5</v>
      </c>
      <c r="S147" s="3"/>
      <c r="T147" s="3">
        <v>6.99</v>
      </c>
      <c r="U147" s="3"/>
      <c r="V147" s="22">
        <f t="shared" si="27"/>
        <v>9.6777442687228517E-6</v>
      </c>
      <c r="W147" s="3"/>
      <c r="X147" s="3">
        <f t="shared" si="28"/>
        <v>10.4</v>
      </c>
      <c r="Y147" s="3"/>
      <c r="Z147" s="22">
        <f t="shared" si="29"/>
        <v>1.4878397711015736</v>
      </c>
    </row>
    <row r="148" spans="1:26" s="24" customFormat="1" hidden="1" outlineLevel="1" x14ac:dyDescent="0.25">
      <c r="A148" s="50"/>
      <c r="B148" s="11" t="str">
        <f>CONCATENATE("          ", "5586", " - ", "FREIGHT-IN-COMPUTER SUPPLIES")</f>
        <v xml:space="preserve">          5586 - FREIGHT-IN-COMPUTER SUPPLIES</v>
      </c>
      <c r="C148" s="11"/>
      <c r="D148" s="3"/>
      <c r="E148" s="3"/>
      <c r="F148" s="22">
        <f t="shared" si="22"/>
        <v>0</v>
      </c>
      <c r="G148" s="3"/>
      <c r="H148" s="3">
        <v>29.67</v>
      </c>
      <c r="I148" s="3"/>
      <c r="J148" s="22">
        <f t="shared" si="23"/>
        <v>4.1078493913162663E-5</v>
      </c>
      <c r="K148" s="3"/>
      <c r="L148" s="3">
        <f t="shared" si="24"/>
        <v>-29.67</v>
      </c>
      <c r="M148" s="3"/>
      <c r="N148" s="22">
        <f t="shared" si="25"/>
        <v>-1</v>
      </c>
      <c r="O148" s="11"/>
      <c r="P148" s="3"/>
      <c r="Q148" s="3"/>
      <c r="R148" s="22">
        <f t="shared" si="26"/>
        <v>0</v>
      </c>
      <c r="S148" s="3"/>
      <c r="T148" s="3">
        <v>29.67</v>
      </c>
      <c r="U148" s="3"/>
      <c r="V148" s="22">
        <f t="shared" si="27"/>
        <v>4.1078493913162663E-5</v>
      </c>
      <c r="W148" s="3"/>
      <c r="X148" s="3">
        <f t="shared" si="28"/>
        <v>-29.67</v>
      </c>
      <c r="Y148" s="3"/>
      <c r="Z148" s="22">
        <f t="shared" si="29"/>
        <v>-1</v>
      </c>
    </row>
    <row r="149" spans="1:26" x14ac:dyDescent="0.25">
      <c r="A149" s="9"/>
      <c r="B149" s="10"/>
      <c r="C149" s="10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10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23" customFormat="1" x14ac:dyDescent="0.25">
      <c r="A150" s="10"/>
      <c r="B150" s="26" t="s">
        <v>6</v>
      </c>
      <c r="C150" s="26"/>
      <c r="D150" s="19">
        <f>D12-D104</f>
        <v>110283.04999999993</v>
      </c>
      <c r="E150" s="13"/>
      <c r="F150" s="20">
        <f>IF(D$12=0,0,D150/D$12)</f>
        <v>0.25315510036032035</v>
      </c>
      <c r="G150" s="13"/>
      <c r="H150" s="19">
        <f>H12-H104</f>
        <v>186033.13000000035</v>
      </c>
      <c r="I150" s="13"/>
      <c r="J150" s="20">
        <f>IF(H$12=0,0,H150/H$12)</f>
        <v>0.25756524429900951</v>
      </c>
      <c r="K150" s="16"/>
      <c r="L150" s="19">
        <f>+D150-H150</f>
        <v>-75750.080000000424</v>
      </c>
      <c r="M150" s="16"/>
      <c r="N150" s="20">
        <f>IF(H150=0,0,L150/H150)</f>
        <v>-0.40718596735968632</v>
      </c>
      <c r="O150" s="25"/>
      <c r="P150" s="19">
        <f>P12-P104</f>
        <v>110283.04999999993</v>
      </c>
      <c r="Q150" s="13"/>
      <c r="R150" s="20">
        <f>IF(P$12=0,0,P150/P$12)</f>
        <v>0.25315510036032035</v>
      </c>
      <c r="S150" s="13"/>
      <c r="T150" s="19">
        <f>T12-T104</f>
        <v>186033.13000000035</v>
      </c>
      <c r="U150" s="13"/>
      <c r="V150" s="20">
        <f>IF(T$12=0,0,T150/T$12)</f>
        <v>0.25756524429900951</v>
      </c>
      <c r="W150" s="16"/>
      <c r="X150" s="19">
        <f>+P150-T150</f>
        <v>-75750.080000000424</v>
      </c>
      <c r="Y150" s="16"/>
      <c r="Z150" s="20">
        <f>IF(T150=0,0,X150/T150)</f>
        <v>-0.40718596735968632</v>
      </c>
    </row>
    <row r="151" spans="1:26" x14ac:dyDescent="0.25">
      <c r="A151" s="9"/>
      <c r="B151" s="10"/>
      <c r="C151" s="9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7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x14ac:dyDescent="0.25">
      <c r="A152" s="10"/>
      <c r="B152" s="25" t="s">
        <v>9</v>
      </c>
      <c r="C152" s="10"/>
      <c r="D152" s="21">
        <f>SUM(OSRRefD22x_0)</f>
        <v>330380.45999999996</v>
      </c>
      <c r="E152" s="21"/>
      <c r="F152" s="34">
        <f t="shared" ref="F152:F163" si="30">IF(D$12=0,0,D152/D$12)</f>
        <v>0.75838942165989109</v>
      </c>
      <c r="G152" s="21"/>
      <c r="H152" s="21">
        <f>SUM(OSRRefH22x_0)</f>
        <v>380794.21999999991</v>
      </c>
      <c r="I152" s="21"/>
      <c r="J152" s="34">
        <f t="shared" ref="J152:J163" si="31">IF(H$12=0,0,H152/H$12)</f>
        <v>0.52721446068208688</v>
      </c>
      <c r="K152" s="4"/>
      <c r="L152" s="21">
        <f t="shared" ref="L152:L163" si="32">+D152-H152</f>
        <v>-50413.759999999951</v>
      </c>
      <c r="M152" s="4"/>
      <c r="N152" s="34">
        <f t="shared" ref="N152:N163" si="33">IF(H152=0,0,L152/H152)</f>
        <v>-0.13239108513779427</v>
      </c>
      <c r="O152" s="10"/>
      <c r="P152" s="21">
        <f>SUM(OSRRefP22x_0)</f>
        <v>330380.45999999996</v>
      </c>
      <c r="Q152" s="21"/>
      <c r="R152" s="34">
        <f t="shared" ref="R152:R163" si="34">IF(P$12=0,0,P152/P$12)</f>
        <v>0.75838942165989109</v>
      </c>
      <c r="S152" s="21"/>
      <c r="T152" s="21">
        <f>SUM(OSRRefT22x_0)</f>
        <v>380794.21999999991</v>
      </c>
      <c r="U152" s="21"/>
      <c r="V152" s="34">
        <f t="shared" ref="V152:V163" si="35">IF(T$12=0,0,T152/T$12)</f>
        <v>0.52721446068208688</v>
      </c>
      <c r="W152" s="4"/>
      <c r="X152" s="21">
        <f t="shared" ref="X152:X163" si="36">+P152-T152</f>
        <v>-50413.759999999951</v>
      </c>
      <c r="Y152" s="4"/>
      <c r="Z152" s="34">
        <f t="shared" ref="Z152:Z163" si="37">IF(T152=0,0,X152/T152)</f>
        <v>-0.13239108513779427</v>
      </c>
    </row>
    <row r="153" spans="1:26" s="27" customFormat="1" outlineLevel="1" collapsed="1" x14ac:dyDescent="0.25">
      <c r="A153" s="28"/>
      <c r="B153" s="14" t="str">
        <f>CONCATENATE("     ","*Benefits                                         ")</f>
        <v xml:space="preserve">     *Benefits                                         </v>
      </c>
      <c r="C153" s="14"/>
      <c r="D153" s="1">
        <f>SUM(OSRRefD22_0x_0)</f>
        <v>43394.840000000004</v>
      </c>
      <c r="E153" s="1"/>
      <c r="F153" s="5">
        <f t="shared" si="30"/>
        <v>9.9612996515058769E-2</v>
      </c>
      <c r="G153" s="1"/>
      <c r="H153" s="1">
        <f>SUM(OSRRefH22_0x_0)</f>
        <v>57870.109999999993</v>
      </c>
      <c r="I153" s="1"/>
      <c r="J153" s="5">
        <f t="shared" si="31"/>
        <v>8.0121906349479383E-2</v>
      </c>
      <c r="K153" s="1"/>
      <c r="L153" s="1">
        <f t="shared" si="32"/>
        <v>-14475.26999999999</v>
      </c>
      <c r="M153" s="1"/>
      <c r="N153" s="5">
        <f t="shared" si="33"/>
        <v>-0.25013379100195232</v>
      </c>
      <c r="O153" s="14"/>
      <c r="P153" s="1">
        <f>SUM(OSRRefP22_0x_0)</f>
        <v>43394.840000000004</v>
      </c>
      <c r="Q153" s="1"/>
      <c r="R153" s="5">
        <f t="shared" si="34"/>
        <v>9.9612996515058769E-2</v>
      </c>
      <c r="S153" s="1"/>
      <c r="T153" s="1">
        <f>SUM(OSRRefT22_0x_0)</f>
        <v>57870.109999999993</v>
      </c>
      <c r="U153" s="1"/>
      <c r="V153" s="5">
        <f t="shared" si="35"/>
        <v>8.0121906349479383E-2</v>
      </c>
      <c r="W153" s="1"/>
      <c r="X153" s="1">
        <f t="shared" si="36"/>
        <v>-14475.26999999999</v>
      </c>
      <c r="Y153" s="1"/>
      <c r="Z153" s="5">
        <f t="shared" si="37"/>
        <v>-0.25013379100195232</v>
      </c>
    </row>
    <row r="154" spans="1:26" s="24" customFormat="1" hidden="1" outlineLevel="2" x14ac:dyDescent="0.25">
      <c r="A154" s="29"/>
      <c r="B154" s="11" t="str">
        <f>CONCATENATE("          ", "6111", " - ", "F.I.C.A.")</f>
        <v xml:space="preserve">          6111 - F.I.C.A.</v>
      </c>
      <c r="C154" s="11"/>
      <c r="D154" s="8">
        <v>7986.74</v>
      </c>
      <c r="E154" s="3"/>
      <c r="F154" s="7">
        <f t="shared" si="30"/>
        <v>1.8333587675094097E-2</v>
      </c>
      <c r="G154" s="3"/>
      <c r="H154" s="8">
        <v>11334.49</v>
      </c>
      <c r="I154" s="3"/>
      <c r="J154" s="7">
        <f t="shared" si="31"/>
        <v>1.5692746156852143E-2</v>
      </c>
      <c r="K154" s="3"/>
      <c r="L154" s="8">
        <f t="shared" si="32"/>
        <v>-3347.75</v>
      </c>
      <c r="M154" s="3"/>
      <c r="N154" s="7">
        <f t="shared" si="33"/>
        <v>-0.29535956183295409</v>
      </c>
      <c r="O154" s="11"/>
      <c r="P154" s="8">
        <v>7986.74</v>
      </c>
      <c r="Q154" s="3"/>
      <c r="R154" s="7">
        <f t="shared" si="34"/>
        <v>1.8333587675094097E-2</v>
      </c>
      <c r="S154" s="3"/>
      <c r="T154" s="8">
        <v>11334.49</v>
      </c>
      <c r="U154" s="3"/>
      <c r="V154" s="7">
        <f t="shared" si="35"/>
        <v>1.5692746156852143E-2</v>
      </c>
      <c r="W154" s="3"/>
      <c r="X154" s="8">
        <f t="shared" si="36"/>
        <v>-3347.75</v>
      </c>
      <c r="Y154" s="3"/>
      <c r="Z154" s="7">
        <f t="shared" si="37"/>
        <v>-0.29535956183295409</v>
      </c>
    </row>
    <row r="155" spans="1:26" s="24" customFormat="1" hidden="1" outlineLevel="2" x14ac:dyDescent="0.25">
      <c r="A155" s="29"/>
      <c r="B155" s="11" t="str">
        <f>CONCATENATE("          ", "6112", " - ", "COMPENSATION INSURANCE")</f>
        <v xml:space="preserve">          6112 - COMPENSATION INSURANCE</v>
      </c>
      <c r="C155" s="11"/>
      <c r="D155" s="8">
        <v>1832.08</v>
      </c>
      <c r="E155" s="3"/>
      <c r="F155" s="7">
        <f t="shared" si="30"/>
        <v>4.2055456053141076E-3</v>
      </c>
      <c r="G155" s="3"/>
      <c r="H155" s="8">
        <v>2089.9899999999998</v>
      </c>
      <c r="I155" s="3"/>
      <c r="J155" s="7">
        <f t="shared" si="31"/>
        <v>2.8936178460927139E-3</v>
      </c>
      <c r="K155" s="3"/>
      <c r="L155" s="8">
        <f t="shared" si="32"/>
        <v>-257.90999999999985</v>
      </c>
      <c r="M155" s="3"/>
      <c r="N155" s="7">
        <f t="shared" si="33"/>
        <v>-0.12340250431820242</v>
      </c>
      <c r="O155" s="11"/>
      <c r="P155" s="8">
        <v>1832.08</v>
      </c>
      <c r="Q155" s="3"/>
      <c r="R155" s="7">
        <f t="shared" si="34"/>
        <v>4.2055456053141076E-3</v>
      </c>
      <c r="S155" s="3"/>
      <c r="T155" s="8">
        <v>2089.9899999999998</v>
      </c>
      <c r="U155" s="3"/>
      <c r="V155" s="7">
        <f t="shared" si="35"/>
        <v>2.8936178460927139E-3</v>
      </c>
      <c r="W155" s="3"/>
      <c r="X155" s="8">
        <f t="shared" si="36"/>
        <v>-257.90999999999985</v>
      </c>
      <c r="Y155" s="3"/>
      <c r="Z155" s="7">
        <f t="shared" si="37"/>
        <v>-0.12340250431820242</v>
      </c>
    </row>
    <row r="156" spans="1:26" s="24" customFormat="1" hidden="1" outlineLevel="2" x14ac:dyDescent="0.25">
      <c r="A156" s="29"/>
      <c r="B156" s="11" t="str">
        <f>CONCATENATE("          ", "6113", " - ", "GROUP INSURANCE")</f>
        <v xml:space="preserve">          6113 - GROUP INSURANCE</v>
      </c>
      <c r="C156" s="11"/>
      <c r="D156" s="8">
        <v>14504.37</v>
      </c>
      <c r="E156" s="3"/>
      <c r="F156" s="7">
        <f t="shared" si="30"/>
        <v>3.3294828561716623E-2</v>
      </c>
      <c r="G156" s="3"/>
      <c r="H156" s="8">
        <v>19495.329999999998</v>
      </c>
      <c r="I156" s="3"/>
      <c r="J156" s="7">
        <f t="shared" si="31"/>
        <v>2.6991533358277631E-2</v>
      </c>
      <c r="K156" s="3"/>
      <c r="L156" s="8">
        <f t="shared" si="32"/>
        <v>-4990.9599999999973</v>
      </c>
      <c r="M156" s="3"/>
      <c r="N156" s="7">
        <f t="shared" si="33"/>
        <v>-0.25600797729507518</v>
      </c>
      <c r="O156" s="11"/>
      <c r="P156" s="8">
        <v>14504.37</v>
      </c>
      <c r="Q156" s="3"/>
      <c r="R156" s="7">
        <f t="shared" si="34"/>
        <v>3.3294828561716623E-2</v>
      </c>
      <c r="S156" s="3"/>
      <c r="T156" s="8">
        <v>19495.329999999998</v>
      </c>
      <c r="U156" s="3"/>
      <c r="V156" s="7">
        <f t="shared" si="35"/>
        <v>2.6991533358277631E-2</v>
      </c>
      <c r="W156" s="3"/>
      <c r="X156" s="8">
        <f t="shared" si="36"/>
        <v>-4990.9599999999973</v>
      </c>
      <c r="Y156" s="3"/>
      <c r="Z156" s="7">
        <f t="shared" si="37"/>
        <v>-0.25600797729507518</v>
      </c>
    </row>
    <row r="157" spans="1:26" s="24" customFormat="1" hidden="1" outlineLevel="2" x14ac:dyDescent="0.25">
      <c r="A157" s="29"/>
      <c r="B157" s="11" t="str">
        <f>CONCATENATE("          ", "6114", " - ", "STATE UNEMPLOYMENT INSURANCE")</f>
        <v xml:space="preserve">          6114 - STATE UNEMPLOYMENT INSURANCE</v>
      </c>
      <c r="C157" s="11"/>
      <c r="D157" s="8">
        <v>289.55</v>
      </c>
      <c r="E157" s="3"/>
      <c r="F157" s="7">
        <f t="shared" si="30"/>
        <v>6.646629677845399E-4</v>
      </c>
      <c r="G157" s="3"/>
      <c r="H157" s="8">
        <v>383.96</v>
      </c>
      <c r="I157" s="3"/>
      <c r="J157" s="7">
        <f t="shared" si="31"/>
        <v>5.3159752352200653E-4</v>
      </c>
      <c r="K157" s="3"/>
      <c r="L157" s="8">
        <f t="shared" si="32"/>
        <v>-94.409999999999968</v>
      </c>
      <c r="M157" s="3"/>
      <c r="N157" s="7">
        <f t="shared" si="33"/>
        <v>-0.2458849880195853</v>
      </c>
      <c r="O157" s="11"/>
      <c r="P157" s="8">
        <v>289.55</v>
      </c>
      <c r="Q157" s="3"/>
      <c r="R157" s="7">
        <f t="shared" si="34"/>
        <v>6.646629677845399E-4</v>
      </c>
      <c r="S157" s="3"/>
      <c r="T157" s="8">
        <v>383.96</v>
      </c>
      <c r="U157" s="3"/>
      <c r="V157" s="7">
        <f t="shared" si="35"/>
        <v>5.3159752352200653E-4</v>
      </c>
      <c r="W157" s="3"/>
      <c r="X157" s="8">
        <f t="shared" si="36"/>
        <v>-94.409999999999968</v>
      </c>
      <c r="Y157" s="3"/>
      <c r="Z157" s="7">
        <f t="shared" si="37"/>
        <v>-0.2458849880195853</v>
      </c>
    </row>
    <row r="158" spans="1:26" s="24" customFormat="1" hidden="1" outlineLevel="2" x14ac:dyDescent="0.25">
      <c r="A158" s="29"/>
      <c r="B158" s="11" t="str">
        <f>CONCATENATE("          ", "6115", " - ", "P.E.R.S.")</f>
        <v xml:space="preserve">          6115 - P.E.R.S.</v>
      </c>
      <c r="C158" s="11"/>
      <c r="D158" s="8">
        <v>8423.1200000000008</v>
      </c>
      <c r="E158" s="3"/>
      <c r="F158" s="7">
        <f t="shared" si="30"/>
        <v>1.9335299385962061E-2</v>
      </c>
      <c r="G158" s="3"/>
      <c r="H158" s="8">
        <v>6297.89</v>
      </c>
      <c r="I158" s="3"/>
      <c r="J158" s="7">
        <f t="shared" si="31"/>
        <v>8.7195091348421967E-3</v>
      </c>
      <c r="K158" s="3"/>
      <c r="L158" s="8">
        <f t="shared" si="32"/>
        <v>2125.2300000000005</v>
      </c>
      <c r="M158" s="3"/>
      <c r="N158" s="7">
        <f t="shared" si="33"/>
        <v>0.337451114579645</v>
      </c>
      <c r="O158" s="11"/>
      <c r="P158" s="8">
        <v>8423.1200000000008</v>
      </c>
      <c r="Q158" s="3"/>
      <c r="R158" s="7">
        <f t="shared" si="34"/>
        <v>1.9335299385962061E-2</v>
      </c>
      <c r="S158" s="3"/>
      <c r="T158" s="8">
        <v>6297.89</v>
      </c>
      <c r="U158" s="3"/>
      <c r="V158" s="7">
        <f t="shared" si="35"/>
        <v>8.7195091348421967E-3</v>
      </c>
      <c r="W158" s="3"/>
      <c r="X158" s="8">
        <f t="shared" si="36"/>
        <v>2125.2300000000005</v>
      </c>
      <c r="Y158" s="3"/>
      <c r="Z158" s="7">
        <f t="shared" si="37"/>
        <v>0.337451114579645</v>
      </c>
    </row>
    <row r="159" spans="1:26" s="24" customFormat="1" hidden="1" outlineLevel="2" x14ac:dyDescent="0.25">
      <c r="A159" s="29"/>
      <c r="B159" s="11" t="str">
        <f>CONCATENATE("          ", "6116", " - ", "EDUCATIONAL BENEFITS")</f>
        <v xml:space="preserve">          6116 - EDUCATIONAL BENEFITS</v>
      </c>
      <c r="C159" s="11"/>
      <c r="D159" s="8">
        <v>0</v>
      </c>
      <c r="E159" s="3"/>
      <c r="F159" s="7">
        <f t="shared" si="30"/>
        <v>0</v>
      </c>
      <c r="G159" s="3"/>
      <c r="H159" s="8"/>
      <c r="I159" s="3"/>
      <c r="J159" s="7">
        <f t="shared" si="31"/>
        <v>0</v>
      </c>
      <c r="K159" s="3"/>
      <c r="L159" s="8">
        <f t="shared" si="32"/>
        <v>0</v>
      </c>
      <c r="M159" s="3"/>
      <c r="N159" s="7">
        <f t="shared" si="33"/>
        <v>0</v>
      </c>
      <c r="O159" s="11"/>
      <c r="P159" s="8">
        <v>0</v>
      </c>
      <c r="Q159" s="3"/>
      <c r="R159" s="7">
        <f t="shared" si="34"/>
        <v>0</v>
      </c>
      <c r="S159" s="3"/>
      <c r="T159" s="8"/>
      <c r="U159" s="3"/>
      <c r="V159" s="7">
        <f t="shared" si="35"/>
        <v>0</v>
      </c>
      <c r="W159" s="3"/>
      <c r="X159" s="8">
        <f t="shared" si="36"/>
        <v>0</v>
      </c>
      <c r="Y159" s="3"/>
      <c r="Z159" s="7">
        <f t="shared" si="37"/>
        <v>0</v>
      </c>
    </row>
    <row r="160" spans="1:26" s="24" customFormat="1" hidden="1" outlineLevel="2" x14ac:dyDescent="0.25">
      <c r="A160" s="29"/>
      <c r="B160" s="11" t="str">
        <f>CONCATENATE("          ", "6117", " - ", "RETIREMENT STAFF HOURLY")</f>
        <v xml:space="preserve">          6117 - RETIREMENT STAFF HOURLY</v>
      </c>
      <c r="C160" s="11"/>
      <c r="D160" s="8">
        <v>580.67999999999995</v>
      </c>
      <c r="E160" s="3"/>
      <c r="F160" s="7">
        <f t="shared" si="30"/>
        <v>1.3329528307136128E-3</v>
      </c>
      <c r="G160" s="3"/>
      <c r="H160" s="8">
        <v>360.81</v>
      </c>
      <c r="I160" s="3"/>
      <c r="J160" s="7">
        <f t="shared" si="31"/>
        <v>4.9954605287523492E-4</v>
      </c>
      <c r="K160" s="3"/>
      <c r="L160" s="8">
        <f t="shared" si="32"/>
        <v>219.86999999999995</v>
      </c>
      <c r="M160" s="3"/>
      <c r="N160" s="7">
        <f t="shared" si="33"/>
        <v>0.60937889748066831</v>
      </c>
      <c r="O160" s="11"/>
      <c r="P160" s="8">
        <v>580.67999999999995</v>
      </c>
      <c r="Q160" s="3"/>
      <c r="R160" s="7">
        <f t="shared" si="34"/>
        <v>1.3329528307136128E-3</v>
      </c>
      <c r="S160" s="3"/>
      <c r="T160" s="8">
        <v>360.81</v>
      </c>
      <c r="U160" s="3"/>
      <c r="V160" s="7">
        <f t="shared" si="35"/>
        <v>4.9954605287523492E-4</v>
      </c>
      <c r="W160" s="3"/>
      <c r="X160" s="8">
        <f t="shared" si="36"/>
        <v>219.86999999999995</v>
      </c>
      <c r="Y160" s="3"/>
      <c r="Z160" s="7">
        <f t="shared" si="37"/>
        <v>0.60937889748066831</v>
      </c>
    </row>
    <row r="161" spans="1:26" s="24" customFormat="1" hidden="1" outlineLevel="2" x14ac:dyDescent="0.25">
      <c r="A161" s="29"/>
      <c r="B161" s="11" t="str">
        <f>CONCATENATE("          ", "6118", " - ", "VACATION")</f>
        <v xml:space="preserve">          6118 - VACATION</v>
      </c>
      <c r="C161" s="11"/>
      <c r="D161" s="8">
        <v>4991.5</v>
      </c>
      <c r="E161" s="3"/>
      <c r="F161" s="7">
        <f t="shared" si="30"/>
        <v>1.1458004502491905E-2</v>
      </c>
      <c r="G161" s="3"/>
      <c r="H161" s="8">
        <v>7648.23</v>
      </c>
      <c r="I161" s="3"/>
      <c r="J161" s="7">
        <f t="shared" si="31"/>
        <v>1.0589072109924774E-2</v>
      </c>
      <c r="K161" s="3"/>
      <c r="L161" s="8">
        <f t="shared" si="32"/>
        <v>-2656.7299999999996</v>
      </c>
      <c r="M161" s="3"/>
      <c r="N161" s="7">
        <f t="shared" si="33"/>
        <v>-0.34736533812398418</v>
      </c>
      <c r="O161" s="11"/>
      <c r="P161" s="8">
        <v>4991.5</v>
      </c>
      <c r="Q161" s="3"/>
      <c r="R161" s="7">
        <f t="shared" si="34"/>
        <v>1.1458004502491905E-2</v>
      </c>
      <c r="S161" s="3"/>
      <c r="T161" s="8">
        <v>7648.23</v>
      </c>
      <c r="U161" s="3"/>
      <c r="V161" s="7">
        <f t="shared" si="35"/>
        <v>1.0589072109924774E-2</v>
      </c>
      <c r="W161" s="3"/>
      <c r="X161" s="8">
        <f t="shared" si="36"/>
        <v>-2656.7299999999996</v>
      </c>
      <c r="Y161" s="3"/>
      <c r="Z161" s="7">
        <f t="shared" si="37"/>
        <v>-0.34736533812398418</v>
      </c>
    </row>
    <row r="162" spans="1:26" s="24" customFormat="1" hidden="1" outlineLevel="2" x14ac:dyDescent="0.25">
      <c r="A162" s="29"/>
      <c r="B162" s="11" t="str">
        <f>CONCATENATE("          ", "6119", " - ", "SICK LEAVE")</f>
        <v xml:space="preserve">          6119 - SICK LEAVE</v>
      </c>
      <c r="C162" s="11"/>
      <c r="D162" s="8">
        <v>3592.55</v>
      </c>
      <c r="E162" s="3"/>
      <c r="F162" s="7">
        <f t="shared" si="30"/>
        <v>8.2467102224636473E-3</v>
      </c>
      <c r="G162" s="3"/>
      <c r="H162" s="8">
        <v>8379.7000000000007</v>
      </c>
      <c r="I162" s="3"/>
      <c r="J162" s="7">
        <f t="shared" si="31"/>
        <v>1.1601801666468795E-2</v>
      </c>
      <c r="K162" s="3"/>
      <c r="L162" s="8">
        <f t="shared" si="32"/>
        <v>-4787.1500000000005</v>
      </c>
      <c r="M162" s="3"/>
      <c r="N162" s="7">
        <f t="shared" si="33"/>
        <v>-0.57127940141055167</v>
      </c>
      <c r="O162" s="11"/>
      <c r="P162" s="8">
        <v>3592.55</v>
      </c>
      <c r="Q162" s="3"/>
      <c r="R162" s="7">
        <f t="shared" si="34"/>
        <v>8.2467102224636473E-3</v>
      </c>
      <c r="S162" s="3"/>
      <c r="T162" s="8">
        <v>8379.7000000000007</v>
      </c>
      <c r="U162" s="3"/>
      <c r="V162" s="7">
        <f t="shared" si="35"/>
        <v>1.1601801666468795E-2</v>
      </c>
      <c r="W162" s="3"/>
      <c r="X162" s="8">
        <f t="shared" si="36"/>
        <v>-4787.1500000000005</v>
      </c>
      <c r="Y162" s="3"/>
      <c r="Z162" s="7">
        <f t="shared" si="37"/>
        <v>-0.57127940141055167</v>
      </c>
    </row>
    <row r="163" spans="1:26" s="24" customFormat="1" hidden="1" outlineLevel="2" x14ac:dyDescent="0.25">
      <c r="A163" s="29"/>
      <c r="B163" s="11" t="str">
        <f>CONCATENATE("          ", "6156", " - ", "EMPLOYEE MEALS")</f>
        <v xml:space="preserve">          6156 - EMPLOYEE MEALS</v>
      </c>
      <c r="C163" s="11"/>
      <c r="D163" s="8">
        <v>1194.25</v>
      </c>
      <c r="E163" s="3"/>
      <c r="F163" s="7">
        <f t="shared" si="30"/>
        <v>2.7414047635181725E-3</v>
      </c>
      <c r="G163" s="3"/>
      <c r="H163" s="8">
        <v>1879.71</v>
      </c>
      <c r="I163" s="3"/>
      <c r="J163" s="7">
        <f t="shared" si="31"/>
        <v>2.6024825006238958E-3</v>
      </c>
      <c r="K163" s="3"/>
      <c r="L163" s="8">
        <f t="shared" si="32"/>
        <v>-685.46</v>
      </c>
      <c r="M163" s="3"/>
      <c r="N163" s="7">
        <f t="shared" si="33"/>
        <v>-0.36466263412973277</v>
      </c>
      <c r="O163" s="11"/>
      <c r="P163" s="8">
        <v>1194.25</v>
      </c>
      <c r="Q163" s="3"/>
      <c r="R163" s="7">
        <f t="shared" si="34"/>
        <v>2.7414047635181725E-3</v>
      </c>
      <c r="S163" s="3"/>
      <c r="T163" s="8">
        <v>1879.71</v>
      </c>
      <c r="U163" s="3"/>
      <c r="V163" s="7">
        <f t="shared" si="35"/>
        <v>2.6024825006238958E-3</v>
      </c>
      <c r="W163" s="3"/>
      <c r="X163" s="8">
        <f t="shared" si="36"/>
        <v>-685.46</v>
      </c>
      <c r="Y163" s="3"/>
      <c r="Z163" s="7">
        <f t="shared" si="37"/>
        <v>-0.36466263412973277</v>
      </c>
    </row>
    <row r="164" spans="1:26" s="27" customFormat="1" outlineLevel="1" collapsed="1" x14ac:dyDescent="0.25">
      <c r="A164" s="28"/>
      <c r="B164" s="14" t="str">
        <f>CONCATENATE("     ","*Payroll                                          ")</f>
        <v xml:space="preserve">     *Payroll                                          </v>
      </c>
      <c r="C164" s="14"/>
      <c r="D164" s="1">
        <f>SUM(OSRRefD22_1x_0)</f>
        <v>126895.38000000002</v>
      </c>
      <c r="E164" s="1"/>
      <c r="F164" s="5">
        <f t="shared" ref="F164:F171" si="38">IF(D$12=0,0,D164/D$12)</f>
        <v>0.29128875796562587</v>
      </c>
      <c r="G164" s="1"/>
      <c r="H164" s="1">
        <f>SUM(OSRRefH22_1x_0)</f>
        <v>178211.31</v>
      </c>
      <c r="I164" s="1"/>
      <c r="J164" s="5">
        <f t="shared" ref="J164:J171" si="39">IF(H$12=0,0,H164/H$12)</f>
        <v>0.24673583461718043</v>
      </c>
      <c r="K164" s="1"/>
      <c r="L164" s="1">
        <f t="shared" ref="L164:L171" si="40">+D164-H164</f>
        <v>-51315.929999999978</v>
      </c>
      <c r="M164" s="1"/>
      <c r="N164" s="5">
        <f t="shared" ref="N164:N171" si="41">IF(H164=0,0,L164/H164)</f>
        <v>-0.28794990620965627</v>
      </c>
      <c r="O164" s="14"/>
      <c r="P164" s="1">
        <f>SUM(OSRRefP22_1x_0)</f>
        <v>126895.38000000002</v>
      </c>
      <c r="Q164" s="1"/>
      <c r="R164" s="5">
        <f t="shared" ref="R164:R171" si="42">IF(P$12=0,0,P164/P$12)</f>
        <v>0.29128875796562587</v>
      </c>
      <c r="S164" s="1"/>
      <c r="T164" s="1">
        <f>SUM(OSRRefT22_1x_0)</f>
        <v>178211.31</v>
      </c>
      <c r="U164" s="1"/>
      <c r="V164" s="5">
        <f t="shared" ref="V164:V171" si="43">IF(T$12=0,0,T164/T$12)</f>
        <v>0.24673583461718043</v>
      </c>
      <c r="W164" s="1"/>
      <c r="X164" s="1">
        <f t="shared" ref="X164:X171" si="44">+P164-T164</f>
        <v>-51315.929999999978</v>
      </c>
      <c r="Y164" s="1"/>
      <c r="Z164" s="5">
        <f t="shared" ref="Z164:Z171" si="45">IF(T164=0,0,X164/T164)</f>
        <v>-0.28794990620965627</v>
      </c>
    </row>
    <row r="165" spans="1:26" s="24" customFormat="1" hidden="1" outlineLevel="2" x14ac:dyDescent="0.25">
      <c r="A165" s="29"/>
      <c r="B165" s="11" t="str">
        <f>CONCATENATE("          ", "6001", " - ", "ADMINISTRATIVE SALARIES")</f>
        <v xml:space="preserve">          6001 - ADMINISTRATIVE SALARIES</v>
      </c>
      <c r="C165" s="11"/>
      <c r="D165" s="8">
        <v>4525.8500000000004</v>
      </c>
      <c r="E165" s="3"/>
      <c r="F165" s="7">
        <f t="shared" si="38"/>
        <v>1.0389103411319841E-2</v>
      </c>
      <c r="G165" s="3"/>
      <c r="H165" s="8">
        <v>12860.28</v>
      </c>
      <c r="I165" s="3"/>
      <c r="J165" s="7">
        <f t="shared" si="39"/>
        <v>1.7805221897592434E-2</v>
      </c>
      <c r="K165" s="3"/>
      <c r="L165" s="8">
        <f t="shared" si="40"/>
        <v>-8334.43</v>
      </c>
      <c r="M165" s="3"/>
      <c r="N165" s="7">
        <f t="shared" si="41"/>
        <v>-0.64807531406781194</v>
      </c>
      <c r="O165" s="11"/>
      <c r="P165" s="8">
        <v>4525.8500000000004</v>
      </c>
      <c r="Q165" s="3"/>
      <c r="R165" s="7">
        <f t="shared" si="42"/>
        <v>1.0389103411319841E-2</v>
      </c>
      <c r="S165" s="3"/>
      <c r="T165" s="8">
        <v>12860.28</v>
      </c>
      <c r="U165" s="3"/>
      <c r="V165" s="7">
        <f t="shared" si="43"/>
        <v>1.7805221897592434E-2</v>
      </c>
      <c r="W165" s="3"/>
      <c r="X165" s="8">
        <f t="shared" si="44"/>
        <v>-8334.43</v>
      </c>
      <c r="Y165" s="3"/>
      <c r="Z165" s="7">
        <f t="shared" si="45"/>
        <v>-0.64807531406781194</v>
      </c>
    </row>
    <row r="166" spans="1:26" s="24" customFormat="1" hidden="1" outlineLevel="2" x14ac:dyDescent="0.25">
      <c r="A166" s="29"/>
      <c r="B166" s="11" t="str">
        <f>CONCATENATE("          ", "6002", " - ", "STAFF SALARIES")</f>
        <v xml:space="preserve">          6002 - STAFF SALARIES</v>
      </c>
      <c r="C166" s="11"/>
      <c r="D166" s="8">
        <v>67061.47</v>
      </c>
      <c r="E166" s="3"/>
      <c r="F166" s="7">
        <f t="shared" si="38"/>
        <v>0.15393982273940215</v>
      </c>
      <c r="G166" s="3"/>
      <c r="H166" s="8">
        <v>67279.010000000009</v>
      </c>
      <c r="I166" s="3"/>
      <c r="J166" s="7">
        <f t="shared" si="39"/>
        <v>9.3148648559777891E-2</v>
      </c>
      <c r="K166" s="3"/>
      <c r="L166" s="8">
        <f t="shared" si="40"/>
        <v>-217.54000000000815</v>
      </c>
      <c r="M166" s="3"/>
      <c r="N166" s="7">
        <f t="shared" si="41"/>
        <v>-3.2334007292914701E-3</v>
      </c>
      <c r="O166" s="11"/>
      <c r="P166" s="8">
        <v>67061.47</v>
      </c>
      <c r="Q166" s="3"/>
      <c r="R166" s="7">
        <f t="shared" si="42"/>
        <v>0.15393982273940215</v>
      </c>
      <c r="S166" s="3"/>
      <c r="T166" s="8">
        <v>67279.010000000009</v>
      </c>
      <c r="U166" s="3"/>
      <c r="V166" s="7">
        <f t="shared" si="43"/>
        <v>9.3148648559777891E-2</v>
      </c>
      <c r="W166" s="3"/>
      <c r="X166" s="8">
        <f t="shared" si="44"/>
        <v>-217.54000000000815</v>
      </c>
      <c r="Y166" s="3"/>
      <c r="Z166" s="7">
        <f t="shared" si="45"/>
        <v>-3.2334007292914701E-3</v>
      </c>
    </row>
    <row r="167" spans="1:26" s="24" customFormat="1" hidden="1" outlineLevel="2" x14ac:dyDescent="0.25">
      <c r="A167" s="29"/>
      <c r="B167" s="11" t="str">
        <f>CONCATENATE("          ", "6004", " - ", "STAFF HOURLY")</f>
        <v xml:space="preserve">          6004 - STAFF HOURLY</v>
      </c>
      <c r="C167" s="11"/>
      <c r="D167" s="8">
        <v>18737.27</v>
      </c>
      <c r="E167" s="3"/>
      <c r="F167" s="7">
        <f t="shared" si="38"/>
        <v>4.3011464294181408E-2</v>
      </c>
      <c r="G167" s="3"/>
      <c r="H167" s="8">
        <v>2005.93</v>
      </c>
      <c r="I167" s="3"/>
      <c r="J167" s="7">
        <f t="shared" si="39"/>
        <v>2.7772357025692748E-3</v>
      </c>
      <c r="K167" s="3"/>
      <c r="L167" s="8">
        <f t="shared" si="40"/>
        <v>16731.34</v>
      </c>
      <c r="M167" s="3"/>
      <c r="N167" s="7">
        <f t="shared" si="41"/>
        <v>8.3409391155224757</v>
      </c>
      <c r="O167" s="11"/>
      <c r="P167" s="8">
        <v>18737.27</v>
      </c>
      <c r="Q167" s="3"/>
      <c r="R167" s="7">
        <f t="shared" si="42"/>
        <v>4.3011464294181408E-2</v>
      </c>
      <c r="S167" s="3"/>
      <c r="T167" s="8">
        <v>2005.93</v>
      </c>
      <c r="U167" s="3"/>
      <c r="V167" s="7">
        <f t="shared" si="43"/>
        <v>2.7772357025692748E-3</v>
      </c>
      <c r="W167" s="3"/>
      <c r="X167" s="8">
        <f t="shared" si="44"/>
        <v>16731.34</v>
      </c>
      <c r="Y167" s="3"/>
      <c r="Z167" s="7">
        <f t="shared" si="45"/>
        <v>8.3409391155224757</v>
      </c>
    </row>
    <row r="168" spans="1:26" s="24" customFormat="1" hidden="1" outlineLevel="2" x14ac:dyDescent="0.25">
      <c r="A168" s="29"/>
      <c r="B168" s="11" t="str">
        <f>CONCATENATE("          ", "6005", " - ", "TEMPORARY WAGES-HOURLY")</f>
        <v xml:space="preserve">          6005 - TEMPORARY WAGES-HOURLY</v>
      </c>
      <c r="C168" s="11"/>
      <c r="D168" s="8">
        <v>12385.55</v>
      </c>
      <c r="E168" s="3"/>
      <c r="F168" s="7">
        <f t="shared" si="38"/>
        <v>2.8431070352767426E-2</v>
      </c>
      <c r="G168" s="3"/>
      <c r="H168" s="8">
        <v>19812.34</v>
      </c>
      <c r="I168" s="3"/>
      <c r="J168" s="7">
        <f t="shared" si="39"/>
        <v>2.7430437751786624E-2</v>
      </c>
      <c r="K168" s="3"/>
      <c r="L168" s="8">
        <f t="shared" si="40"/>
        <v>-7426.7900000000009</v>
      </c>
      <c r="M168" s="3"/>
      <c r="N168" s="7">
        <f t="shared" si="41"/>
        <v>-0.37485678117779125</v>
      </c>
      <c r="O168" s="11"/>
      <c r="P168" s="8">
        <v>12385.55</v>
      </c>
      <c r="Q168" s="3"/>
      <c r="R168" s="7">
        <f t="shared" si="42"/>
        <v>2.8431070352767426E-2</v>
      </c>
      <c r="S168" s="3"/>
      <c r="T168" s="8">
        <v>19812.34</v>
      </c>
      <c r="U168" s="3"/>
      <c r="V168" s="7">
        <f t="shared" si="43"/>
        <v>2.7430437751786624E-2</v>
      </c>
      <c r="W168" s="3"/>
      <c r="X168" s="8">
        <f t="shared" si="44"/>
        <v>-7426.7900000000009</v>
      </c>
      <c r="Y168" s="3"/>
      <c r="Z168" s="7">
        <f t="shared" si="45"/>
        <v>-0.37485678117779125</v>
      </c>
    </row>
    <row r="169" spans="1:26" s="24" customFormat="1" hidden="1" outlineLevel="2" x14ac:dyDescent="0.25">
      <c r="A169" s="29"/>
      <c r="B169" s="11" t="str">
        <f>CONCATENATE("          ", "6006", " - ", "TEMPORARY PART TIME")</f>
        <v xml:space="preserve">          6006 - TEMPORARY PART TIME</v>
      </c>
      <c r="C169" s="11"/>
      <c r="D169" s="8">
        <v>2048.21</v>
      </c>
      <c r="E169" s="3"/>
      <c r="F169" s="7">
        <f t="shared" si="38"/>
        <v>4.7016727240406578E-3</v>
      </c>
      <c r="G169" s="3"/>
      <c r="H169" s="8">
        <v>4639.88</v>
      </c>
      <c r="I169" s="3"/>
      <c r="J169" s="7">
        <f t="shared" si="39"/>
        <v>6.4239731155310131E-3</v>
      </c>
      <c r="K169" s="3"/>
      <c r="L169" s="8">
        <f t="shared" si="40"/>
        <v>-2591.67</v>
      </c>
      <c r="M169" s="3"/>
      <c r="N169" s="7">
        <f t="shared" si="41"/>
        <v>-0.55856401458658411</v>
      </c>
      <c r="O169" s="11"/>
      <c r="P169" s="8">
        <v>2048.21</v>
      </c>
      <c r="Q169" s="3"/>
      <c r="R169" s="7">
        <f t="shared" si="42"/>
        <v>4.7016727240406578E-3</v>
      </c>
      <c r="S169" s="3"/>
      <c r="T169" s="8">
        <v>4639.88</v>
      </c>
      <c r="U169" s="3"/>
      <c r="V169" s="7">
        <f t="shared" si="43"/>
        <v>6.4239731155310131E-3</v>
      </c>
      <c r="W169" s="3"/>
      <c r="X169" s="8">
        <f t="shared" si="44"/>
        <v>-2591.67</v>
      </c>
      <c r="Y169" s="3"/>
      <c r="Z169" s="7">
        <f t="shared" si="45"/>
        <v>-0.55856401458658411</v>
      </c>
    </row>
    <row r="170" spans="1:26" s="24" customFormat="1" hidden="1" outlineLevel="2" x14ac:dyDescent="0.25">
      <c r="A170" s="29"/>
      <c r="B170" s="11" t="str">
        <f>CONCATENATE("          ", "6007", " - ", "STUDENT HOURLY")</f>
        <v xml:space="preserve">          6007 - STUDENT HOURLY</v>
      </c>
      <c r="C170" s="11"/>
      <c r="D170" s="8">
        <v>22137.030000000002</v>
      </c>
      <c r="E170" s="3"/>
      <c r="F170" s="7">
        <f t="shared" si="38"/>
        <v>5.0815624443914333E-2</v>
      </c>
      <c r="G170" s="3"/>
      <c r="H170" s="8">
        <v>71298.87</v>
      </c>
      <c r="I170" s="3"/>
      <c r="J170" s="7">
        <f t="shared" si="39"/>
        <v>9.8714196067083773E-2</v>
      </c>
      <c r="K170" s="3"/>
      <c r="L170" s="8">
        <f t="shared" si="40"/>
        <v>-49161.84</v>
      </c>
      <c r="M170" s="3"/>
      <c r="N170" s="7">
        <f t="shared" si="41"/>
        <v>-0.68951780021198095</v>
      </c>
      <c r="O170" s="11"/>
      <c r="P170" s="8">
        <v>22137.030000000002</v>
      </c>
      <c r="Q170" s="3"/>
      <c r="R170" s="7">
        <f t="shared" si="42"/>
        <v>5.0815624443914333E-2</v>
      </c>
      <c r="S170" s="3"/>
      <c r="T170" s="8">
        <v>71298.87</v>
      </c>
      <c r="U170" s="3"/>
      <c r="V170" s="7">
        <f t="shared" si="43"/>
        <v>9.8714196067083773E-2</v>
      </c>
      <c r="W170" s="3"/>
      <c r="X170" s="8">
        <f t="shared" si="44"/>
        <v>-49161.84</v>
      </c>
      <c r="Y170" s="3"/>
      <c r="Z170" s="7">
        <f t="shared" si="45"/>
        <v>-0.68951780021198095</v>
      </c>
    </row>
    <row r="171" spans="1:26" s="24" customFormat="1" hidden="1" outlineLevel="2" x14ac:dyDescent="0.25">
      <c r="A171" s="29"/>
      <c r="B171" s="11" t="str">
        <f>CONCATENATE("          ", "6008", " - ", "STUDENT HOURLY-FICA EXEMPT")</f>
        <v xml:space="preserve">          6008 - STUDENT HOURLY-FICA EXEMPT</v>
      </c>
      <c r="C171" s="11"/>
      <c r="D171" s="8"/>
      <c r="E171" s="3"/>
      <c r="F171" s="7">
        <f t="shared" si="38"/>
        <v>0</v>
      </c>
      <c r="G171" s="3"/>
      <c r="H171" s="8">
        <v>315</v>
      </c>
      <c r="I171" s="3"/>
      <c r="J171" s="7">
        <f t="shared" si="39"/>
        <v>4.3612152283944181E-4</v>
      </c>
      <c r="K171" s="3"/>
      <c r="L171" s="8">
        <f t="shared" si="40"/>
        <v>-315</v>
      </c>
      <c r="M171" s="3"/>
      <c r="N171" s="7">
        <f t="shared" si="41"/>
        <v>-1</v>
      </c>
      <c r="O171" s="11"/>
      <c r="P171" s="8"/>
      <c r="Q171" s="3"/>
      <c r="R171" s="7">
        <f t="shared" si="42"/>
        <v>0</v>
      </c>
      <c r="S171" s="3"/>
      <c r="T171" s="8">
        <v>315</v>
      </c>
      <c r="U171" s="3"/>
      <c r="V171" s="7">
        <f t="shared" si="43"/>
        <v>4.3612152283944181E-4</v>
      </c>
      <c r="W171" s="3"/>
      <c r="X171" s="8">
        <f t="shared" si="44"/>
        <v>-315</v>
      </c>
      <c r="Y171" s="3"/>
      <c r="Z171" s="7">
        <f t="shared" si="45"/>
        <v>-1</v>
      </c>
    </row>
    <row r="172" spans="1:26" s="27" customFormat="1" outlineLevel="1" collapsed="1" x14ac:dyDescent="0.25">
      <c r="A172" s="28"/>
      <c r="B172" s="14" t="str">
        <f>CONCATENATE("     ","Advertising/Promo                                 ")</f>
        <v xml:space="preserve">     Advertising/Promo                                 </v>
      </c>
      <c r="C172" s="14"/>
      <c r="D172" s="1">
        <f>SUM(OSRRefD22_2x_0)</f>
        <v>2740.48</v>
      </c>
      <c r="E172" s="1"/>
      <c r="F172" s="5">
        <f t="shared" ref="F172:F180" si="46">IF(D$12=0,0,D172/D$12)</f>
        <v>6.2907807630950647E-3</v>
      </c>
      <c r="G172" s="1"/>
      <c r="H172" s="1">
        <f>SUM(OSRRefH22_2x_0)</f>
        <v>891.37</v>
      </c>
      <c r="I172" s="1"/>
      <c r="J172" s="5">
        <f t="shared" ref="J172:J180" si="47">IF(H$12=0,0,H172/H$12)</f>
        <v>1.2341131486139467E-3</v>
      </c>
      <c r="K172" s="1"/>
      <c r="L172" s="1">
        <f t="shared" ref="L172:L180" si="48">+D172-H172</f>
        <v>1849.1100000000001</v>
      </c>
      <c r="M172" s="1"/>
      <c r="N172" s="5">
        <f t="shared" ref="N172:N180" si="49">IF(H172=0,0,L172/H172)</f>
        <v>2.0744584179409227</v>
      </c>
      <c r="O172" s="14"/>
      <c r="P172" s="1">
        <f>SUM(OSRRefP22_2x_0)</f>
        <v>2740.48</v>
      </c>
      <c r="Q172" s="1"/>
      <c r="R172" s="5">
        <f t="shared" ref="R172:R180" si="50">IF(P$12=0,0,P172/P$12)</f>
        <v>6.2907807630950647E-3</v>
      </c>
      <c r="S172" s="1"/>
      <c r="T172" s="1">
        <f>SUM(OSRRefT22_2x_0)</f>
        <v>891.37</v>
      </c>
      <c r="U172" s="1"/>
      <c r="V172" s="5">
        <f t="shared" ref="V172:V180" si="51">IF(T$12=0,0,T172/T$12)</f>
        <v>1.2341131486139467E-3</v>
      </c>
      <c r="W172" s="1"/>
      <c r="X172" s="1">
        <f t="shared" ref="X172:X180" si="52">+P172-T172</f>
        <v>1849.1100000000001</v>
      </c>
      <c r="Y172" s="1"/>
      <c r="Z172" s="5">
        <f t="shared" ref="Z172:Z180" si="53">IF(T172=0,0,X172/T172)</f>
        <v>2.0744584179409227</v>
      </c>
    </row>
    <row r="173" spans="1:26" s="24" customFormat="1" hidden="1" outlineLevel="2" x14ac:dyDescent="0.25">
      <c r="A173" s="29"/>
      <c r="B173" s="11" t="str">
        <f>CONCATENATE("          ", "6362", " - ", "ADVERTISING EXPENSE")</f>
        <v xml:space="preserve">          6362 - ADVERTISING EXPENSE</v>
      </c>
      <c r="C173" s="11"/>
      <c r="D173" s="8">
        <v>2740.48</v>
      </c>
      <c r="E173" s="3"/>
      <c r="F173" s="7">
        <f t="shared" si="46"/>
        <v>6.2907807630950647E-3</v>
      </c>
      <c r="G173" s="3"/>
      <c r="H173" s="8">
        <v>891.37</v>
      </c>
      <c r="I173" s="3"/>
      <c r="J173" s="7">
        <f t="shared" si="47"/>
        <v>1.2341131486139467E-3</v>
      </c>
      <c r="K173" s="3"/>
      <c r="L173" s="8">
        <f t="shared" si="48"/>
        <v>1849.1100000000001</v>
      </c>
      <c r="M173" s="3"/>
      <c r="N173" s="7">
        <f t="shared" si="49"/>
        <v>2.0744584179409227</v>
      </c>
      <c r="O173" s="11"/>
      <c r="P173" s="8">
        <v>2740.48</v>
      </c>
      <c r="Q173" s="3"/>
      <c r="R173" s="7">
        <f t="shared" si="50"/>
        <v>6.2907807630950647E-3</v>
      </c>
      <c r="S173" s="3"/>
      <c r="T173" s="8">
        <v>891.37</v>
      </c>
      <c r="U173" s="3"/>
      <c r="V173" s="7">
        <f t="shared" si="51"/>
        <v>1.2341131486139467E-3</v>
      </c>
      <c r="W173" s="3"/>
      <c r="X173" s="8">
        <f t="shared" si="52"/>
        <v>1849.1100000000001</v>
      </c>
      <c r="Y173" s="3"/>
      <c r="Z173" s="7">
        <f t="shared" si="53"/>
        <v>2.0744584179409227</v>
      </c>
    </row>
    <row r="174" spans="1:26" s="27" customFormat="1" outlineLevel="1" collapsed="1" x14ac:dyDescent="0.25">
      <c r="A174" s="28"/>
      <c r="B174" s="14" t="str">
        <f>CONCATENATE("     ","Bad Debts/Over/Short                              ")</f>
        <v xml:space="preserve">     Bad Debts/Over/Short                              </v>
      </c>
      <c r="C174" s="14"/>
      <c r="D174" s="1">
        <f>SUM(OSRRefD22_3x_0)</f>
        <v>4.9800000000000004</v>
      </c>
      <c r="E174" s="1"/>
      <c r="F174" s="5">
        <f t="shared" si="46"/>
        <v>1.1431606215047519E-5</v>
      </c>
      <c r="G174" s="1"/>
      <c r="H174" s="1">
        <f>SUM(OSRRefH22_3x_0)</f>
        <v>-18.7</v>
      </c>
      <c r="I174" s="1"/>
      <c r="J174" s="5">
        <f t="shared" si="47"/>
        <v>-2.5890388816182733E-5</v>
      </c>
      <c r="K174" s="1"/>
      <c r="L174" s="1">
        <f t="shared" si="48"/>
        <v>23.68</v>
      </c>
      <c r="M174" s="1"/>
      <c r="N174" s="5">
        <f t="shared" si="49"/>
        <v>-1.2663101604278075</v>
      </c>
      <c r="O174" s="14"/>
      <c r="P174" s="1">
        <f>SUM(OSRRefP22_3x_0)</f>
        <v>4.9800000000000004</v>
      </c>
      <c r="Q174" s="1"/>
      <c r="R174" s="5">
        <f t="shared" si="50"/>
        <v>1.1431606215047519E-5</v>
      </c>
      <c r="S174" s="1"/>
      <c r="T174" s="1">
        <f>SUM(OSRRefT22_3x_0)</f>
        <v>-18.7</v>
      </c>
      <c r="U174" s="1"/>
      <c r="V174" s="5">
        <f t="shared" si="51"/>
        <v>-2.5890388816182733E-5</v>
      </c>
      <c r="W174" s="1"/>
      <c r="X174" s="1">
        <f t="shared" si="52"/>
        <v>23.68</v>
      </c>
      <c r="Y174" s="1"/>
      <c r="Z174" s="5">
        <f t="shared" si="53"/>
        <v>-1.2663101604278075</v>
      </c>
    </row>
    <row r="175" spans="1:26" s="24" customFormat="1" hidden="1" outlineLevel="2" x14ac:dyDescent="0.25">
      <c r="A175" s="29"/>
      <c r="B175" s="11" t="str">
        <f>CONCATENATE("          ", "6272", " - ", "CASH (OVER/SHORT)")</f>
        <v xml:space="preserve">          6272 - CASH (OVER/SHORT)</v>
      </c>
      <c r="C175" s="11"/>
      <c r="D175" s="8">
        <v>4.9800000000000004</v>
      </c>
      <c r="E175" s="3"/>
      <c r="F175" s="7">
        <f t="shared" si="46"/>
        <v>1.1431606215047519E-5</v>
      </c>
      <c r="G175" s="3"/>
      <c r="H175" s="8">
        <v>-18.7</v>
      </c>
      <c r="I175" s="3"/>
      <c r="J175" s="7">
        <f t="shared" si="47"/>
        <v>-2.5890388816182733E-5</v>
      </c>
      <c r="K175" s="3"/>
      <c r="L175" s="8">
        <f t="shared" si="48"/>
        <v>23.68</v>
      </c>
      <c r="M175" s="3"/>
      <c r="N175" s="7">
        <f t="shared" si="49"/>
        <v>-1.2663101604278075</v>
      </c>
      <c r="O175" s="11"/>
      <c r="P175" s="8">
        <v>4.9800000000000004</v>
      </c>
      <c r="Q175" s="3"/>
      <c r="R175" s="7">
        <f t="shared" si="50"/>
        <v>1.1431606215047519E-5</v>
      </c>
      <c r="S175" s="3"/>
      <c r="T175" s="8">
        <v>-18.7</v>
      </c>
      <c r="U175" s="3"/>
      <c r="V175" s="7">
        <f t="shared" si="51"/>
        <v>-2.5890388816182733E-5</v>
      </c>
      <c r="W175" s="3"/>
      <c r="X175" s="8">
        <f t="shared" si="52"/>
        <v>23.68</v>
      </c>
      <c r="Y175" s="3"/>
      <c r="Z175" s="7">
        <f t="shared" si="53"/>
        <v>-1.2663101604278075</v>
      </c>
    </row>
    <row r="176" spans="1:26" s="27" customFormat="1" outlineLevel="1" collapsed="1" x14ac:dyDescent="0.25">
      <c r="A176" s="28"/>
      <c r="B176" s="14" t="str">
        <f>CONCATENATE("     ","Bank/card Fees                                    ")</f>
        <v xml:space="preserve">     Bank/card Fees                                    </v>
      </c>
      <c r="C176" s="14"/>
      <c r="D176" s="1">
        <f>SUM(OSRRefD22_4x_0)</f>
        <v>3117.21</v>
      </c>
      <c r="E176" s="1"/>
      <c r="F176" s="5">
        <f t="shared" si="46"/>
        <v>7.1555657047406174E-3</v>
      </c>
      <c r="G176" s="1"/>
      <c r="H176" s="1">
        <f>SUM(OSRRefH22_4x_0)</f>
        <v>5785.89</v>
      </c>
      <c r="I176" s="1"/>
      <c r="J176" s="5">
        <f t="shared" si="47"/>
        <v>8.0106385961317399E-3</v>
      </c>
      <c r="K176" s="1"/>
      <c r="L176" s="1">
        <f t="shared" si="48"/>
        <v>-2668.6800000000003</v>
      </c>
      <c r="M176" s="1"/>
      <c r="N176" s="5">
        <f t="shared" si="49"/>
        <v>-0.46123932532419387</v>
      </c>
      <c r="O176" s="14"/>
      <c r="P176" s="1">
        <f>SUM(OSRRefP22_4x_0)</f>
        <v>3117.21</v>
      </c>
      <c r="Q176" s="1"/>
      <c r="R176" s="5">
        <f t="shared" si="50"/>
        <v>7.1555657047406174E-3</v>
      </c>
      <c r="S176" s="1"/>
      <c r="T176" s="1">
        <f>SUM(OSRRefT22_4x_0)</f>
        <v>5785.89</v>
      </c>
      <c r="U176" s="1"/>
      <c r="V176" s="5">
        <f t="shared" si="51"/>
        <v>8.0106385961317399E-3</v>
      </c>
      <c r="W176" s="1"/>
      <c r="X176" s="1">
        <f t="shared" si="52"/>
        <v>-2668.6800000000003</v>
      </c>
      <c r="Y176" s="1"/>
      <c r="Z176" s="5">
        <f t="shared" si="53"/>
        <v>-0.46123932532419387</v>
      </c>
    </row>
    <row r="177" spans="1:26" s="24" customFormat="1" hidden="1" outlineLevel="2" x14ac:dyDescent="0.25">
      <c r="A177" s="29"/>
      <c r="B177" s="11" t="str">
        <f>CONCATENATE("          ", "6381", " - ", "BANK/CREDIT CARD FEES")</f>
        <v xml:space="preserve">          6381 - BANK/CREDIT CARD FEES</v>
      </c>
      <c r="C177" s="11"/>
      <c r="D177" s="8">
        <v>3117.21</v>
      </c>
      <c r="E177" s="3"/>
      <c r="F177" s="7">
        <f t="shared" si="46"/>
        <v>7.1555657047406174E-3</v>
      </c>
      <c r="G177" s="3"/>
      <c r="H177" s="8">
        <v>5785.89</v>
      </c>
      <c r="I177" s="3"/>
      <c r="J177" s="7">
        <f t="shared" si="47"/>
        <v>8.0106385961317399E-3</v>
      </c>
      <c r="K177" s="3"/>
      <c r="L177" s="8">
        <f t="shared" si="48"/>
        <v>-2668.6800000000003</v>
      </c>
      <c r="M177" s="3"/>
      <c r="N177" s="7">
        <f t="shared" si="49"/>
        <v>-0.46123932532419387</v>
      </c>
      <c r="O177" s="11"/>
      <c r="P177" s="8">
        <v>3117.21</v>
      </c>
      <c r="Q177" s="3"/>
      <c r="R177" s="7">
        <f t="shared" si="50"/>
        <v>7.1555657047406174E-3</v>
      </c>
      <c r="S177" s="3"/>
      <c r="T177" s="8">
        <v>5785.89</v>
      </c>
      <c r="U177" s="3"/>
      <c r="V177" s="7">
        <f t="shared" si="51"/>
        <v>8.0106385961317399E-3</v>
      </c>
      <c r="W177" s="3"/>
      <c r="X177" s="8">
        <f t="shared" si="52"/>
        <v>-2668.6800000000003</v>
      </c>
      <c r="Y177" s="3"/>
      <c r="Z177" s="7">
        <f t="shared" si="53"/>
        <v>-0.46123932532419387</v>
      </c>
    </row>
    <row r="178" spans="1:26" s="27" customFormat="1" outlineLevel="1" collapsed="1" x14ac:dyDescent="0.25">
      <c r="A178" s="28"/>
      <c r="B178" s="14" t="str">
        <f>CONCATENATE("     ","Depreciation                                      ")</f>
        <v xml:space="preserve">     Depreciation                                      </v>
      </c>
      <c r="C178" s="14"/>
      <c r="D178" s="1">
        <f>SUM(OSRRefD22_5x_0)</f>
        <v>30627.300000000003</v>
      </c>
      <c r="E178" s="1"/>
      <c r="F178" s="5">
        <f t="shared" si="46"/>
        <v>7.0305066873519048E-2</v>
      </c>
      <c r="G178" s="1"/>
      <c r="H178" s="1">
        <f>SUM(OSRRefH22_5x_0)</f>
        <v>29887.870000000003</v>
      </c>
      <c r="I178" s="1"/>
      <c r="J178" s="5">
        <f t="shared" si="47"/>
        <v>4.1380137710562759E-2</v>
      </c>
      <c r="K178" s="1"/>
      <c r="L178" s="1">
        <f t="shared" si="48"/>
        <v>739.43000000000029</v>
      </c>
      <c r="M178" s="1"/>
      <c r="N178" s="5">
        <f t="shared" si="49"/>
        <v>2.4740137052255654E-2</v>
      </c>
      <c r="O178" s="14"/>
      <c r="P178" s="1">
        <f>SUM(OSRRefP22_5x_0)</f>
        <v>30627.300000000003</v>
      </c>
      <c r="Q178" s="1"/>
      <c r="R178" s="5">
        <f t="shared" si="50"/>
        <v>7.0305066873519048E-2</v>
      </c>
      <c r="S178" s="1"/>
      <c r="T178" s="1">
        <f>SUM(OSRRefT22_5x_0)</f>
        <v>29887.870000000003</v>
      </c>
      <c r="U178" s="1"/>
      <c r="V178" s="5">
        <f t="shared" si="51"/>
        <v>4.1380137710562759E-2</v>
      </c>
      <c r="W178" s="1"/>
      <c r="X178" s="1">
        <f t="shared" si="52"/>
        <v>739.43000000000029</v>
      </c>
      <c r="Y178" s="1"/>
      <c r="Z178" s="5">
        <f t="shared" si="53"/>
        <v>2.4740137052255654E-2</v>
      </c>
    </row>
    <row r="179" spans="1:26" s="24" customFormat="1" hidden="1" outlineLevel="2" x14ac:dyDescent="0.25">
      <c r="A179" s="29"/>
      <c r="B179" s="11" t="str">
        <f>CONCATENATE("          ", "6321", " - ", "BUILDING DEPRECIATION")</f>
        <v xml:space="preserve">          6321 - BUILDING DEPRECIATION</v>
      </c>
      <c r="C179" s="11"/>
      <c r="D179" s="8">
        <v>16396.52</v>
      </c>
      <c r="E179" s="3"/>
      <c r="F179" s="7">
        <f t="shared" si="46"/>
        <v>3.7638265047620668E-2</v>
      </c>
      <c r="G179" s="3"/>
      <c r="H179" s="8">
        <v>16396.52</v>
      </c>
      <c r="I179" s="3"/>
      <c r="J179" s="7">
        <f t="shared" si="47"/>
        <v>2.2701191338626553E-2</v>
      </c>
      <c r="K179" s="3"/>
      <c r="L179" s="8">
        <f t="shared" si="48"/>
        <v>0</v>
      </c>
      <c r="M179" s="3"/>
      <c r="N179" s="7">
        <f t="shared" si="49"/>
        <v>0</v>
      </c>
      <c r="O179" s="11"/>
      <c r="P179" s="8">
        <v>16396.52</v>
      </c>
      <c r="Q179" s="3"/>
      <c r="R179" s="7">
        <f t="shared" si="50"/>
        <v>3.7638265047620668E-2</v>
      </c>
      <c r="S179" s="3"/>
      <c r="T179" s="8">
        <v>16396.52</v>
      </c>
      <c r="U179" s="3"/>
      <c r="V179" s="7">
        <f t="shared" si="51"/>
        <v>2.2701191338626553E-2</v>
      </c>
      <c r="W179" s="3"/>
      <c r="X179" s="8">
        <f t="shared" si="52"/>
        <v>0</v>
      </c>
      <c r="Y179" s="3"/>
      <c r="Z179" s="7">
        <f t="shared" si="53"/>
        <v>0</v>
      </c>
    </row>
    <row r="180" spans="1:26" s="24" customFormat="1" hidden="1" outlineLevel="2" x14ac:dyDescent="0.25">
      <c r="A180" s="29"/>
      <c r="B180" s="11" t="str">
        <f>CONCATENATE("          ", "6322", " - ", "EQUIPMENT DEPRECIATION EXPENSE")</f>
        <v xml:space="preserve">          6322 - EQUIPMENT DEPRECIATION EXPENSE</v>
      </c>
      <c r="C180" s="11"/>
      <c r="D180" s="8">
        <v>14230.78</v>
      </c>
      <c r="E180" s="3"/>
      <c r="F180" s="7">
        <f t="shared" si="46"/>
        <v>3.266680182589838E-2</v>
      </c>
      <c r="G180" s="3"/>
      <c r="H180" s="8">
        <v>13491.35</v>
      </c>
      <c r="I180" s="3"/>
      <c r="J180" s="7">
        <f t="shared" si="47"/>
        <v>1.8678946371936199E-2</v>
      </c>
      <c r="K180" s="3"/>
      <c r="L180" s="8">
        <f t="shared" si="48"/>
        <v>739.43000000000029</v>
      </c>
      <c r="M180" s="3"/>
      <c r="N180" s="7">
        <f t="shared" si="49"/>
        <v>5.4807710125376649E-2</v>
      </c>
      <c r="O180" s="11"/>
      <c r="P180" s="8">
        <v>14230.78</v>
      </c>
      <c r="Q180" s="3"/>
      <c r="R180" s="7">
        <f t="shared" si="50"/>
        <v>3.266680182589838E-2</v>
      </c>
      <c r="S180" s="3"/>
      <c r="T180" s="8">
        <v>13491.35</v>
      </c>
      <c r="U180" s="3"/>
      <c r="V180" s="7">
        <f t="shared" si="51"/>
        <v>1.8678946371936199E-2</v>
      </c>
      <c r="W180" s="3"/>
      <c r="X180" s="8">
        <f t="shared" si="52"/>
        <v>739.43000000000029</v>
      </c>
      <c r="Y180" s="3"/>
      <c r="Z180" s="7">
        <f t="shared" si="53"/>
        <v>5.4807710125376649E-2</v>
      </c>
    </row>
    <row r="181" spans="1:26" s="27" customFormat="1" outlineLevel="1" collapsed="1" x14ac:dyDescent="0.25">
      <c r="A181" s="28"/>
      <c r="B181" s="14" t="str">
        <f>CONCATENATE("     ","Discounts and Markdowns                           ")</f>
        <v xml:space="preserve">     Discounts and Markdowns                           </v>
      </c>
      <c r="C181" s="14"/>
      <c r="D181" s="1">
        <f>SUM(OSRRefD22_6x_0)</f>
        <v>0</v>
      </c>
      <c r="E181" s="1"/>
      <c r="F181" s="5">
        <f t="shared" ref="F181:F183" si="54">IF(D$12=0,0,D181/D$12)</f>
        <v>0</v>
      </c>
      <c r="G181" s="1"/>
      <c r="H181" s="1">
        <f>SUM(OSRRefH22_6x_0)</f>
        <v>37393.86</v>
      </c>
      <c r="I181" s="1"/>
      <c r="J181" s="5">
        <f t="shared" ref="J181:J183" si="55">IF(H$12=0,0,H181/H$12)</f>
        <v>5.1772276723952029E-2</v>
      </c>
      <c r="K181" s="1"/>
      <c r="L181" s="1">
        <f t="shared" ref="L181:L183" si="56">+D181-H181</f>
        <v>-37393.86</v>
      </c>
      <c r="M181" s="1"/>
      <c r="N181" s="5">
        <f t="shared" ref="N181:N183" si="57">IF(H181=0,0,L181/H181)</f>
        <v>-1</v>
      </c>
      <c r="O181" s="14"/>
      <c r="P181" s="1">
        <f>SUM(OSRRefP22_6x_0)</f>
        <v>0</v>
      </c>
      <c r="Q181" s="1"/>
      <c r="R181" s="5">
        <f t="shared" ref="R181:R183" si="58">IF(P$12=0,0,P181/P$12)</f>
        <v>0</v>
      </c>
      <c r="S181" s="1"/>
      <c r="T181" s="1">
        <f>SUM(OSRRefT22_6x_0)</f>
        <v>37393.86</v>
      </c>
      <c r="U181" s="1"/>
      <c r="V181" s="5">
        <f t="shared" ref="V181:V183" si="59">IF(T$12=0,0,T181/T$12)</f>
        <v>5.1772276723952029E-2</v>
      </c>
      <c r="W181" s="1"/>
      <c r="X181" s="1">
        <f t="shared" ref="X181:X183" si="60">+P181-T181</f>
        <v>-37393.86</v>
      </c>
      <c r="Y181" s="1"/>
      <c r="Z181" s="5">
        <f t="shared" ref="Z181:Z183" si="61">IF(T181=0,0,X181/T181)</f>
        <v>-1</v>
      </c>
    </row>
    <row r="182" spans="1:26" s="24" customFormat="1" hidden="1" outlineLevel="2" x14ac:dyDescent="0.25">
      <c r="A182" s="29"/>
      <c r="B182" s="11" t="str">
        <f>CONCATENATE("          ", "6382", " - ", "DISCOUNTS/MARK DOWNS")</f>
        <v xml:space="preserve">          6382 - DISCOUNTS/MARK DOWNS</v>
      </c>
      <c r="C182" s="11"/>
      <c r="D182" s="8"/>
      <c r="E182" s="3"/>
      <c r="F182" s="7">
        <f t="shared" si="54"/>
        <v>0</v>
      </c>
      <c r="G182" s="3"/>
      <c r="H182" s="8">
        <v>37837.57</v>
      </c>
      <c r="I182" s="3"/>
      <c r="J182" s="7">
        <f t="shared" si="55"/>
        <v>5.2386598885536435E-2</v>
      </c>
      <c r="K182" s="3"/>
      <c r="L182" s="8">
        <f t="shared" si="56"/>
        <v>-37837.57</v>
      </c>
      <c r="M182" s="3"/>
      <c r="N182" s="7">
        <f t="shared" si="57"/>
        <v>-1</v>
      </c>
      <c r="O182" s="11"/>
      <c r="P182" s="8"/>
      <c r="Q182" s="3"/>
      <c r="R182" s="7">
        <f t="shared" si="58"/>
        <v>0</v>
      </c>
      <c r="S182" s="3"/>
      <c r="T182" s="8">
        <v>37837.57</v>
      </c>
      <c r="U182" s="3"/>
      <c r="V182" s="7">
        <f t="shared" si="59"/>
        <v>5.2386598885536435E-2</v>
      </c>
      <c r="W182" s="3"/>
      <c r="X182" s="8">
        <f t="shared" si="60"/>
        <v>-37837.57</v>
      </c>
      <c r="Y182" s="3"/>
      <c r="Z182" s="7">
        <f t="shared" si="61"/>
        <v>-1</v>
      </c>
    </row>
    <row r="183" spans="1:26" s="24" customFormat="1" hidden="1" outlineLevel="2" x14ac:dyDescent="0.25">
      <c r="A183" s="29"/>
      <c r="B183" s="11" t="str">
        <f>CONCATENATE("          ", "9175", " - ", "EARNED DISCOUNTS")</f>
        <v xml:space="preserve">          9175 - EARNED DISCOUNTS</v>
      </c>
      <c r="C183" s="11"/>
      <c r="D183" s="8"/>
      <c r="E183" s="3"/>
      <c r="F183" s="7">
        <f t="shared" si="54"/>
        <v>0</v>
      </c>
      <c r="G183" s="3"/>
      <c r="H183" s="8">
        <v>-443.71</v>
      </c>
      <c r="I183" s="3"/>
      <c r="J183" s="7">
        <f t="shared" si="55"/>
        <v>-6.1432216158440855E-4</v>
      </c>
      <c r="K183" s="3"/>
      <c r="L183" s="8">
        <f t="shared" si="56"/>
        <v>443.71</v>
      </c>
      <c r="M183" s="3"/>
      <c r="N183" s="7">
        <f t="shared" si="57"/>
        <v>-1</v>
      </c>
      <c r="O183" s="11"/>
      <c r="P183" s="8"/>
      <c r="Q183" s="3"/>
      <c r="R183" s="7">
        <f t="shared" si="58"/>
        <v>0</v>
      </c>
      <c r="S183" s="3"/>
      <c r="T183" s="8">
        <v>-443.71</v>
      </c>
      <c r="U183" s="3"/>
      <c r="V183" s="7">
        <f t="shared" si="59"/>
        <v>-6.1432216158440855E-4</v>
      </c>
      <c r="W183" s="3"/>
      <c r="X183" s="8">
        <f t="shared" si="60"/>
        <v>443.71</v>
      </c>
      <c r="Y183" s="3"/>
      <c r="Z183" s="7">
        <f t="shared" si="61"/>
        <v>-1</v>
      </c>
    </row>
    <row r="184" spans="1:26" s="27" customFormat="1" outlineLevel="1" collapsed="1" x14ac:dyDescent="0.25">
      <c r="A184" s="28"/>
      <c r="B184" s="14" t="str">
        <f>CONCATENATE("     ","Donations                                         ")</f>
        <v xml:space="preserve">     Donations                                         </v>
      </c>
      <c r="C184" s="14"/>
      <c r="D184" s="1">
        <f>SUM(OSRRefD22_7x_0)</f>
        <v>0</v>
      </c>
      <c r="E184" s="1"/>
      <c r="F184" s="5">
        <f t="shared" ref="F184:F192" si="62">IF(D$12=0,0,D184/D$12)</f>
        <v>0</v>
      </c>
      <c r="G184" s="1"/>
      <c r="H184" s="1">
        <f>SUM(OSRRefH22_7x_0)</f>
        <v>925.42</v>
      </c>
      <c r="I184" s="1"/>
      <c r="J184" s="5">
        <f t="shared" ref="J184:J192" si="63">IF(H$12=0,0,H184/H$12)</f>
        <v>1.2812558084637339E-3</v>
      </c>
      <c r="K184" s="1"/>
      <c r="L184" s="1">
        <f t="shared" ref="L184:L192" si="64">+D184-H184</f>
        <v>-925.42</v>
      </c>
      <c r="M184" s="1"/>
      <c r="N184" s="5">
        <f t="shared" ref="N184:N192" si="65">IF(H184=0,0,L184/H184)</f>
        <v>-1</v>
      </c>
      <c r="O184" s="14"/>
      <c r="P184" s="1">
        <f>SUM(OSRRefP22_7x_0)</f>
        <v>0</v>
      </c>
      <c r="Q184" s="1"/>
      <c r="R184" s="5">
        <f t="shared" ref="R184:R192" si="66">IF(P$12=0,0,P184/P$12)</f>
        <v>0</v>
      </c>
      <c r="S184" s="1"/>
      <c r="T184" s="1">
        <f>SUM(OSRRefT22_7x_0)</f>
        <v>925.42</v>
      </c>
      <c r="U184" s="1"/>
      <c r="V184" s="5">
        <f t="shared" ref="V184:V192" si="67">IF(T$12=0,0,T184/T$12)</f>
        <v>1.2812558084637339E-3</v>
      </c>
      <c r="W184" s="1"/>
      <c r="X184" s="1">
        <f t="shared" ref="X184:X192" si="68">+P184-T184</f>
        <v>-925.42</v>
      </c>
      <c r="Y184" s="1"/>
      <c r="Z184" s="5">
        <f t="shared" ref="Z184:Z192" si="69">IF(T184=0,0,X184/T184)</f>
        <v>-1</v>
      </c>
    </row>
    <row r="185" spans="1:26" s="24" customFormat="1" hidden="1" outlineLevel="2" x14ac:dyDescent="0.25">
      <c r="A185" s="29"/>
      <c r="B185" s="11" t="str">
        <f>CONCATENATE("          ", "6399", " - ", "DONATION-ON CAMPUS")</f>
        <v xml:space="preserve">          6399 - DONATION-ON CAMPUS</v>
      </c>
      <c r="C185" s="11"/>
      <c r="D185" s="8"/>
      <c r="E185" s="3"/>
      <c r="F185" s="7">
        <f t="shared" si="62"/>
        <v>0</v>
      </c>
      <c r="G185" s="3"/>
      <c r="H185" s="8">
        <v>925.42</v>
      </c>
      <c r="I185" s="3"/>
      <c r="J185" s="7">
        <f t="shared" si="63"/>
        <v>1.2812558084637339E-3</v>
      </c>
      <c r="K185" s="3"/>
      <c r="L185" s="8">
        <f t="shared" si="64"/>
        <v>-925.42</v>
      </c>
      <c r="M185" s="3"/>
      <c r="N185" s="7">
        <f t="shared" si="65"/>
        <v>-1</v>
      </c>
      <c r="O185" s="11"/>
      <c r="P185" s="8"/>
      <c r="Q185" s="3"/>
      <c r="R185" s="7">
        <f t="shared" si="66"/>
        <v>0</v>
      </c>
      <c r="S185" s="3"/>
      <c r="T185" s="8">
        <v>925.42</v>
      </c>
      <c r="U185" s="3"/>
      <c r="V185" s="7">
        <f t="shared" si="67"/>
        <v>1.2812558084637339E-3</v>
      </c>
      <c r="W185" s="3"/>
      <c r="X185" s="8">
        <f t="shared" si="68"/>
        <v>-925.42</v>
      </c>
      <c r="Y185" s="3"/>
      <c r="Z185" s="7">
        <f t="shared" si="69"/>
        <v>-1</v>
      </c>
    </row>
    <row r="186" spans="1:26" s="27" customFormat="1" outlineLevel="1" collapsed="1" x14ac:dyDescent="0.25">
      <c r="A186" s="28"/>
      <c r="B186" s="14" t="str">
        <f>CONCATENATE("     ","Employees' Appreciation                           ")</f>
        <v xml:space="preserve">     Employees' Appreciation                           </v>
      </c>
      <c r="C186" s="14"/>
      <c r="D186" s="1">
        <f>SUM(OSRRefD22_8x_0)</f>
        <v>107.7</v>
      </c>
      <c r="E186" s="1"/>
      <c r="F186" s="5">
        <f t="shared" si="62"/>
        <v>2.4722570067482286E-4</v>
      </c>
      <c r="G186" s="1"/>
      <c r="H186" s="1">
        <f>SUM(OSRRefH22_8x_0)</f>
        <v>393.54</v>
      </c>
      <c r="I186" s="1"/>
      <c r="J186" s="5">
        <f t="shared" si="63"/>
        <v>5.4486115586740926E-4</v>
      </c>
      <c r="K186" s="1"/>
      <c r="L186" s="1">
        <f t="shared" si="64"/>
        <v>-285.84000000000003</v>
      </c>
      <c r="M186" s="1"/>
      <c r="N186" s="5">
        <f t="shared" si="65"/>
        <v>-0.72633023326726642</v>
      </c>
      <c r="O186" s="14"/>
      <c r="P186" s="1">
        <f>SUM(OSRRefP22_8x_0)</f>
        <v>107.7</v>
      </c>
      <c r="Q186" s="1"/>
      <c r="R186" s="5">
        <f t="shared" si="66"/>
        <v>2.4722570067482286E-4</v>
      </c>
      <c r="S186" s="1"/>
      <c r="T186" s="1">
        <f>SUM(OSRRefT22_8x_0)</f>
        <v>393.54</v>
      </c>
      <c r="U186" s="1"/>
      <c r="V186" s="5">
        <f t="shared" si="67"/>
        <v>5.4486115586740926E-4</v>
      </c>
      <c r="W186" s="1"/>
      <c r="X186" s="1">
        <f t="shared" si="68"/>
        <v>-285.84000000000003</v>
      </c>
      <c r="Y186" s="1"/>
      <c r="Z186" s="5">
        <f t="shared" si="69"/>
        <v>-0.72633023326726642</v>
      </c>
    </row>
    <row r="187" spans="1:26" s="24" customFormat="1" hidden="1" outlineLevel="2" x14ac:dyDescent="0.25">
      <c r="A187" s="29"/>
      <c r="B187" s="11" t="str">
        <f>CONCATENATE("          ", "6277", " - ", "EMPLOYEE APPRECIATION")</f>
        <v xml:space="preserve">          6277 - EMPLOYEE APPRECIATION</v>
      </c>
      <c r="C187" s="11"/>
      <c r="D187" s="8">
        <v>107.7</v>
      </c>
      <c r="E187" s="3"/>
      <c r="F187" s="7">
        <f t="shared" si="62"/>
        <v>2.4722570067482286E-4</v>
      </c>
      <c r="G187" s="3"/>
      <c r="H187" s="8">
        <v>393.54</v>
      </c>
      <c r="I187" s="3"/>
      <c r="J187" s="7">
        <f t="shared" si="63"/>
        <v>5.4486115586740926E-4</v>
      </c>
      <c r="K187" s="3"/>
      <c r="L187" s="8">
        <f t="shared" si="64"/>
        <v>-285.84000000000003</v>
      </c>
      <c r="M187" s="3"/>
      <c r="N187" s="7">
        <f t="shared" si="65"/>
        <v>-0.72633023326726642</v>
      </c>
      <c r="O187" s="11"/>
      <c r="P187" s="8">
        <v>107.7</v>
      </c>
      <c r="Q187" s="3"/>
      <c r="R187" s="7">
        <f t="shared" si="66"/>
        <v>2.4722570067482286E-4</v>
      </c>
      <c r="S187" s="3"/>
      <c r="T187" s="8">
        <v>393.54</v>
      </c>
      <c r="U187" s="3"/>
      <c r="V187" s="7">
        <f t="shared" si="67"/>
        <v>5.4486115586740926E-4</v>
      </c>
      <c r="W187" s="3"/>
      <c r="X187" s="8">
        <f t="shared" si="68"/>
        <v>-285.84000000000003</v>
      </c>
      <c r="Y187" s="3"/>
      <c r="Z187" s="7">
        <f t="shared" si="69"/>
        <v>-0.72633023326726642</v>
      </c>
    </row>
    <row r="188" spans="1:26" s="27" customFormat="1" outlineLevel="1" collapsed="1" x14ac:dyDescent="0.25">
      <c r="A188" s="28"/>
      <c r="B188" s="14" t="str">
        <f>CONCATENATE("     ","Equipment Rental                                  ")</f>
        <v xml:space="preserve">     Equipment Rental                                  </v>
      </c>
      <c r="C188" s="14"/>
      <c r="D188" s="1">
        <f>SUM(OSRRefD22_9x_0)</f>
        <v>1388.16</v>
      </c>
      <c r="E188" s="1"/>
      <c r="F188" s="5">
        <f t="shared" si="62"/>
        <v>3.1865257998956553E-3</v>
      </c>
      <c r="G188" s="1"/>
      <c r="H188" s="1">
        <f>SUM(OSRRefH22_9x_0)</f>
        <v>1296.9000000000001</v>
      </c>
      <c r="I188" s="1"/>
      <c r="J188" s="5">
        <f t="shared" si="63"/>
        <v>1.7955746126046732E-3</v>
      </c>
      <c r="K188" s="1"/>
      <c r="L188" s="1">
        <f t="shared" si="64"/>
        <v>91.259999999999991</v>
      </c>
      <c r="M188" s="1"/>
      <c r="N188" s="5">
        <f t="shared" si="65"/>
        <v>7.03678001387925E-2</v>
      </c>
      <c r="O188" s="14"/>
      <c r="P188" s="1">
        <f>SUM(OSRRefP22_9x_0)</f>
        <v>1388.16</v>
      </c>
      <c r="Q188" s="1"/>
      <c r="R188" s="5">
        <f t="shared" si="66"/>
        <v>3.1865257998956553E-3</v>
      </c>
      <c r="S188" s="1"/>
      <c r="T188" s="1">
        <f>SUM(OSRRefT22_9x_0)</f>
        <v>1296.9000000000001</v>
      </c>
      <c r="U188" s="1"/>
      <c r="V188" s="5">
        <f t="shared" si="67"/>
        <v>1.7955746126046732E-3</v>
      </c>
      <c r="W188" s="1"/>
      <c r="X188" s="1">
        <f t="shared" si="68"/>
        <v>91.259999999999991</v>
      </c>
      <c r="Y188" s="1"/>
      <c r="Z188" s="5">
        <f t="shared" si="69"/>
        <v>7.03678001387925E-2</v>
      </c>
    </row>
    <row r="189" spans="1:26" s="24" customFormat="1" hidden="1" outlineLevel="2" x14ac:dyDescent="0.25">
      <c r="A189" s="29"/>
      <c r="B189" s="11" t="str">
        <f>CONCATENATE("          ", "6351", " - ", "EQUIPMENT RENTAL")</f>
        <v xml:space="preserve">          6351 - EQUIPMENT RENTAL</v>
      </c>
      <c r="C189" s="11"/>
      <c r="D189" s="8">
        <v>1388.16</v>
      </c>
      <c r="E189" s="3"/>
      <c r="F189" s="7">
        <f t="shared" si="62"/>
        <v>3.1865257998956553E-3</v>
      </c>
      <c r="G189" s="3"/>
      <c r="H189" s="8">
        <v>1296.9000000000001</v>
      </c>
      <c r="I189" s="3"/>
      <c r="J189" s="7">
        <f t="shared" si="63"/>
        <v>1.7955746126046732E-3</v>
      </c>
      <c r="K189" s="3"/>
      <c r="L189" s="8">
        <f t="shared" si="64"/>
        <v>91.259999999999991</v>
      </c>
      <c r="M189" s="3"/>
      <c r="N189" s="7">
        <f t="shared" si="65"/>
        <v>7.03678001387925E-2</v>
      </c>
      <c r="O189" s="11"/>
      <c r="P189" s="8">
        <v>1388.16</v>
      </c>
      <c r="Q189" s="3"/>
      <c r="R189" s="7">
        <f t="shared" si="66"/>
        <v>3.1865257998956553E-3</v>
      </c>
      <c r="S189" s="3"/>
      <c r="T189" s="8">
        <v>1296.9000000000001</v>
      </c>
      <c r="U189" s="3"/>
      <c r="V189" s="7">
        <f t="shared" si="67"/>
        <v>1.7955746126046732E-3</v>
      </c>
      <c r="W189" s="3"/>
      <c r="X189" s="8">
        <f t="shared" si="68"/>
        <v>91.259999999999991</v>
      </c>
      <c r="Y189" s="3"/>
      <c r="Z189" s="7">
        <f t="shared" si="69"/>
        <v>7.03678001387925E-2</v>
      </c>
    </row>
    <row r="190" spans="1:26" s="27" customFormat="1" outlineLevel="1" collapsed="1" x14ac:dyDescent="0.25">
      <c r="A190" s="28"/>
      <c r="B190" s="14" t="str">
        <f>CONCATENATE("     ","Freight out/Postage                               ")</f>
        <v xml:space="preserve">     Freight out/Postage                               </v>
      </c>
      <c r="C190" s="14"/>
      <c r="D190" s="1">
        <f>SUM(OSRRefD22_10x_0)</f>
        <v>8939.26</v>
      </c>
      <c r="E190" s="1"/>
      <c r="F190" s="5">
        <f t="shared" si="62"/>
        <v>2.0520100436531262E-2</v>
      </c>
      <c r="G190" s="1"/>
      <c r="H190" s="1">
        <f>SUM(OSRRefH22_10x_0)</f>
        <v>-2231.83</v>
      </c>
      <c r="I190" s="1"/>
      <c r="J190" s="5">
        <f t="shared" si="63"/>
        <v>-3.0899971375198455E-3</v>
      </c>
      <c r="K190" s="1"/>
      <c r="L190" s="1">
        <f t="shared" si="64"/>
        <v>11171.09</v>
      </c>
      <c r="M190" s="1"/>
      <c r="N190" s="5">
        <f t="shared" si="65"/>
        <v>-5.0053498698377563</v>
      </c>
      <c r="O190" s="14"/>
      <c r="P190" s="1">
        <f>SUM(OSRRefP22_10x_0)</f>
        <v>8939.26</v>
      </c>
      <c r="Q190" s="1"/>
      <c r="R190" s="5">
        <f t="shared" si="66"/>
        <v>2.0520100436531262E-2</v>
      </c>
      <c r="S190" s="1"/>
      <c r="T190" s="1">
        <f>SUM(OSRRefT22_10x_0)</f>
        <v>-2231.83</v>
      </c>
      <c r="U190" s="1"/>
      <c r="V190" s="5">
        <f t="shared" si="67"/>
        <v>-3.0899971375198455E-3</v>
      </c>
      <c r="W190" s="1"/>
      <c r="X190" s="1">
        <f t="shared" si="68"/>
        <v>11171.09</v>
      </c>
      <c r="Y190" s="1"/>
      <c r="Z190" s="5">
        <f t="shared" si="69"/>
        <v>-5.0053498698377563</v>
      </c>
    </row>
    <row r="191" spans="1:26" s="24" customFormat="1" hidden="1" outlineLevel="2" x14ac:dyDescent="0.25">
      <c r="A191" s="29"/>
      <c r="B191" s="11" t="str">
        <f>CONCATENATE("          ", "6305", " - ", "FREIGHT OUT")</f>
        <v xml:space="preserve">          6305 - FREIGHT OUT</v>
      </c>
      <c r="C191" s="11"/>
      <c r="D191" s="8">
        <v>12094.7</v>
      </c>
      <c r="E191" s="3"/>
      <c r="F191" s="7">
        <f t="shared" si="62"/>
        <v>2.7763423230750046E-2</v>
      </c>
      <c r="G191" s="3"/>
      <c r="H191" s="8">
        <v>1417.72</v>
      </c>
      <c r="I191" s="3"/>
      <c r="J191" s="7">
        <f t="shared" si="63"/>
        <v>1.9628514455870901E-3</v>
      </c>
      <c r="K191" s="3"/>
      <c r="L191" s="8">
        <f t="shared" si="64"/>
        <v>10676.980000000001</v>
      </c>
      <c r="M191" s="3"/>
      <c r="N191" s="7">
        <f t="shared" si="65"/>
        <v>7.5310921761701897</v>
      </c>
      <c r="O191" s="11"/>
      <c r="P191" s="8">
        <v>12094.7</v>
      </c>
      <c r="Q191" s="3"/>
      <c r="R191" s="7">
        <f t="shared" si="66"/>
        <v>2.7763423230750046E-2</v>
      </c>
      <c r="S191" s="3"/>
      <c r="T191" s="8">
        <v>1417.72</v>
      </c>
      <c r="U191" s="3"/>
      <c r="V191" s="7">
        <f t="shared" si="67"/>
        <v>1.9628514455870901E-3</v>
      </c>
      <c r="W191" s="3"/>
      <c r="X191" s="8">
        <f t="shared" si="68"/>
        <v>10676.980000000001</v>
      </c>
      <c r="Y191" s="3"/>
      <c r="Z191" s="7">
        <f t="shared" si="69"/>
        <v>7.5310921761701897</v>
      </c>
    </row>
    <row r="192" spans="1:26" s="24" customFormat="1" hidden="1" outlineLevel="2" x14ac:dyDescent="0.25">
      <c r="A192" s="29"/>
      <c r="B192" s="11" t="str">
        <f>CONCATENATE("          ", "6307", " - ", "POSTAGE")</f>
        <v xml:space="preserve">          6307 - POSTAGE</v>
      </c>
      <c r="C192" s="11"/>
      <c r="D192" s="8">
        <v>-3155.44</v>
      </c>
      <c r="E192" s="3"/>
      <c r="F192" s="7">
        <f t="shared" si="62"/>
        <v>-7.2433227942187836E-3</v>
      </c>
      <c r="G192" s="3"/>
      <c r="H192" s="8">
        <v>-3649.55</v>
      </c>
      <c r="I192" s="3"/>
      <c r="J192" s="7">
        <f t="shared" si="63"/>
        <v>-5.0528485831069364E-3</v>
      </c>
      <c r="K192" s="3"/>
      <c r="L192" s="8">
        <f t="shared" si="64"/>
        <v>494.11000000000013</v>
      </c>
      <c r="M192" s="3"/>
      <c r="N192" s="7">
        <f t="shared" si="65"/>
        <v>-0.13538929457056353</v>
      </c>
      <c r="O192" s="11"/>
      <c r="P192" s="8">
        <v>-3155.44</v>
      </c>
      <c r="Q192" s="3"/>
      <c r="R192" s="7">
        <f t="shared" si="66"/>
        <v>-7.2433227942187836E-3</v>
      </c>
      <c r="S192" s="3"/>
      <c r="T192" s="8">
        <v>-3649.55</v>
      </c>
      <c r="U192" s="3"/>
      <c r="V192" s="7">
        <f t="shared" si="67"/>
        <v>-5.0528485831069364E-3</v>
      </c>
      <c r="W192" s="3"/>
      <c r="X192" s="8">
        <f t="shared" si="68"/>
        <v>494.11000000000013</v>
      </c>
      <c r="Y192" s="3"/>
      <c r="Z192" s="7">
        <f t="shared" si="69"/>
        <v>-0.13538929457056353</v>
      </c>
    </row>
    <row r="193" spans="1:26" s="27" customFormat="1" outlineLevel="1" collapsed="1" x14ac:dyDescent="0.25">
      <c r="A193" s="28"/>
      <c r="B193" s="14" t="str">
        <f>CONCATENATE("     ","General                                           ")</f>
        <v xml:space="preserve">     General                                           </v>
      </c>
      <c r="C193" s="14"/>
      <c r="D193" s="1">
        <f>SUM(OSRRefD22_11x_0)</f>
        <v>-3350.24</v>
      </c>
      <c r="E193" s="1"/>
      <c r="F193" s="5">
        <f t="shared" ref="F193:F206" si="70">IF(D$12=0,0,D193/D$12)</f>
        <v>-7.6904868284941351E-3</v>
      </c>
      <c r="G193" s="1"/>
      <c r="H193" s="1">
        <f>SUM(OSRRefH22_11x_0)</f>
        <v>776.18</v>
      </c>
      <c r="I193" s="1"/>
      <c r="J193" s="5">
        <f t="shared" ref="J193:J206" si="71">IF(H$12=0,0,H193/H$12)</f>
        <v>1.0746311225318028E-3</v>
      </c>
      <c r="K193" s="1"/>
      <c r="L193" s="1">
        <f t="shared" ref="L193:L206" si="72">+D193-H193</f>
        <v>-4126.42</v>
      </c>
      <c r="M193" s="1"/>
      <c r="N193" s="5">
        <f t="shared" ref="N193:N206" si="73">IF(H193=0,0,L193/H193)</f>
        <v>-5.3163183797572735</v>
      </c>
      <c r="O193" s="14"/>
      <c r="P193" s="1">
        <f>SUM(OSRRefP22_11x_0)</f>
        <v>-3350.24</v>
      </c>
      <c r="Q193" s="1"/>
      <c r="R193" s="5">
        <f t="shared" ref="R193:R206" si="74">IF(P$12=0,0,P193/P$12)</f>
        <v>-7.6904868284941351E-3</v>
      </c>
      <c r="S193" s="1"/>
      <c r="T193" s="1">
        <f>SUM(OSRRefT22_11x_0)</f>
        <v>776.18</v>
      </c>
      <c r="U193" s="1"/>
      <c r="V193" s="5">
        <f t="shared" ref="V193:V206" si="75">IF(T$12=0,0,T193/T$12)</f>
        <v>1.0746311225318028E-3</v>
      </c>
      <c r="W193" s="1"/>
      <c r="X193" s="1">
        <f t="shared" ref="X193:X206" si="76">+P193-T193</f>
        <v>-4126.42</v>
      </c>
      <c r="Y193" s="1"/>
      <c r="Z193" s="5">
        <f t="shared" ref="Z193:Z206" si="77">IF(T193=0,0,X193/T193)</f>
        <v>-5.3163183797572735</v>
      </c>
    </row>
    <row r="194" spans="1:26" s="24" customFormat="1" hidden="1" outlineLevel="2" x14ac:dyDescent="0.25">
      <c r="A194" s="29"/>
      <c r="B194" s="11" t="str">
        <f>CONCATENATE("          ", "6279", " - ", "GENERAL EXPENSE")</f>
        <v xml:space="preserve">          6279 - GENERAL EXPENSE</v>
      </c>
      <c r="C194" s="11"/>
      <c r="D194" s="8">
        <v>-3350.24</v>
      </c>
      <c r="E194" s="3"/>
      <c r="F194" s="7">
        <f t="shared" si="70"/>
        <v>-7.6904868284941351E-3</v>
      </c>
      <c r="G194" s="3"/>
      <c r="H194" s="8">
        <v>776.18</v>
      </c>
      <c r="I194" s="3"/>
      <c r="J194" s="7">
        <f t="shared" si="71"/>
        <v>1.0746311225318028E-3</v>
      </c>
      <c r="K194" s="3"/>
      <c r="L194" s="8">
        <f t="shared" si="72"/>
        <v>-4126.42</v>
      </c>
      <c r="M194" s="3"/>
      <c r="N194" s="7">
        <f t="shared" si="73"/>
        <v>-5.3163183797572735</v>
      </c>
      <c r="O194" s="11"/>
      <c r="P194" s="8">
        <v>-3350.24</v>
      </c>
      <c r="Q194" s="3"/>
      <c r="R194" s="7">
        <f t="shared" si="74"/>
        <v>-7.6904868284941351E-3</v>
      </c>
      <c r="S194" s="3"/>
      <c r="T194" s="8">
        <v>776.18</v>
      </c>
      <c r="U194" s="3"/>
      <c r="V194" s="7">
        <f t="shared" si="75"/>
        <v>1.0746311225318028E-3</v>
      </c>
      <c r="W194" s="3"/>
      <c r="X194" s="8">
        <f t="shared" si="76"/>
        <v>-4126.42</v>
      </c>
      <c r="Y194" s="3"/>
      <c r="Z194" s="7">
        <f t="shared" si="77"/>
        <v>-5.3163183797572735</v>
      </c>
    </row>
    <row r="195" spans="1:26" s="27" customFormat="1" outlineLevel="1" collapsed="1" x14ac:dyDescent="0.25">
      <c r="A195" s="28"/>
      <c r="B195" s="14" t="str">
        <f>CONCATENATE("     ","Insurance                                         ")</f>
        <v xml:space="preserve">     Insurance                                         </v>
      </c>
      <c r="C195" s="14"/>
      <c r="D195" s="1">
        <f>SUM(OSRRefD22_12x_0)</f>
        <v>4044.74</v>
      </c>
      <c r="E195" s="1"/>
      <c r="F195" s="5">
        <f t="shared" si="70"/>
        <v>9.2847138398094962E-3</v>
      </c>
      <c r="G195" s="1"/>
      <c r="H195" s="1">
        <f>SUM(OSRRefH22_12x_0)</f>
        <v>4044.74</v>
      </c>
      <c r="I195" s="1"/>
      <c r="J195" s="5">
        <f t="shared" si="71"/>
        <v>5.5999941850463607E-3</v>
      </c>
      <c r="K195" s="1"/>
      <c r="L195" s="1">
        <f t="shared" si="72"/>
        <v>0</v>
      </c>
      <c r="M195" s="1"/>
      <c r="N195" s="5">
        <f t="shared" si="73"/>
        <v>0</v>
      </c>
      <c r="O195" s="14"/>
      <c r="P195" s="1">
        <f>SUM(OSRRefP22_12x_0)</f>
        <v>4044.74</v>
      </c>
      <c r="Q195" s="1"/>
      <c r="R195" s="5">
        <f t="shared" si="74"/>
        <v>9.2847138398094962E-3</v>
      </c>
      <c r="S195" s="1"/>
      <c r="T195" s="1">
        <f>SUM(OSRRefT22_12x_0)</f>
        <v>4044.74</v>
      </c>
      <c r="U195" s="1"/>
      <c r="V195" s="5">
        <f t="shared" si="75"/>
        <v>5.5999941850463607E-3</v>
      </c>
      <c r="W195" s="1"/>
      <c r="X195" s="1">
        <f t="shared" si="76"/>
        <v>0</v>
      </c>
      <c r="Y195" s="1"/>
      <c r="Z195" s="5">
        <f t="shared" si="77"/>
        <v>0</v>
      </c>
    </row>
    <row r="196" spans="1:26" s="24" customFormat="1" hidden="1" outlineLevel="2" x14ac:dyDescent="0.25">
      <c r="A196" s="29"/>
      <c r="B196" s="11" t="str">
        <f>CONCATENATE("          ", "6314", " - ", "LIABILITY INSURANCE")</f>
        <v xml:space="preserve">          6314 - LIABILITY INSURANCE</v>
      </c>
      <c r="C196" s="11"/>
      <c r="D196" s="8">
        <v>4044.74</v>
      </c>
      <c r="E196" s="3"/>
      <c r="F196" s="7">
        <f t="shared" si="70"/>
        <v>9.2847138398094962E-3</v>
      </c>
      <c r="G196" s="3"/>
      <c r="H196" s="8">
        <v>4044.74</v>
      </c>
      <c r="I196" s="3"/>
      <c r="J196" s="7">
        <f t="shared" si="71"/>
        <v>5.5999941850463607E-3</v>
      </c>
      <c r="K196" s="3"/>
      <c r="L196" s="8">
        <f t="shared" si="72"/>
        <v>0</v>
      </c>
      <c r="M196" s="3"/>
      <c r="N196" s="7">
        <f t="shared" si="73"/>
        <v>0</v>
      </c>
      <c r="O196" s="11"/>
      <c r="P196" s="8">
        <v>4044.74</v>
      </c>
      <c r="Q196" s="3"/>
      <c r="R196" s="7">
        <f t="shared" si="74"/>
        <v>9.2847138398094962E-3</v>
      </c>
      <c r="S196" s="3"/>
      <c r="T196" s="8">
        <v>4044.74</v>
      </c>
      <c r="U196" s="3"/>
      <c r="V196" s="7">
        <f t="shared" si="75"/>
        <v>5.5999941850463607E-3</v>
      </c>
      <c r="W196" s="3"/>
      <c r="X196" s="8">
        <f t="shared" si="76"/>
        <v>0</v>
      </c>
      <c r="Y196" s="3"/>
      <c r="Z196" s="7">
        <f t="shared" si="77"/>
        <v>0</v>
      </c>
    </row>
    <row r="197" spans="1:26" s="27" customFormat="1" outlineLevel="1" collapsed="1" x14ac:dyDescent="0.25">
      <c r="A197" s="28"/>
      <c r="B197" s="14" t="str">
        <f>CONCATENATE("     ","Inventory Adjustment                              ")</f>
        <v xml:space="preserve">     Inventory Adjustment                              </v>
      </c>
      <c r="C197" s="14"/>
      <c r="D197" s="1">
        <f>SUM(OSRRefD22_13x_0)</f>
        <v>3350</v>
      </c>
      <c r="E197" s="1"/>
      <c r="F197" s="5">
        <f t="shared" si="70"/>
        <v>7.6899359077126882E-3</v>
      </c>
      <c r="G197" s="1"/>
      <c r="H197" s="1">
        <f>SUM(OSRRefH22_13x_0)</f>
        <v>4150</v>
      </c>
      <c r="I197" s="1"/>
      <c r="J197" s="5">
        <f t="shared" si="71"/>
        <v>5.7457279993132805E-3</v>
      </c>
      <c r="K197" s="1"/>
      <c r="L197" s="1">
        <f t="shared" si="72"/>
        <v>-800</v>
      </c>
      <c r="M197" s="1"/>
      <c r="N197" s="5">
        <f t="shared" si="73"/>
        <v>-0.19277108433734941</v>
      </c>
      <c r="O197" s="14"/>
      <c r="P197" s="1">
        <f>SUM(OSRRefP22_13x_0)</f>
        <v>3350</v>
      </c>
      <c r="Q197" s="1"/>
      <c r="R197" s="5">
        <f t="shared" si="74"/>
        <v>7.6899359077126882E-3</v>
      </c>
      <c r="S197" s="1"/>
      <c r="T197" s="1">
        <f>SUM(OSRRefT22_13x_0)</f>
        <v>4150</v>
      </c>
      <c r="U197" s="1"/>
      <c r="V197" s="5">
        <f t="shared" si="75"/>
        <v>5.7457279993132805E-3</v>
      </c>
      <c r="W197" s="1"/>
      <c r="X197" s="1">
        <f t="shared" si="76"/>
        <v>-800</v>
      </c>
      <c r="Y197" s="1"/>
      <c r="Z197" s="5">
        <f t="shared" si="77"/>
        <v>-0.19277108433734941</v>
      </c>
    </row>
    <row r="198" spans="1:26" s="24" customFormat="1" hidden="1" outlineLevel="2" x14ac:dyDescent="0.25">
      <c r="A198" s="29"/>
      <c r="B198" s="11" t="str">
        <f>CONCATENATE("          ", "6408", " - ", "INVENTORY ADJUSTMENT")</f>
        <v xml:space="preserve">          6408 - INVENTORY ADJUSTMENT</v>
      </c>
      <c r="C198" s="11"/>
      <c r="D198" s="8">
        <v>3350</v>
      </c>
      <c r="E198" s="3"/>
      <c r="F198" s="7">
        <f t="shared" si="70"/>
        <v>7.6899359077126882E-3</v>
      </c>
      <c r="G198" s="3"/>
      <c r="H198" s="8">
        <v>4150</v>
      </c>
      <c r="I198" s="3"/>
      <c r="J198" s="7">
        <f t="shared" si="71"/>
        <v>5.7457279993132805E-3</v>
      </c>
      <c r="K198" s="3"/>
      <c r="L198" s="8">
        <f t="shared" si="72"/>
        <v>-800</v>
      </c>
      <c r="M198" s="3"/>
      <c r="N198" s="7">
        <f t="shared" si="73"/>
        <v>-0.19277108433734941</v>
      </c>
      <c r="O198" s="11"/>
      <c r="P198" s="8">
        <v>3350</v>
      </c>
      <c r="Q198" s="3"/>
      <c r="R198" s="7">
        <f t="shared" si="74"/>
        <v>7.6899359077126882E-3</v>
      </c>
      <c r="S198" s="3"/>
      <c r="T198" s="8">
        <v>4150</v>
      </c>
      <c r="U198" s="3"/>
      <c r="V198" s="7">
        <f t="shared" si="75"/>
        <v>5.7457279993132805E-3</v>
      </c>
      <c r="W198" s="3"/>
      <c r="X198" s="8">
        <f t="shared" si="76"/>
        <v>-800</v>
      </c>
      <c r="Y198" s="3"/>
      <c r="Z198" s="7">
        <f t="shared" si="77"/>
        <v>-0.19277108433734941</v>
      </c>
    </row>
    <row r="199" spans="1:26" s="27" customFormat="1" outlineLevel="1" collapsed="1" x14ac:dyDescent="0.25">
      <c r="A199" s="28"/>
      <c r="B199" s="14" t="str">
        <f>CONCATENATE("     ","Professional Services                             ")</f>
        <v xml:space="preserve">     Professional Services                             </v>
      </c>
      <c r="C199" s="14"/>
      <c r="D199" s="1">
        <f>SUM(OSRRefD22_14x_0)</f>
        <v>0</v>
      </c>
      <c r="E199" s="1"/>
      <c r="F199" s="5">
        <f t="shared" si="70"/>
        <v>0</v>
      </c>
      <c r="G199" s="1"/>
      <c r="H199" s="1">
        <f>SUM(OSRRefH22_14x_0)</f>
        <v>6158.41</v>
      </c>
      <c r="I199" s="1"/>
      <c r="J199" s="5">
        <f t="shared" si="71"/>
        <v>8.526397293554434E-3</v>
      </c>
      <c r="K199" s="1"/>
      <c r="L199" s="1">
        <f t="shared" si="72"/>
        <v>-6158.41</v>
      </c>
      <c r="M199" s="1"/>
      <c r="N199" s="5">
        <f t="shared" si="73"/>
        <v>-1</v>
      </c>
      <c r="O199" s="14"/>
      <c r="P199" s="1">
        <f>SUM(OSRRefP22_14x_0)</f>
        <v>0</v>
      </c>
      <c r="Q199" s="1"/>
      <c r="R199" s="5">
        <f t="shared" si="74"/>
        <v>0</v>
      </c>
      <c r="S199" s="1"/>
      <c r="T199" s="1">
        <f>SUM(OSRRefT22_14x_0)</f>
        <v>6158.41</v>
      </c>
      <c r="U199" s="1"/>
      <c r="V199" s="5">
        <f t="shared" si="75"/>
        <v>8.526397293554434E-3</v>
      </c>
      <c r="W199" s="1"/>
      <c r="X199" s="1">
        <f t="shared" si="76"/>
        <v>-6158.41</v>
      </c>
      <c r="Y199" s="1"/>
      <c r="Z199" s="5">
        <f t="shared" si="77"/>
        <v>-1</v>
      </c>
    </row>
    <row r="200" spans="1:26" s="24" customFormat="1" hidden="1" outlineLevel="2" x14ac:dyDescent="0.25">
      <c r="A200" s="29"/>
      <c r="B200" s="11" t="str">
        <f>CONCATENATE("          ", "6336", " - ", "PROFESSIONAL SERVICES")</f>
        <v xml:space="preserve">          6336 - PROFESSIONAL SERVICES</v>
      </c>
      <c r="C200" s="11"/>
      <c r="D200" s="8"/>
      <c r="E200" s="3"/>
      <c r="F200" s="7">
        <f t="shared" si="70"/>
        <v>0</v>
      </c>
      <c r="G200" s="3"/>
      <c r="H200" s="8">
        <v>6158.41</v>
      </c>
      <c r="I200" s="3"/>
      <c r="J200" s="7">
        <f t="shared" si="71"/>
        <v>8.526397293554434E-3</v>
      </c>
      <c r="K200" s="3"/>
      <c r="L200" s="8">
        <f t="shared" si="72"/>
        <v>-6158.41</v>
      </c>
      <c r="M200" s="3"/>
      <c r="N200" s="7">
        <f t="shared" si="73"/>
        <v>-1</v>
      </c>
      <c r="O200" s="11"/>
      <c r="P200" s="8"/>
      <c r="Q200" s="3"/>
      <c r="R200" s="7">
        <f t="shared" si="74"/>
        <v>0</v>
      </c>
      <c r="S200" s="3"/>
      <c r="T200" s="8">
        <v>6158.41</v>
      </c>
      <c r="U200" s="3"/>
      <c r="V200" s="7">
        <f t="shared" si="75"/>
        <v>8.526397293554434E-3</v>
      </c>
      <c r="W200" s="3"/>
      <c r="X200" s="8">
        <f t="shared" si="76"/>
        <v>-6158.41</v>
      </c>
      <c r="Y200" s="3"/>
      <c r="Z200" s="7">
        <f t="shared" si="77"/>
        <v>-1</v>
      </c>
    </row>
    <row r="201" spans="1:26" s="27" customFormat="1" outlineLevel="1" collapsed="1" x14ac:dyDescent="0.25">
      <c r="A201" s="28"/>
      <c r="B201" s="14" t="str">
        <f>CONCATENATE("     ","Rent                                              ")</f>
        <v xml:space="preserve">     Rent                                              </v>
      </c>
      <c r="C201" s="14"/>
      <c r="D201" s="1">
        <f>SUM(OSRRefD22_15x_0)</f>
        <v>6100</v>
      </c>
      <c r="E201" s="1"/>
      <c r="F201" s="5">
        <f t="shared" si="70"/>
        <v>1.4002569861805193E-2</v>
      </c>
      <c r="G201" s="1"/>
      <c r="H201" s="1">
        <f>SUM(OSRRefH22_15x_0)</f>
        <v>6100</v>
      </c>
      <c r="I201" s="1"/>
      <c r="J201" s="5">
        <f t="shared" si="71"/>
        <v>8.4455279026050632E-3</v>
      </c>
      <c r="K201" s="1"/>
      <c r="L201" s="1">
        <f t="shared" si="72"/>
        <v>0</v>
      </c>
      <c r="M201" s="1"/>
      <c r="N201" s="5">
        <f t="shared" si="73"/>
        <v>0</v>
      </c>
      <c r="O201" s="14"/>
      <c r="P201" s="1">
        <f>SUM(OSRRefP22_15x_0)</f>
        <v>6100</v>
      </c>
      <c r="Q201" s="1"/>
      <c r="R201" s="5">
        <f t="shared" si="74"/>
        <v>1.4002569861805193E-2</v>
      </c>
      <c r="S201" s="1"/>
      <c r="T201" s="1">
        <f>SUM(OSRRefT22_15x_0)</f>
        <v>6100</v>
      </c>
      <c r="U201" s="1"/>
      <c r="V201" s="5">
        <f t="shared" si="75"/>
        <v>8.4455279026050632E-3</v>
      </c>
      <c r="W201" s="1"/>
      <c r="X201" s="1">
        <f t="shared" si="76"/>
        <v>0</v>
      </c>
      <c r="Y201" s="1"/>
      <c r="Z201" s="5">
        <f t="shared" si="77"/>
        <v>0</v>
      </c>
    </row>
    <row r="202" spans="1:26" s="24" customFormat="1" hidden="1" outlineLevel="2" x14ac:dyDescent="0.25">
      <c r="A202" s="29"/>
      <c r="B202" s="11" t="str">
        <f>CONCATENATE("          ", "6273", " - ", "RENT")</f>
        <v xml:space="preserve">          6273 - RENT</v>
      </c>
      <c r="C202" s="11"/>
      <c r="D202" s="8">
        <v>6100</v>
      </c>
      <c r="E202" s="3"/>
      <c r="F202" s="7">
        <f t="shared" si="70"/>
        <v>1.4002569861805193E-2</v>
      </c>
      <c r="G202" s="3"/>
      <c r="H202" s="8">
        <v>6100</v>
      </c>
      <c r="I202" s="3"/>
      <c r="J202" s="7">
        <f t="shared" si="71"/>
        <v>8.4455279026050632E-3</v>
      </c>
      <c r="K202" s="3"/>
      <c r="L202" s="8">
        <f t="shared" si="72"/>
        <v>0</v>
      </c>
      <c r="M202" s="3"/>
      <c r="N202" s="7">
        <f t="shared" si="73"/>
        <v>0</v>
      </c>
      <c r="O202" s="11"/>
      <c r="P202" s="8">
        <v>6100</v>
      </c>
      <c r="Q202" s="3"/>
      <c r="R202" s="7">
        <f t="shared" si="74"/>
        <v>1.4002569861805193E-2</v>
      </c>
      <c r="S202" s="3"/>
      <c r="T202" s="8">
        <v>6100</v>
      </c>
      <c r="U202" s="3"/>
      <c r="V202" s="7">
        <f t="shared" si="75"/>
        <v>8.4455279026050632E-3</v>
      </c>
      <c r="W202" s="3"/>
      <c r="X202" s="8">
        <f t="shared" si="76"/>
        <v>0</v>
      </c>
      <c r="Y202" s="3"/>
      <c r="Z202" s="7">
        <f t="shared" si="77"/>
        <v>0</v>
      </c>
    </row>
    <row r="203" spans="1:26" s="27" customFormat="1" outlineLevel="1" collapsed="1" x14ac:dyDescent="0.25">
      <c r="A203" s="28"/>
      <c r="B203" s="14" t="str">
        <f>CONCATENATE("     ","Repair and Maintenance                            ")</f>
        <v xml:space="preserve">     Repair and Maintenance                            </v>
      </c>
      <c r="C203" s="14"/>
      <c r="D203" s="1">
        <f>SUM(OSRRefD22_16x_0)</f>
        <v>66347.77</v>
      </c>
      <c r="E203" s="1"/>
      <c r="F203" s="5">
        <f t="shared" si="70"/>
        <v>0.15230152206557093</v>
      </c>
      <c r="G203" s="1"/>
      <c r="H203" s="1">
        <f>SUM(OSRRefH22_16x_0)</f>
        <v>22745.309999999998</v>
      </c>
      <c r="I203" s="1"/>
      <c r="J203" s="5">
        <f t="shared" si="71"/>
        <v>3.1491172173508518E-2</v>
      </c>
      <c r="K203" s="1"/>
      <c r="L203" s="1">
        <f t="shared" si="72"/>
        <v>43602.460000000006</v>
      </c>
      <c r="M203" s="1"/>
      <c r="N203" s="5">
        <f t="shared" si="73"/>
        <v>1.9169868425622694</v>
      </c>
      <c r="O203" s="14"/>
      <c r="P203" s="1">
        <f>SUM(OSRRefP22_16x_0)</f>
        <v>66347.77</v>
      </c>
      <c r="Q203" s="1"/>
      <c r="R203" s="5">
        <f t="shared" si="74"/>
        <v>0.15230152206557093</v>
      </c>
      <c r="S203" s="1"/>
      <c r="T203" s="1">
        <f>SUM(OSRRefT22_16x_0)</f>
        <v>22745.309999999998</v>
      </c>
      <c r="U203" s="1"/>
      <c r="V203" s="5">
        <f t="shared" si="75"/>
        <v>3.1491172173508518E-2</v>
      </c>
      <c r="W203" s="1"/>
      <c r="X203" s="1">
        <f t="shared" si="76"/>
        <v>43602.460000000006</v>
      </c>
      <c r="Y203" s="1"/>
      <c r="Z203" s="5">
        <f t="shared" si="77"/>
        <v>1.9169868425622694</v>
      </c>
    </row>
    <row r="204" spans="1:26" s="24" customFormat="1" hidden="1" outlineLevel="2" x14ac:dyDescent="0.25">
      <c r="A204" s="29"/>
      <c r="B204" s="11" t="str">
        <f>CONCATENATE("          ", "6371", " - ", "COMPUTER SOFTWARE MAINTENANCE")</f>
        <v xml:space="preserve">          6371 - COMPUTER SOFTWARE MAINTENANCE</v>
      </c>
      <c r="C204" s="11"/>
      <c r="D204" s="8">
        <v>58428.780000000006</v>
      </c>
      <c r="E204" s="3"/>
      <c r="F204" s="7">
        <f t="shared" si="70"/>
        <v>0.13412345473607312</v>
      </c>
      <c r="G204" s="3"/>
      <c r="H204" s="8">
        <v>601</v>
      </c>
      <c r="I204" s="3"/>
      <c r="J204" s="7">
        <f t="shared" si="71"/>
        <v>8.3209217532223653E-4</v>
      </c>
      <c r="K204" s="3"/>
      <c r="L204" s="8">
        <f t="shared" si="72"/>
        <v>57827.780000000006</v>
      </c>
      <c r="M204" s="3"/>
      <c r="N204" s="7">
        <f t="shared" si="73"/>
        <v>96.219267886855249</v>
      </c>
      <c r="O204" s="11"/>
      <c r="P204" s="8">
        <v>58428.780000000006</v>
      </c>
      <c r="Q204" s="3"/>
      <c r="R204" s="7">
        <f t="shared" si="74"/>
        <v>0.13412345473607312</v>
      </c>
      <c r="S204" s="3"/>
      <c r="T204" s="8">
        <v>601</v>
      </c>
      <c r="U204" s="3"/>
      <c r="V204" s="7">
        <f t="shared" si="75"/>
        <v>8.3209217532223653E-4</v>
      </c>
      <c r="W204" s="3"/>
      <c r="X204" s="8">
        <f t="shared" si="76"/>
        <v>57827.780000000006</v>
      </c>
      <c r="Y204" s="3"/>
      <c r="Z204" s="7">
        <f t="shared" si="77"/>
        <v>96.219267886855249</v>
      </c>
    </row>
    <row r="205" spans="1:26" s="24" customFormat="1" hidden="1" outlineLevel="2" x14ac:dyDescent="0.25">
      <c r="A205" s="29"/>
      <c r="B205" s="11" t="str">
        <f>CONCATENATE("          ", "6373", " - ", "MAINTENANCE CONTRACTS")</f>
        <v xml:space="preserve">          6373 - MAINTENANCE CONTRACTS</v>
      </c>
      <c r="C205" s="11"/>
      <c r="D205" s="8">
        <v>6416.01</v>
      </c>
      <c r="E205" s="3"/>
      <c r="F205" s="7">
        <f t="shared" si="70"/>
        <v>1.4727971845744384E-2</v>
      </c>
      <c r="G205" s="3"/>
      <c r="H205" s="8">
        <v>6478.86</v>
      </c>
      <c r="I205" s="3"/>
      <c r="J205" s="7">
        <f t="shared" si="71"/>
        <v>8.9700644109953834E-3</v>
      </c>
      <c r="K205" s="3"/>
      <c r="L205" s="8">
        <f t="shared" si="72"/>
        <v>-62.849999999999454</v>
      </c>
      <c r="M205" s="3"/>
      <c r="N205" s="7">
        <f t="shared" si="73"/>
        <v>-9.7007806928995927E-3</v>
      </c>
      <c r="O205" s="11"/>
      <c r="P205" s="8">
        <v>6416.01</v>
      </c>
      <c r="Q205" s="3"/>
      <c r="R205" s="7">
        <f t="shared" si="74"/>
        <v>1.4727971845744384E-2</v>
      </c>
      <c r="S205" s="3"/>
      <c r="T205" s="8">
        <v>6478.86</v>
      </c>
      <c r="U205" s="3"/>
      <c r="V205" s="7">
        <f t="shared" si="75"/>
        <v>8.9700644109953834E-3</v>
      </c>
      <c r="W205" s="3"/>
      <c r="X205" s="8">
        <f t="shared" si="76"/>
        <v>-62.849999999999454</v>
      </c>
      <c r="Y205" s="3"/>
      <c r="Z205" s="7">
        <f t="shared" si="77"/>
        <v>-9.7007806928995927E-3</v>
      </c>
    </row>
    <row r="206" spans="1:26" s="24" customFormat="1" hidden="1" outlineLevel="2" x14ac:dyDescent="0.25">
      <c r="A206" s="29"/>
      <c r="B206" s="11" t="str">
        <f>CONCATENATE("          ", "6375", " - ", "OUTSIDE REPAIRS &amp; MAINTENANCE")</f>
        <v xml:space="preserve">          6375 - OUTSIDE REPAIRS &amp; MAINTENANCE</v>
      </c>
      <c r="C206" s="11"/>
      <c r="D206" s="8">
        <v>1502.98</v>
      </c>
      <c r="E206" s="3"/>
      <c r="F206" s="7">
        <f t="shared" si="70"/>
        <v>3.4500954837534373E-3</v>
      </c>
      <c r="G206" s="3"/>
      <c r="H206" s="8">
        <v>15665.449999999999</v>
      </c>
      <c r="I206" s="3"/>
      <c r="J206" s="7">
        <f t="shared" si="71"/>
        <v>2.1689015587190899E-2</v>
      </c>
      <c r="K206" s="3"/>
      <c r="L206" s="8">
        <f t="shared" si="72"/>
        <v>-14162.47</v>
      </c>
      <c r="M206" s="3"/>
      <c r="N206" s="7">
        <f t="shared" si="73"/>
        <v>-0.90405765554133466</v>
      </c>
      <c r="O206" s="11"/>
      <c r="P206" s="8">
        <v>1502.98</v>
      </c>
      <c r="Q206" s="3"/>
      <c r="R206" s="7">
        <f t="shared" si="74"/>
        <v>3.4500954837534373E-3</v>
      </c>
      <c r="S206" s="3"/>
      <c r="T206" s="8">
        <v>15665.449999999999</v>
      </c>
      <c r="U206" s="3"/>
      <c r="V206" s="7">
        <f t="shared" si="75"/>
        <v>2.1689015587190899E-2</v>
      </c>
      <c r="W206" s="3"/>
      <c r="X206" s="8">
        <f t="shared" si="76"/>
        <v>-14162.47</v>
      </c>
      <c r="Y206" s="3"/>
      <c r="Z206" s="7">
        <f t="shared" si="77"/>
        <v>-0.90405765554133466</v>
      </c>
    </row>
    <row r="207" spans="1:26" s="27" customFormat="1" outlineLevel="1" collapsed="1" x14ac:dyDescent="0.25">
      <c r="A207" s="28"/>
      <c r="B207" s="14" t="str">
        <f>CONCATENATE("     ","Royalty &amp; Commissions                             ")</f>
        <v xml:space="preserve">     Royalty &amp; Commissions                             </v>
      </c>
      <c r="C207" s="14"/>
      <c r="D207" s="1">
        <f>SUM(OSRRefD22_17x_0)</f>
        <v>10989.75</v>
      </c>
      <c r="E207" s="1"/>
      <c r="F207" s="5">
        <f t="shared" ref="F207:F210" si="78">IF(D$12=0,0,D207/D$12)</f>
        <v>2.5227006907995675E-2</v>
      </c>
      <c r="G207" s="1"/>
      <c r="H207" s="1">
        <f>SUM(OSRRefH22_17x_0)</f>
        <v>5086.05</v>
      </c>
      <c r="I207" s="1"/>
      <c r="J207" s="5">
        <f t="shared" ref="J207:J210" si="79">IF(H$12=0,0,H207/H$12)</f>
        <v>7.0417011785318829E-3</v>
      </c>
      <c r="K207" s="1"/>
      <c r="L207" s="1">
        <f t="shared" ref="L207:L210" si="80">+D207-H207</f>
        <v>5903.7</v>
      </c>
      <c r="M207" s="1"/>
      <c r="N207" s="5">
        <f t="shared" ref="N207:N210" si="81">IF(H207=0,0,L207/H207)</f>
        <v>1.1607632642227268</v>
      </c>
      <c r="O207" s="14"/>
      <c r="P207" s="1">
        <f>SUM(OSRRefP22_17x_0)</f>
        <v>10989.75</v>
      </c>
      <c r="Q207" s="1"/>
      <c r="R207" s="5">
        <f t="shared" ref="R207:R210" si="82">IF(P$12=0,0,P207/P$12)</f>
        <v>2.5227006907995675E-2</v>
      </c>
      <c r="S207" s="1"/>
      <c r="T207" s="1">
        <f>SUM(OSRRefT22_17x_0)</f>
        <v>5086.05</v>
      </c>
      <c r="U207" s="1"/>
      <c r="V207" s="5">
        <f t="shared" ref="V207:V210" si="83">IF(T$12=0,0,T207/T$12)</f>
        <v>7.0417011785318829E-3</v>
      </c>
      <c r="W207" s="1"/>
      <c r="X207" s="1">
        <f t="shared" ref="X207:X210" si="84">+P207-T207</f>
        <v>5903.7</v>
      </c>
      <c r="Y207" s="1"/>
      <c r="Z207" s="5">
        <f t="shared" ref="Z207:Z210" si="85">IF(T207=0,0,X207/T207)</f>
        <v>1.1607632642227268</v>
      </c>
    </row>
    <row r="208" spans="1:26" s="24" customFormat="1" hidden="1" outlineLevel="2" x14ac:dyDescent="0.25">
      <c r="A208" s="29"/>
      <c r="B208" s="11" t="str">
        <f>CONCATENATE("          ", "6253", " - ", "ROYALTY DUE ATHLETICS-LRG")</f>
        <v xml:space="preserve">          6253 - ROYALTY DUE ATHLETICS-LRG</v>
      </c>
      <c r="C208" s="11"/>
      <c r="D208" s="8">
        <v>5672.2</v>
      </c>
      <c r="E208" s="3"/>
      <c r="F208" s="7">
        <f t="shared" si="78"/>
        <v>1.3020553568874002E-2</v>
      </c>
      <c r="G208" s="3"/>
      <c r="H208" s="8">
        <v>4366.95</v>
      </c>
      <c r="I208" s="3"/>
      <c r="J208" s="7">
        <f t="shared" si="79"/>
        <v>6.0460980449641277E-3</v>
      </c>
      <c r="K208" s="3"/>
      <c r="L208" s="8">
        <f t="shared" si="80"/>
        <v>1305.25</v>
      </c>
      <c r="M208" s="3"/>
      <c r="N208" s="7">
        <f t="shared" si="81"/>
        <v>0.29889281993153116</v>
      </c>
      <c r="O208" s="11"/>
      <c r="P208" s="8">
        <v>5672.2</v>
      </c>
      <c r="Q208" s="3"/>
      <c r="R208" s="7">
        <f t="shared" si="82"/>
        <v>1.3020553568874002E-2</v>
      </c>
      <c r="S208" s="3"/>
      <c r="T208" s="8">
        <v>4366.95</v>
      </c>
      <c r="U208" s="3"/>
      <c r="V208" s="7">
        <f t="shared" si="83"/>
        <v>6.0460980449641277E-3</v>
      </c>
      <c r="W208" s="3"/>
      <c r="X208" s="8">
        <f t="shared" si="84"/>
        <v>1305.25</v>
      </c>
      <c r="Y208" s="3"/>
      <c r="Z208" s="7">
        <f t="shared" si="85"/>
        <v>0.29889281993153116</v>
      </c>
    </row>
    <row r="209" spans="1:26" s="24" customFormat="1" hidden="1" outlineLevel="2" x14ac:dyDescent="0.25">
      <c r="A209" s="29"/>
      <c r="B209" s="11" t="str">
        <f>CONCATENATE("          ", "6254", " - ", "ROYALTY &amp; COMMISSIONS")</f>
        <v xml:space="preserve">          6254 - ROYALTY &amp; COMMISSIONS</v>
      </c>
      <c r="C209" s="11"/>
      <c r="D209" s="8"/>
      <c r="E209" s="3"/>
      <c r="F209" s="7">
        <f t="shared" si="78"/>
        <v>0</v>
      </c>
      <c r="G209" s="3"/>
      <c r="H209" s="8">
        <v>114.09</v>
      </c>
      <c r="I209" s="3"/>
      <c r="J209" s="7">
        <f t="shared" si="79"/>
        <v>1.5795906203413306E-4</v>
      </c>
      <c r="K209" s="3"/>
      <c r="L209" s="8">
        <f t="shared" si="80"/>
        <v>-114.09</v>
      </c>
      <c r="M209" s="3"/>
      <c r="N209" s="7">
        <f t="shared" si="81"/>
        <v>-1</v>
      </c>
      <c r="O209" s="11"/>
      <c r="P209" s="8"/>
      <c r="Q209" s="3"/>
      <c r="R209" s="7">
        <f t="shared" si="82"/>
        <v>0</v>
      </c>
      <c r="S209" s="3"/>
      <c r="T209" s="8">
        <v>114.09</v>
      </c>
      <c r="U209" s="3"/>
      <c r="V209" s="7">
        <f t="shared" si="83"/>
        <v>1.5795906203413306E-4</v>
      </c>
      <c r="W209" s="3"/>
      <c r="X209" s="8">
        <f t="shared" si="84"/>
        <v>-114.09</v>
      </c>
      <c r="Y209" s="3"/>
      <c r="Z209" s="7">
        <f t="shared" si="85"/>
        <v>-1</v>
      </c>
    </row>
    <row r="210" spans="1:26" s="24" customFormat="1" hidden="1" outlineLevel="2" x14ac:dyDescent="0.25">
      <c r="A210" s="29"/>
      <c r="B210" s="11" t="str">
        <f>CONCATENATE("          ", "6259", " - ", "ROYALTY &amp; COMMISSIONS")</f>
        <v xml:space="preserve">          6259 - ROYALTY &amp; COMMISSIONS</v>
      </c>
      <c r="C210" s="11"/>
      <c r="D210" s="8">
        <v>5317.55</v>
      </c>
      <c r="E210" s="3"/>
      <c r="F210" s="7">
        <f t="shared" si="78"/>
        <v>1.2206453339121673E-2</v>
      </c>
      <c r="G210" s="3"/>
      <c r="H210" s="8">
        <v>605.01</v>
      </c>
      <c r="I210" s="3"/>
      <c r="J210" s="7">
        <f t="shared" si="79"/>
        <v>8.3764407153362117E-4</v>
      </c>
      <c r="K210" s="3"/>
      <c r="L210" s="8">
        <f t="shared" si="80"/>
        <v>4712.54</v>
      </c>
      <c r="M210" s="3"/>
      <c r="N210" s="7">
        <f t="shared" si="81"/>
        <v>7.7891935670484784</v>
      </c>
      <c r="O210" s="11"/>
      <c r="P210" s="8">
        <v>5317.55</v>
      </c>
      <c r="Q210" s="3"/>
      <c r="R210" s="7">
        <f t="shared" si="82"/>
        <v>1.2206453339121673E-2</v>
      </c>
      <c r="S210" s="3"/>
      <c r="T210" s="8">
        <v>605.01</v>
      </c>
      <c r="U210" s="3"/>
      <c r="V210" s="7">
        <f t="shared" si="83"/>
        <v>8.3764407153362117E-4</v>
      </c>
      <c r="W210" s="3"/>
      <c r="X210" s="8">
        <f t="shared" si="84"/>
        <v>4712.54</v>
      </c>
      <c r="Y210" s="3"/>
      <c r="Z210" s="7">
        <f t="shared" si="85"/>
        <v>7.7891935670484784</v>
      </c>
    </row>
    <row r="211" spans="1:26" s="27" customFormat="1" outlineLevel="1" collapsed="1" x14ac:dyDescent="0.25">
      <c r="A211" s="28"/>
      <c r="B211" s="14" t="str">
        <f>CONCATENATE("     ","Services                                          ")</f>
        <v xml:space="preserve">     Services                                          </v>
      </c>
      <c r="C211" s="14"/>
      <c r="D211" s="1">
        <f>SUM(OSRRefD22_18x_0)</f>
        <v>3883.7400000000002</v>
      </c>
      <c r="E211" s="1"/>
      <c r="F211" s="5">
        <f t="shared" ref="F211:F215" si="86">IF(D$12=0,0,D211/D$12)</f>
        <v>8.9151378155880815E-3</v>
      </c>
      <c r="G211" s="1"/>
      <c r="H211" s="1">
        <f>SUM(OSRRefH22_18x_0)</f>
        <v>4629.08</v>
      </c>
      <c r="I211" s="1"/>
      <c r="J211" s="5">
        <f t="shared" ref="J211:J215" si="87">IF(H$12=0,0,H211/H$12)</f>
        <v>6.4090203776050892E-3</v>
      </c>
      <c r="K211" s="1"/>
      <c r="L211" s="1">
        <f t="shared" ref="L211:L215" si="88">+D211-H211</f>
        <v>-745.33999999999969</v>
      </c>
      <c r="M211" s="1"/>
      <c r="N211" s="5">
        <f t="shared" ref="N211:N215" si="89">IF(H211=0,0,L211/H211)</f>
        <v>-0.16101255541057827</v>
      </c>
      <c r="O211" s="14"/>
      <c r="P211" s="1">
        <f>SUM(OSRRefP22_18x_0)</f>
        <v>3883.7400000000002</v>
      </c>
      <c r="Q211" s="1"/>
      <c r="R211" s="5">
        <f t="shared" ref="R211:R215" si="90">IF(P$12=0,0,P211/P$12)</f>
        <v>8.9151378155880815E-3</v>
      </c>
      <c r="S211" s="1"/>
      <c r="T211" s="1">
        <f>SUM(OSRRefT22_18x_0)</f>
        <v>4629.08</v>
      </c>
      <c r="U211" s="1"/>
      <c r="V211" s="5">
        <f t="shared" ref="V211:V215" si="91">IF(T$12=0,0,T211/T$12)</f>
        <v>6.4090203776050892E-3</v>
      </c>
      <c r="W211" s="1"/>
      <c r="X211" s="1">
        <f t="shared" ref="X211:X215" si="92">+P211-T211</f>
        <v>-745.33999999999969</v>
      </c>
      <c r="Y211" s="1"/>
      <c r="Z211" s="5">
        <f t="shared" ref="Z211:Z215" si="93">IF(T211=0,0,X211/T211)</f>
        <v>-0.16101255541057827</v>
      </c>
    </row>
    <row r="212" spans="1:26" s="24" customFormat="1" hidden="1" outlineLevel="2" x14ac:dyDescent="0.25">
      <c r="A212" s="29"/>
      <c r="B212" s="11" t="str">
        <f>CONCATENATE("          ", "6282", " - ", "JANITORIAL/EXTERMINATOR EXPENS")</f>
        <v xml:space="preserve">          6282 - JANITORIAL/EXTERMINATOR EXPENS</v>
      </c>
      <c r="C212" s="11"/>
      <c r="D212" s="8">
        <v>136.5</v>
      </c>
      <c r="E212" s="3"/>
      <c r="F212" s="7">
        <f t="shared" si="86"/>
        <v>3.1333619444859161E-4</v>
      </c>
      <c r="G212" s="3"/>
      <c r="H212" s="8">
        <v>266.5</v>
      </c>
      <c r="I212" s="3"/>
      <c r="J212" s="7">
        <f t="shared" si="87"/>
        <v>3.6897265344987696E-4</v>
      </c>
      <c r="K212" s="3"/>
      <c r="L212" s="8">
        <f t="shared" si="88"/>
        <v>-130</v>
      </c>
      <c r="M212" s="3"/>
      <c r="N212" s="7">
        <f t="shared" si="89"/>
        <v>-0.48780487804878048</v>
      </c>
      <c r="O212" s="11"/>
      <c r="P212" s="8">
        <v>136.5</v>
      </c>
      <c r="Q212" s="3"/>
      <c r="R212" s="7">
        <f t="shared" si="90"/>
        <v>3.1333619444859161E-4</v>
      </c>
      <c r="S212" s="3"/>
      <c r="T212" s="8">
        <v>266.5</v>
      </c>
      <c r="U212" s="3"/>
      <c r="V212" s="7">
        <f t="shared" si="91"/>
        <v>3.6897265344987696E-4</v>
      </c>
      <c r="W212" s="3"/>
      <c r="X212" s="8">
        <f t="shared" si="92"/>
        <v>-130</v>
      </c>
      <c r="Y212" s="3"/>
      <c r="Z212" s="7">
        <f t="shared" si="93"/>
        <v>-0.48780487804878048</v>
      </c>
    </row>
    <row r="213" spans="1:26" s="24" customFormat="1" hidden="1" outlineLevel="2" x14ac:dyDescent="0.25">
      <c r="A213" s="29"/>
      <c r="B213" s="11" t="str">
        <f>CONCATENATE("          ", "6283", " - ", "PLANT SERVICE")</f>
        <v xml:space="preserve">          6283 - PLANT SERVICE</v>
      </c>
      <c r="C213" s="11"/>
      <c r="D213" s="8">
        <v>130</v>
      </c>
      <c r="E213" s="3"/>
      <c r="F213" s="7">
        <f t="shared" si="86"/>
        <v>2.9841542328437295E-4</v>
      </c>
      <c r="G213" s="3"/>
      <c r="H213" s="8">
        <v>180.66</v>
      </c>
      <c r="I213" s="3"/>
      <c r="J213" s="7">
        <f t="shared" si="87"/>
        <v>2.5012607719420175E-4</v>
      </c>
      <c r="K213" s="3"/>
      <c r="L213" s="8">
        <f t="shared" si="88"/>
        <v>-50.66</v>
      </c>
      <c r="M213" s="3"/>
      <c r="N213" s="7">
        <f t="shared" si="89"/>
        <v>-0.2804162515221964</v>
      </c>
      <c r="O213" s="11"/>
      <c r="P213" s="8">
        <v>130</v>
      </c>
      <c r="Q213" s="3"/>
      <c r="R213" s="7">
        <f t="shared" si="90"/>
        <v>2.9841542328437295E-4</v>
      </c>
      <c r="S213" s="3"/>
      <c r="T213" s="8">
        <v>180.66</v>
      </c>
      <c r="U213" s="3"/>
      <c r="V213" s="7">
        <f t="shared" si="91"/>
        <v>2.5012607719420175E-4</v>
      </c>
      <c r="W213" s="3"/>
      <c r="X213" s="8">
        <f t="shared" si="92"/>
        <v>-50.66</v>
      </c>
      <c r="Y213" s="3"/>
      <c r="Z213" s="7">
        <f t="shared" si="93"/>
        <v>-0.2804162515221964</v>
      </c>
    </row>
    <row r="214" spans="1:26" s="24" customFormat="1" hidden="1" outlineLevel="2" x14ac:dyDescent="0.25">
      <c r="A214" s="29"/>
      <c r="B214" s="11" t="str">
        <f>CONCATENATE("          ", "6284", " - ", "TRASH REMOVAL EXPENSE")</f>
        <v xml:space="preserve">          6284 - TRASH REMOVAL EXPENSE</v>
      </c>
      <c r="C214" s="11"/>
      <c r="D214" s="8">
        <v>142.57</v>
      </c>
      <c r="E214" s="3"/>
      <c r="F214" s="7">
        <f t="shared" si="86"/>
        <v>3.2726989921271578E-4</v>
      </c>
      <c r="G214" s="3"/>
      <c r="H214" s="8">
        <v>134.82</v>
      </c>
      <c r="I214" s="3"/>
      <c r="J214" s="7">
        <f t="shared" si="87"/>
        <v>1.8666001177528109E-4</v>
      </c>
      <c r="K214" s="3"/>
      <c r="L214" s="8">
        <f t="shared" si="88"/>
        <v>7.75</v>
      </c>
      <c r="M214" s="3"/>
      <c r="N214" s="7">
        <f t="shared" si="89"/>
        <v>5.7484052811155616E-2</v>
      </c>
      <c r="O214" s="11"/>
      <c r="P214" s="8">
        <v>142.57</v>
      </c>
      <c r="Q214" s="3"/>
      <c r="R214" s="7">
        <f t="shared" si="90"/>
        <v>3.2726989921271578E-4</v>
      </c>
      <c r="S214" s="3"/>
      <c r="T214" s="8">
        <v>134.82</v>
      </c>
      <c r="U214" s="3"/>
      <c r="V214" s="7">
        <f t="shared" si="91"/>
        <v>1.8666001177528109E-4</v>
      </c>
      <c r="W214" s="3"/>
      <c r="X214" s="8">
        <f t="shared" si="92"/>
        <v>7.75</v>
      </c>
      <c r="Y214" s="3"/>
      <c r="Z214" s="7">
        <f t="shared" si="93"/>
        <v>5.7484052811155616E-2</v>
      </c>
    </row>
    <row r="215" spans="1:26" s="24" customFormat="1" hidden="1" outlineLevel="2" x14ac:dyDescent="0.25">
      <c r="A215" s="29"/>
      <c r="B215" s="11" t="str">
        <f>CONCATENATE("          ", "6285", " - ", "JANITORIAL SERVICES")</f>
        <v xml:space="preserve">          6285 - JANITORIAL SERVICES</v>
      </c>
      <c r="C215" s="11"/>
      <c r="D215" s="8">
        <v>3474.67</v>
      </c>
      <c r="E215" s="3"/>
      <c r="F215" s="7">
        <f t="shared" si="86"/>
        <v>7.9761162986424008E-3</v>
      </c>
      <c r="G215" s="3"/>
      <c r="H215" s="8">
        <v>4047.1</v>
      </c>
      <c r="I215" s="3"/>
      <c r="J215" s="7">
        <f t="shared" si="87"/>
        <v>5.6032616351857295E-3</v>
      </c>
      <c r="K215" s="3"/>
      <c r="L215" s="8">
        <f t="shared" si="88"/>
        <v>-572.42999999999984</v>
      </c>
      <c r="M215" s="3"/>
      <c r="N215" s="7">
        <f t="shared" si="89"/>
        <v>-0.14144202021200361</v>
      </c>
      <c r="O215" s="11"/>
      <c r="P215" s="8">
        <v>3474.67</v>
      </c>
      <c r="Q215" s="3"/>
      <c r="R215" s="7">
        <f t="shared" si="90"/>
        <v>7.9761162986424008E-3</v>
      </c>
      <c r="S215" s="3"/>
      <c r="T215" s="8">
        <v>4047.1</v>
      </c>
      <c r="U215" s="3"/>
      <c r="V215" s="7">
        <f t="shared" si="91"/>
        <v>5.6032616351857295E-3</v>
      </c>
      <c r="W215" s="3"/>
      <c r="X215" s="8">
        <f t="shared" si="92"/>
        <v>-572.42999999999984</v>
      </c>
      <c r="Y215" s="3"/>
      <c r="Z215" s="7">
        <f t="shared" si="93"/>
        <v>-0.14144202021200361</v>
      </c>
    </row>
    <row r="216" spans="1:26" s="27" customFormat="1" outlineLevel="1" collapsed="1" x14ac:dyDescent="0.25">
      <c r="A216" s="28"/>
      <c r="B216" s="14" t="str">
        <f>CONCATENATE("     ","Subscriptions &amp; Dues                              ")</f>
        <v xml:space="preserve">     Subscriptions &amp; Dues                              </v>
      </c>
      <c r="C216" s="14"/>
      <c r="D216" s="1">
        <f>SUM(OSRRefD22_19x_0)</f>
        <v>365</v>
      </c>
      <c r="E216" s="1"/>
      <c r="F216" s="5">
        <f t="shared" ref="F216:F218" si="94">IF(D$12=0,0,D216/D$12)</f>
        <v>8.3785868845227796E-4</v>
      </c>
      <c r="G216" s="1"/>
      <c r="H216" s="1">
        <f>SUM(OSRRefH22_19x_0)</f>
        <v>462.25</v>
      </c>
      <c r="I216" s="1"/>
      <c r="J216" s="5">
        <f t="shared" ref="J216:J218" si="95">IF(H$12=0,0,H216/H$12)</f>
        <v>6.3999102835724431E-4</v>
      </c>
      <c r="K216" s="1"/>
      <c r="L216" s="1">
        <f t="shared" ref="L216:L218" si="96">+D216-H216</f>
        <v>-97.25</v>
      </c>
      <c r="M216" s="1"/>
      <c r="N216" s="5">
        <f t="shared" ref="N216:N218" si="97">IF(H216=0,0,L216/H216)</f>
        <v>-0.21038399134667388</v>
      </c>
      <c r="O216" s="14"/>
      <c r="P216" s="1">
        <f>SUM(OSRRefP22_19x_0)</f>
        <v>365</v>
      </c>
      <c r="Q216" s="1"/>
      <c r="R216" s="5">
        <f t="shared" ref="R216:R218" si="98">IF(P$12=0,0,P216/P$12)</f>
        <v>8.3785868845227796E-4</v>
      </c>
      <c r="S216" s="1"/>
      <c r="T216" s="1">
        <f>SUM(OSRRefT22_19x_0)</f>
        <v>462.25</v>
      </c>
      <c r="U216" s="1"/>
      <c r="V216" s="5">
        <f t="shared" ref="V216:V218" si="99">IF(T$12=0,0,T216/T$12)</f>
        <v>6.3999102835724431E-4</v>
      </c>
      <c r="W216" s="1"/>
      <c r="X216" s="1">
        <f t="shared" ref="X216:X218" si="100">+P216-T216</f>
        <v>-97.25</v>
      </c>
      <c r="Y216" s="1"/>
      <c r="Z216" s="5">
        <f t="shared" ref="Z216:Z218" si="101">IF(T216=0,0,X216/T216)</f>
        <v>-0.21038399134667388</v>
      </c>
    </row>
    <row r="217" spans="1:26" s="24" customFormat="1" hidden="1" outlineLevel="2" x14ac:dyDescent="0.25">
      <c r="A217" s="29"/>
      <c r="B217" s="11" t="str">
        <f>CONCATENATE("          ", "6258", " - ", "MEMBERSHIP DUES")</f>
        <v xml:space="preserve">          6258 - MEMBERSHIP DUES</v>
      </c>
      <c r="C217" s="11"/>
      <c r="D217" s="8">
        <v>290</v>
      </c>
      <c r="E217" s="3"/>
      <c r="F217" s="7">
        <f t="shared" si="94"/>
        <v>6.656959442497551E-4</v>
      </c>
      <c r="G217" s="3"/>
      <c r="H217" s="8">
        <v>288.85000000000002</v>
      </c>
      <c r="I217" s="3"/>
      <c r="J217" s="7">
        <f t="shared" si="95"/>
        <v>3.9991651387991355E-4</v>
      </c>
      <c r="K217" s="3"/>
      <c r="L217" s="8">
        <f t="shared" si="96"/>
        <v>1.1499999999999773</v>
      </c>
      <c r="M217" s="3"/>
      <c r="N217" s="7">
        <f t="shared" si="97"/>
        <v>3.9813051756966492E-3</v>
      </c>
      <c r="O217" s="11"/>
      <c r="P217" s="8">
        <v>290</v>
      </c>
      <c r="Q217" s="3"/>
      <c r="R217" s="7">
        <f t="shared" si="98"/>
        <v>6.656959442497551E-4</v>
      </c>
      <c r="S217" s="3"/>
      <c r="T217" s="8">
        <v>288.85000000000002</v>
      </c>
      <c r="U217" s="3"/>
      <c r="V217" s="7">
        <f t="shared" si="99"/>
        <v>3.9991651387991355E-4</v>
      </c>
      <c r="W217" s="3"/>
      <c r="X217" s="8">
        <f t="shared" si="100"/>
        <v>1.1499999999999773</v>
      </c>
      <c r="Y217" s="3"/>
      <c r="Z217" s="7">
        <f t="shared" si="101"/>
        <v>3.9813051756966492E-3</v>
      </c>
    </row>
    <row r="218" spans="1:26" s="24" customFormat="1" hidden="1" outlineLevel="2" x14ac:dyDescent="0.25">
      <c r="A218" s="29"/>
      <c r="B218" s="11" t="str">
        <f>CONCATENATE("          ", "6275", " - ", "SUBSCRIPTIONS")</f>
        <v xml:space="preserve">          6275 - SUBSCRIPTIONS</v>
      </c>
      <c r="C218" s="11"/>
      <c r="D218" s="8">
        <v>75</v>
      </c>
      <c r="E218" s="3"/>
      <c r="F218" s="7">
        <f t="shared" si="94"/>
        <v>1.7216274420252286E-4</v>
      </c>
      <c r="G218" s="3"/>
      <c r="H218" s="8">
        <v>173.4</v>
      </c>
      <c r="I218" s="3"/>
      <c r="J218" s="7">
        <f t="shared" si="95"/>
        <v>2.4007451447733083E-4</v>
      </c>
      <c r="K218" s="3"/>
      <c r="L218" s="8">
        <f t="shared" si="96"/>
        <v>-98.4</v>
      </c>
      <c r="M218" s="3"/>
      <c r="N218" s="7">
        <f t="shared" si="97"/>
        <v>-0.56747404844290661</v>
      </c>
      <c r="O218" s="11"/>
      <c r="P218" s="8">
        <v>75</v>
      </c>
      <c r="Q218" s="3"/>
      <c r="R218" s="7">
        <f t="shared" si="98"/>
        <v>1.7216274420252286E-4</v>
      </c>
      <c r="S218" s="3"/>
      <c r="T218" s="8">
        <v>173.4</v>
      </c>
      <c r="U218" s="3"/>
      <c r="V218" s="7">
        <f t="shared" si="99"/>
        <v>2.4007451447733083E-4</v>
      </c>
      <c r="W218" s="3"/>
      <c r="X218" s="8">
        <f t="shared" si="100"/>
        <v>-98.4</v>
      </c>
      <c r="Y218" s="3"/>
      <c r="Z218" s="7">
        <f t="shared" si="101"/>
        <v>-0.56747404844290661</v>
      </c>
    </row>
    <row r="219" spans="1:26" s="27" customFormat="1" outlineLevel="1" collapsed="1" x14ac:dyDescent="0.25">
      <c r="A219" s="28"/>
      <c r="B219" s="14" t="str">
        <f>CONCATENATE("     ","Supplies                                          ")</f>
        <v xml:space="preserve">     Supplies                                          </v>
      </c>
      <c r="C219" s="14"/>
      <c r="D219" s="1">
        <f>SUM(OSRRefD22_20x_0)</f>
        <v>12188.04</v>
      </c>
      <c r="E219" s="1"/>
      <c r="F219" s="5">
        <f t="shared" ref="F219:F226" si="102">IF(D$12=0,0,D219/D$12)</f>
        <v>2.7977685504668226E-2</v>
      </c>
      <c r="G219" s="1"/>
      <c r="H219" s="1">
        <f>SUM(OSRRefH22_20x_0)</f>
        <v>7620.79</v>
      </c>
      <c r="I219" s="1"/>
      <c r="J219" s="5">
        <f t="shared" ref="J219:J226" si="103">IF(H$12=0,0,H219/H$12)</f>
        <v>1.055108107949076E-2</v>
      </c>
      <c r="K219" s="1"/>
      <c r="L219" s="1">
        <f t="shared" ref="L219:L226" si="104">+D219-H219</f>
        <v>4567.2500000000009</v>
      </c>
      <c r="M219" s="1"/>
      <c r="N219" s="5">
        <f t="shared" ref="N219:N226" si="105">IF(H219=0,0,L219/H219)</f>
        <v>0.59931450676373454</v>
      </c>
      <c r="O219" s="14"/>
      <c r="P219" s="1">
        <f>SUM(OSRRefP22_20x_0)</f>
        <v>12188.04</v>
      </c>
      <c r="Q219" s="1"/>
      <c r="R219" s="5">
        <f t="shared" ref="R219:R226" si="106">IF(P$12=0,0,P219/P$12)</f>
        <v>2.7977685504668226E-2</v>
      </c>
      <c r="S219" s="1"/>
      <c r="T219" s="1">
        <f>SUM(OSRRefT22_20x_0)</f>
        <v>7620.79</v>
      </c>
      <c r="U219" s="1"/>
      <c r="V219" s="5">
        <f t="shared" ref="V219:V226" si="107">IF(T$12=0,0,T219/T$12)</f>
        <v>1.055108107949076E-2</v>
      </c>
      <c r="W219" s="1"/>
      <c r="X219" s="1">
        <f t="shared" ref="X219:X226" si="108">+P219-T219</f>
        <v>4567.2500000000009</v>
      </c>
      <c r="Y219" s="1"/>
      <c r="Z219" s="5">
        <f t="shared" ref="Z219:Z226" si="109">IF(T219=0,0,X219/T219)</f>
        <v>0.59931450676373454</v>
      </c>
    </row>
    <row r="220" spans="1:26" s="24" customFormat="1" hidden="1" outlineLevel="2" x14ac:dyDescent="0.25">
      <c r="A220" s="29"/>
      <c r="B220" s="11" t="str">
        <f>CONCATENATE("          ", "6234", " - ", "EXPENDABLE SUPPLIES &amp; EQUIPMEN")</f>
        <v xml:space="preserve">          6234 - EXPENDABLE SUPPLIES &amp; EQUIPMEN</v>
      </c>
      <c r="C220" s="11"/>
      <c r="D220" s="8"/>
      <c r="E220" s="3"/>
      <c r="F220" s="7">
        <f t="shared" si="102"/>
        <v>0</v>
      </c>
      <c r="G220" s="3"/>
      <c r="H220" s="8">
        <v>702.08</v>
      </c>
      <c r="I220" s="3"/>
      <c r="J220" s="7">
        <f t="shared" si="103"/>
        <v>9.7203872620671525E-4</v>
      </c>
      <c r="K220" s="3"/>
      <c r="L220" s="8">
        <f t="shared" si="104"/>
        <v>-702.08</v>
      </c>
      <c r="M220" s="3"/>
      <c r="N220" s="7">
        <f t="shared" si="105"/>
        <v>-1</v>
      </c>
      <c r="O220" s="11"/>
      <c r="P220" s="8"/>
      <c r="Q220" s="3"/>
      <c r="R220" s="7">
        <f t="shared" si="106"/>
        <v>0</v>
      </c>
      <c r="S220" s="3"/>
      <c r="T220" s="8">
        <v>702.08</v>
      </c>
      <c r="U220" s="3"/>
      <c r="V220" s="7">
        <f t="shared" si="107"/>
        <v>9.7203872620671525E-4</v>
      </c>
      <c r="W220" s="3"/>
      <c r="X220" s="8">
        <f t="shared" si="108"/>
        <v>-702.08</v>
      </c>
      <c r="Y220" s="3"/>
      <c r="Z220" s="7">
        <f t="shared" si="109"/>
        <v>-1</v>
      </c>
    </row>
    <row r="221" spans="1:26" s="24" customFormat="1" hidden="1" outlineLevel="2" x14ac:dyDescent="0.25">
      <c r="A221" s="29"/>
      <c r="B221" s="11" t="str">
        <f>CONCATENATE("          ", "6235", " - ", "COVID-19 EXPENSES")</f>
        <v xml:space="preserve">          6235 - COVID-19 EXPENSES</v>
      </c>
      <c r="C221" s="11"/>
      <c r="D221" s="8">
        <v>6680.23</v>
      </c>
      <c r="E221" s="3"/>
      <c r="F221" s="7">
        <f t="shared" si="102"/>
        <v>1.5334489716053589E-2</v>
      </c>
      <c r="G221" s="3"/>
      <c r="H221" s="8"/>
      <c r="I221" s="3"/>
      <c r="J221" s="7">
        <f t="shared" si="103"/>
        <v>0</v>
      </c>
      <c r="K221" s="3"/>
      <c r="L221" s="8">
        <f t="shared" si="104"/>
        <v>6680.23</v>
      </c>
      <c r="M221" s="3"/>
      <c r="N221" s="7">
        <f t="shared" si="105"/>
        <v>0</v>
      </c>
      <c r="O221" s="11"/>
      <c r="P221" s="8">
        <v>6680.23</v>
      </c>
      <c r="Q221" s="3"/>
      <c r="R221" s="7">
        <f t="shared" si="106"/>
        <v>1.5334489716053589E-2</v>
      </c>
      <c r="S221" s="3"/>
      <c r="T221" s="8"/>
      <c r="U221" s="3"/>
      <c r="V221" s="7">
        <f t="shared" si="107"/>
        <v>0</v>
      </c>
      <c r="W221" s="3"/>
      <c r="X221" s="8">
        <f t="shared" si="108"/>
        <v>6680.23</v>
      </c>
      <c r="Y221" s="3"/>
      <c r="Z221" s="7">
        <f t="shared" si="109"/>
        <v>0</v>
      </c>
    </row>
    <row r="222" spans="1:26" s="24" customFormat="1" hidden="1" outlineLevel="2" x14ac:dyDescent="0.25">
      <c r="A222" s="29"/>
      <c r="B222" s="11" t="str">
        <f>CONCATENATE("          ", "6237", " - ", "JANITORIAL SUPPLIES")</f>
        <v xml:space="preserve">          6237 - JANITORIAL SUPPLIES</v>
      </c>
      <c r="C222" s="11"/>
      <c r="D222" s="8">
        <v>139.31</v>
      </c>
      <c r="E222" s="3"/>
      <c r="F222" s="7">
        <f t="shared" si="102"/>
        <v>3.1978655859804615E-4</v>
      </c>
      <c r="G222" s="3"/>
      <c r="H222" s="8">
        <v>448.83</v>
      </c>
      <c r="I222" s="3"/>
      <c r="J222" s="7">
        <f t="shared" si="103"/>
        <v>6.2141086697151322E-4</v>
      </c>
      <c r="K222" s="3"/>
      <c r="L222" s="8">
        <f t="shared" si="104"/>
        <v>-309.52</v>
      </c>
      <c r="M222" s="3"/>
      <c r="N222" s="7">
        <f t="shared" si="105"/>
        <v>-0.68961522179889934</v>
      </c>
      <c r="O222" s="11"/>
      <c r="P222" s="8">
        <v>139.31</v>
      </c>
      <c r="Q222" s="3"/>
      <c r="R222" s="7">
        <f t="shared" si="106"/>
        <v>3.1978655859804615E-4</v>
      </c>
      <c r="S222" s="3"/>
      <c r="T222" s="8">
        <v>448.83</v>
      </c>
      <c r="U222" s="3"/>
      <c r="V222" s="7">
        <f t="shared" si="107"/>
        <v>6.2141086697151322E-4</v>
      </c>
      <c r="W222" s="3"/>
      <c r="X222" s="8">
        <f t="shared" si="108"/>
        <v>-309.52</v>
      </c>
      <c r="Y222" s="3"/>
      <c r="Z222" s="7">
        <f t="shared" si="109"/>
        <v>-0.68961522179889934</v>
      </c>
    </row>
    <row r="223" spans="1:26" s="24" customFormat="1" hidden="1" outlineLevel="2" x14ac:dyDescent="0.25">
      <c r="A223" s="29"/>
      <c r="B223" s="11" t="str">
        <f>CONCATENATE("          ", "6241", " - ", "OFFICE EXPENSE")</f>
        <v xml:space="preserve">          6241 - OFFICE EXPENSE</v>
      </c>
      <c r="C223" s="11"/>
      <c r="D223" s="8">
        <v>430.41</v>
      </c>
      <c r="E223" s="3"/>
      <c r="F223" s="7">
        <f t="shared" si="102"/>
        <v>9.8800755642943828E-4</v>
      </c>
      <c r="G223" s="3"/>
      <c r="H223" s="8">
        <v>2490.4899999999998</v>
      </c>
      <c r="I223" s="3"/>
      <c r="J223" s="7">
        <f t="shared" si="103"/>
        <v>3.4481152108457183E-3</v>
      </c>
      <c r="K223" s="3"/>
      <c r="L223" s="8">
        <f t="shared" si="104"/>
        <v>-2060.08</v>
      </c>
      <c r="M223" s="3"/>
      <c r="N223" s="7">
        <f t="shared" si="105"/>
        <v>-0.82717858734626526</v>
      </c>
      <c r="O223" s="11"/>
      <c r="P223" s="8">
        <v>430.41</v>
      </c>
      <c r="Q223" s="3"/>
      <c r="R223" s="7">
        <f t="shared" si="106"/>
        <v>9.8800755642943828E-4</v>
      </c>
      <c r="S223" s="3"/>
      <c r="T223" s="8">
        <v>2490.4899999999998</v>
      </c>
      <c r="U223" s="3"/>
      <c r="V223" s="7">
        <f t="shared" si="107"/>
        <v>3.4481152108457183E-3</v>
      </c>
      <c r="W223" s="3"/>
      <c r="X223" s="8">
        <f t="shared" si="108"/>
        <v>-2060.08</v>
      </c>
      <c r="Y223" s="3"/>
      <c r="Z223" s="7">
        <f t="shared" si="109"/>
        <v>-0.82717858734626526</v>
      </c>
    </row>
    <row r="224" spans="1:26" s="24" customFormat="1" hidden="1" outlineLevel="2" x14ac:dyDescent="0.25">
      <c r="A224" s="29"/>
      <c r="B224" s="11" t="str">
        <f>CONCATENATE("          ", "6243", " - ", "PAPER SUPPLIES")</f>
        <v xml:space="preserve">          6243 - PAPER SUPPLIES</v>
      </c>
      <c r="C224" s="11"/>
      <c r="D224" s="8">
        <v>1080</v>
      </c>
      <c r="E224" s="3"/>
      <c r="F224" s="7">
        <f t="shared" si="102"/>
        <v>2.4791435165163293E-3</v>
      </c>
      <c r="G224" s="3"/>
      <c r="H224" s="8">
        <v>1161.3399999999999</v>
      </c>
      <c r="I224" s="3"/>
      <c r="J224" s="7">
        <f t="shared" si="103"/>
        <v>1.607890061378912E-3</v>
      </c>
      <c r="K224" s="3"/>
      <c r="L224" s="8">
        <f t="shared" si="104"/>
        <v>-81.339999999999918</v>
      </c>
      <c r="M224" s="3"/>
      <c r="N224" s="7">
        <f t="shared" si="105"/>
        <v>-7.0039781631563477E-2</v>
      </c>
      <c r="O224" s="11"/>
      <c r="P224" s="8">
        <v>1080</v>
      </c>
      <c r="Q224" s="3"/>
      <c r="R224" s="7">
        <f t="shared" si="106"/>
        <v>2.4791435165163293E-3</v>
      </c>
      <c r="S224" s="3"/>
      <c r="T224" s="8">
        <v>1161.3399999999999</v>
      </c>
      <c r="U224" s="3"/>
      <c r="V224" s="7">
        <f t="shared" si="107"/>
        <v>1.607890061378912E-3</v>
      </c>
      <c r="W224" s="3"/>
      <c r="X224" s="8">
        <f t="shared" si="108"/>
        <v>-81.339999999999918</v>
      </c>
      <c r="Y224" s="3"/>
      <c r="Z224" s="7">
        <f t="shared" si="109"/>
        <v>-7.0039781631563477E-2</v>
      </c>
    </row>
    <row r="225" spans="1:26" s="24" customFormat="1" hidden="1" outlineLevel="2" x14ac:dyDescent="0.25">
      <c r="A225" s="29"/>
      <c r="B225" s="11" t="str">
        <f>CONCATENATE("          ", "6245", " - ", "PRINTING")</f>
        <v xml:space="preserve">          6245 - PRINTING</v>
      </c>
      <c r="C225" s="11"/>
      <c r="D225" s="8">
        <v>-1543.5</v>
      </c>
      <c r="E225" s="3"/>
      <c r="F225" s="7">
        <f t="shared" si="102"/>
        <v>-3.5431092756879204E-3</v>
      </c>
      <c r="G225" s="3"/>
      <c r="H225" s="8"/>
      <c r="I225" s="3"/>
      <c r="J225" s="7">
        <f t="shared" si="103"/>
        <v>0</v>
      </c>
      <c r="K225" s="3"/>
      <c r="L225" s="8">
        <f t="shared" si="104"/>
        <v>-1543.5</v>
      </c>
      <c r="M225" s="3"/>
      <c r="N225" s="7">
        <f t="shared" si="105"/>
        <v>0</v>
      </c>
      <c r="O225" s="11"/>
      <c r="P225" s="8">
        <v>-1543.5</v>
      </c>
      <c r="Q225" s="3"/>
      <c r="R225" s="7">
        <f t="shared" si="106"/>
        <v>-3.5431092756879204E-3</v>
      </c>
      <c r="S225" s="3"/>
      <c r="T225" s="8"/>
      <c r="U225" s="3"/>
      <c r="V225" s="7">
        <f t="shared" si="107"/>
        <v>0</v>
      </c>
      <c r="W225" s="3"/>
      <c r="X225" s="8">
        <f t="shared" si="108"/>
        <v>-1543.5</v>
      </c>
      <c r="Y225" s="3"/>
      <c r="Z225" s="7">
        <f t="shared" si="109"/>
        <v>0</v>
      </c>
    </row>
    <row r="226" spans="1:26" s="24" customFormat="1" hidden="1" outlineLevel="2" x14ac:dyDescent="0.25">
      <c r="A226" s="29"/>
      <c r="B226" s="11" t="str">
        <f>CONCATENATE("          ", "6247", " - ", "STORE SUPPLIES")</f>
        <v xml:space="preserve">          6247 - STORE SUPPLIES</v>
      </c>
      <c r="C226" s="11"/>
      <c r="D226" s="8">
        <v>5401.59</v>
      </c>
      <c r="E226" s="3"/>
      <c r="F226" s="7">
        <f t="shared" si="102"/>
        <v>1.239936743275874E-2</v>
      </c>
      <c r="G226" s="3"/>
      <c r="H226" s="8">
        <v>2818.05</v>
      </c>
      <c r="I226" s="3"/>
      <c r="J226" s="7">
        <f t="shared" si="103"/>
        <v>3.9016262140879015E-3</v>
      </c>
      <c r="K226" s="3"/>
      <c r="L226" s="8">
        <f t="shared" si="104"/>
        <v>2583.54</v>
      </c>
      <c r="M226" s="3"/>
      <c r="N226" s="7">
        <f t="shared" si="105"/>
        <v>0.91678288177995415</v>
      </c>
      <c r="O226" s="11"/>
      <c r="P226" s="8">
        <v>5401.59</v>
      </c>
      <c r="Q226" s="3"/>
      <c r="R226" s="7">
        <f t="shared" si="106"/>
        <v>1.239936743275874E-2</v>
      </c>
      <c r="S226" s="3"/>
      <c r="T226" s="8">
        <v>2818.05</v>
      </c>
      <c r="U226" s="3"/>
      <c r="V226" s="7">
        <f t="shared" si="107"/>
        <v>3.9016262140879015E-3</v>
      </c>
      <c r="W226" s="3"/>
      <c r="X226" s="8">
        <f t="shared" si="108"/>
        <v>2583.54</v>
      </c>
      <c r="Y226" s="3"/>
      <c r="Z226" s="7">
        <f t="shared" si="109"/>
        <v>0.91678288177995415</v>
      </c>
    </row>
    <row r="227" spans="1:26" s="27" customFormat="1" outlineLevel="1" collapsed="1" x14ac:dyDescent="0.25">
      <c r="A227" s="28"/>
      <c r="B227" s="14" t="str">
        <f>CONCATENATE("     ","Telephone/Data Lines                              ")</f>
        <v xml:space="preserve">     Telephone/Data Lines                              </v>
      </c>
      <c r="C227" s="14"/>
      <c r="D227" s="1">
        <f>SUM(OSRRefD22_21x_0)</f>
        <v>2678.05</v>
      </c>
      <c r="E227" s="1"/>
      <c r="F227" s="5">
        <f t="shared" ref="F227:F229" si="110">IF(D$12=0,0,D227/D$12)</f>
        <v>6.147472494820885E-3</v>
      </c>
      <c r="G227" s="1"/>
      <c r="H227" s="1">
        <f>SUM(OSRRefH22_21x_0)</f>
        <v>1966.32</v>
      </c>
      <c r="I227" s="1"/>
      <c r="J227" s="5">
        <f t="shared" ref="J227:J229" si="111">IF(H$12=0,0,H227/H$12)</f>
        <v>2.7223951517131783E-3</v>
      </c>
      <c r="K227" s="1"/>
      <c r="L227" s="1">
        <f t="shared" ref="L227:L229" si="112">+D227-H227</f>
        <v>711.73000000000025</v>
      </c>
      <c r="M227" s="1"/>
      <c r="N227" s="5">
        <f t="shared" ref="N227:N229" si="113">IF(H227=0,0,L227/H227)</f>
        <v>0.36196041336099938</v>
      </c>
      <c r="O227" s="14"/>
      <c r="P227" s="1">
        <f>SUM(OSRRefP22_21x_0)</f>
        <v>2678.05</v>
      </c>
      <c r="Q227" s="1"/>
      <c r="R227" s="5">
        <f t="shared" ref="R227:R229" si="114">IF(P$12=0,0,P227/P$12)</f>
        <v>6.147472494820885E-3</v>
      </c>
      <c r="S227" s="1"/>
      <c r="T227" s="1">
        <f>SUM(OSRRefT22_21x_0)</f>
        <v>1966.32</v>
      </c>
      <c r="U227" s="1"/>
      <c r="V227" s="5">
        <f t="shared" ref="V227:V229" si="115">IF(T$12=0,0,T227/T$12)</f>
        <v>2.7223951517131783E-3</v>
      </c>
      <c r="W227" s="1"/>
      <c r="X227" s="1">
        <f t="shared" ref="X227:X229" si="116">+P227-T227</f>
        <v>711.73000000000025</v>
      </c>
      <c r="Y227" s="1"/>
      <c r="Z227" s="5">
        <f t="shared" ref="Z227:Z229" si="117">IF(T227=0,0,X227/T227)</f>
        <v>0.36196041336099938</v>
      </c>
    </row>
    <row r="228" spans="1:26" s="24" customFormat="1" hidden="1" outlineLevel="2" x14ac:dyDescent="0.25">
      <c r="A228" s="29"/>
      <c r="B228" s="11" t="str">
        <f>CONCATENATE("          ", "6303", " - ", "DATA PHONE LINES")</f>
        <v xml:space="preserve">          6303 - DATA PHONE LINES</v>
      </c>
      <c r="C228" s="11"/>
      <c r="D228" s="8">
        <v>295</v>
      </c>
      <c r="E228" s="3"/>
      <c r="F228" s="7">
        <f t="shared" si="110"/>
        <v>6.7717346052992321E-4</v>
      </c>
      <c r="G228" s="3"/>
      <c r="H228" s="8">
        <v>295</v>
      </c>
      <c r="I228" s="3"/>
      <c r="J228" s="7">
        <f t="shared" si="111"/>
        <v>4.0843126742106452E-4</v>
      </c>
      <c r="K228" s="3"/>
      <c r="L228" s="8">
        <f t="shared" si="112"/>
        <v>0</v>
      </c>
      <c r="M228" s="3"/>
      <c r="N228" s="7">
        <f t="shared" si="113"/>
        <v>0</v>
      </c>
      <c r="O228" s="11"/>
      <c r="P228" s="8">
        <v>295</v>
      </c>
      <c r="Q228" s="3"/>
      <c r="R228" s="7">
        <f t="shared" si="114"/>
        <v>6.7717346052992321E-4</v>
      </c>
      <c r="S228" s="3"/>
      <c r="T228" s="8">
        <v>295</v>
      </c>
      <c r="U228" s="3"/>
      <c r="V228" s="7">
        <f t="shared" si="115"/>
        <v>4.0843126742106452E-4</v>
      </c>
      <c r="W228" s="3"/>
      <c r="X228" s="8">
        <f t="shared" si="116"/>
        <v>0</v>
      </c>
      <c r="Y228" s="3"/>
      <c r="Z228" s="7">
        <f t="shared" si="117"/>
        <v>0</v>
      </c>
    </row>
    <row r="229" spans="1:26" s="24" customFormat="1" hidden="1" outlineLevel="2" x14ac:dyDescent="0.25">
      <c r="A229" s="29"/>
      <c r="B229" s="11" t="str">
        <f>CONCATENATE("          ", "6309", " - ", "TELEPHONE")</f>
        <v xml:space="preserve">          6309 - TELEPHONE</v>
      </c>
      <c r="C229" s="11"/>
      <c r="D229" s="8">
        <v>2383.0500000000002</v>
      </c>
      <c r="E229" s="3"/>
      <c r="F229" s="7">
        <f t="shared" si="110"/>
        <v>5.4702990342909621E-3</v>
      </c>
      <c r="G229" s="3"/>
      <c r="H229" s="8">
        <v>1671.32</v>
      </c>
      <c r="I229" s="3"/>
      <c r="J229" s="7">
        <f t="shared" si="111"/>
        <v>2.3139638842921135E-3</v>
      </c>
      <c r="K229" s="3"/>
      <c r="L229" s="8">
        <f t="shared" si="112"/>
        <v>711.73000000000025</v>
      </c>
      <c r="M229" s="3"/>
      <c r="N229" s="7">
        <f t="shared" si="113"/>
        <v>0.42584902950960934</v>
      </c>
      <c r="O229" s="11"/>
      <c r="P229" s="8">
        <v>2383.0500000000002</v>
      </c>
      <c r="Q229" s="3"/>
      <c r="R229" s="7">
        <f t="shared" si="114"/>
        <v>5.4702990342909621E-3</v>
      </c>
      <c r="S229" s="3"/>
      <c r="T229" s="8">
        <v>1671.32</v>
      </c>
      <c r="U229" s="3"/>
      <c r="V229" s="7">
        <f t="shared" si="115"/>
        <v>2.3139638842921135E-3</v>
      </c>
      <c r="W229" s="3"/>
      <c r="X229" s="8">
        <f t="shared" si="116"/>
        <v>711.73000000000025</v>
      </c>
      <c r="Y229" s="3"/>
      <c r="Z229" s="7">
        <f t="shared" si="117"/>
        <v>0.42584902950960934</v>
      </c>
    </row>
    <row r="230" spans="1:26" s="27" customFormat="1" outlineLevel="1" collapsed="1" x14ac:dyDescent="0.25">
      <c r="A230" s="28"/>
      <c r="B230" s="14" t="str">
        <f>CONCATENATE("     ","Training                                          ")</f>
        <v xml:space="preserve">     Training                                          </v>
      </c>
      <c r="C230" s="14"/>
      <c r="D230" s="1">
        <f>SUM(OSRRefD22_22x_0)</f>
        <v>131.63</v>
      </c>
      <c r="E230" s="1"/>
      <c r="F230" s="5">
        <f t="shared" ref="F230:F235" si="118">IF(D$12=0,0,D230/D$12)</f>
        <v>3.0215709359170779E-4</v>
      </c>
      <c r="G230" s="1"/>
      <c r="H230" s="1">
        <f>SUM(OSRRefH22_22x_0)</f>
        <v>791.67</v>
      </c>
      <c r="I230" s="1"/>
      <c r="J230" s="5">
        <f t="shared" ref="J230:J235" si="119">IF(H$12=0,0,H230/H$12)</f>
        <v>1.096077225353336E-3</v>
      </c>
      <c r="K230" s="1"/>
      <c r="L230" s="1">
        <f t="shared" ref="L230:L235" si="120">+D230-H230</f>
        <v>-660.04</v>
      </c>
      <c r="M230" s="1"/>
      <c r="N230" s="5">
        <f t="shared" ref="N230:N235" si="121">IF(H230=0,0,L230/H230)</f>
        <v>-0.83373122639483621</v>
      </c>
      <c r="O230" s="14"/>
      <c r="P230" s="1">
        <f>SUM(OSRRefP22_22x_0)</f>
        <v>131.63</v>
      </c>
      <c r="Q230" s="1"/>
      <c r="R230" s="5">
        <f t="shared" ref="R230:R235" si="122">IF(P$12=0,0,P230/P$12)</f>
        <v>3.0215709359170779E-4</v>
      </c>
      <c r="S230" s="1"/>
      <c r="T230" s="1">
        <f>SUM(OSRRefT22_22x_0)</f>
        <v>791.67</v>
      </c>
      <c r="U230" s="1"/>
      <c r="V230" s="5">
        <f t="shared" ref="V230:V235" si="123">IF(T$12=0,0,T230/T$12)</f>
        <v>1.096077225353336E-3</v>
      </c>
      <c r="W230" s="1"/>
      <c r="X230" s="1">
        <f t="shared" ref="X230:X235" si="124">+P230-T230</f>
        <v>-660.04</v>
      </c>
      <c r="Y230" s="1"/>
      <c r="Z230" s="5">
        <f t="shared" ref="Z230:Z235" si="125">IF(T230=0,0,X230/T230)</f>
        <v>-0.83373122639483621</v>
      </c>
    </row>
    <row r="231" spans="1:26" s="24" customFormat="1" hidden="1" outlineLevel="2" x14ac:dyDescent="0.25">
      <c r="A231" s="29"/>
      <c r="B231" s="11" t="str">
        <f>CONCATENATE("          ", "6376", " - ", "TRAINING")</f>
        <v xml:space="preserve">          6376 - TRAINING</v>
      </c>
      <c r="C231" s="11"/>
      <c r="D231" s="8">
        <v>131.63</v>
      </c>
      <c r="E231" s="3"/>
      <c r="F231" s="7">
        <f t="shared" si="118"/>
        <v>3.0215709359170779E-4</v>
      </c>
      <c r="G231" s="3"/>
      <c r="H231" s="8">
        <v>791.67</v>
      </c>
      <c r="I231" s="3"/>
      <c r="J231" s="7">
        <f t="shared" si="119"/>
        <v>1.096077225353336E-3</v>
      </c>
      <c r="K231" s="3"/>
      <c r="L231" s="8">
        <f t="shared" si="120"/>
        <v>-660.04</v>
      </c>
      <c r="M231" s="3"/>
      <c r="N231" s="7">
        <f t="shared" si="121"/>
        <v>-0.83373122639483621</v>
      </c>
      <c r="O231" s="11"/>
      <c r="P231" s="8">
        <v>131.63</v>
      </c>
      <c r="Q231" s="3"/>
      <c r="R231" s="7">
        <f t="shared" si="122"/>
        <v>3.0215709359170779E-4</v>
      </c>
      <c r="S231" s="3"/>
      <c r="T231" s="8">
        <v>791.67</v>
      </c>
      <c r="U231" s="3"/>
      <c r="V231" s="7">
        <f t="shared" si="123"/>
        <v>1.096077225353336E-3</v>
      </c>
      <c r="W231" s="3"/>
      <c r="X231" s="8">
        <f t="shared" si="124"/>
        <v>-660.04</v>
      </c>
      <c r="Y231" s="3"/>
      <c r="Z231" s="7">
        <f t="shared" si="125"/>
        <v>-0.83373122639483621</v>
      </c>
    </row>
    <row r="232" spans="1:26" s="27" customFormat="1" outlineLevel="1" collapsed="1" x14ac:dyDescent="0.25">
      <c r="A232" s="28"/>
      <c r="B232" s="14" t="str">
        <f>CONCATENATE("     ","Travel                                            ")</f>
        <v xml:space="preserve">     Travel                                            </v>
      </c>
      <c r="C232" s="14"/>
      <c r="D232" s="1">
        <f>SUM(OSRRefD22_23x_0)</f>
        <v>275.20999999999998</v>
      </c>
      <c r="E232" s="1"/>
      <c r="F232" s="5">
        <f t="shared" si="118"/>
        <v>6.317454510930175E-4</v>
      </c>
      <c r="G232" s="1"/>
      <c r="H232" s="1">
        <f>SUM(OSRRefH22_23x_0)</f>
        <v>221.68</v>
      </c>
      <c r="I232" s="1"/>
      <c r="J232" s="5">
        <f t="shared" si="119"/>
        <v>3.069187910572935E-4</v>
      </c>
      <c r="K232" s="1"/>
      <c r="L232" s="1">
        <f t="shared" si="120"/>
        <v>53.529999999999973</v>
      </c>
      <c r="M232" s="1"/>
      <c r="N232" s="5">
        <f t="shared" si="121"/>
        <v>0.24147419704077938</v>
      </c>
      <c r="O232" s="14"/>
      <c r="P232" s="1">
        <f>SUM(OSRRefP22_23x_0)</f>
        <v>275.20999999999998</v>
      </c>
      <c r="Q232" s="1"/>
      <c r="R232" s="5">
        <f t="shared" si="122"/>
        <v>6.317454510930175E-4</v>
      </c>
      <c r="S232" s="1"/>
      <c r="T232" s="1">
        <f>SUM(OSRRefT22_23x_0)</f>
        <v>221.68</v>
      </c>
      <c r="U232" s="1"/>
      <c r="V232" s="5">
        <f t="shared" si="123"/>
        <v>3.069187910572935E-4</v>
      </c>
      <c r="W232" s="1"/>
      <c r="X232" s="1">
        <f t="shared" si="124"/>
        <v>53.529999999999973</v>
      </c>
      <c r="Y232" s="1"/>
      <c r="Z232" s="5">
        <f t="shared" si="125"/>
        <v>0.24147419704077938</v>
      </c>
    </row>
    <row r="233" spans="1:26" s="24" customFormat="1" hidden="1" outlineLevel="2" x14ac:dyDescent="0.25">
      <c r="A233" s="29"/>
      <c r="B233" s="11" t="str">
        <f>CONCATENATE("          ", "6292", " - ", "TRAVEL/CONFERENCE")</f>
        <v xml:space="preserve">          6292 - TRAVEL/CONFERENCE</v>
      </c>
      <c r="C233" s="11"/>
      <c r="D233" s="8">
        <v>0.16</v>
      </c>
      <c r="E233" s="3"/>
      <c r="F233" s="7">
        <f t="shared" si="118"/>
        <v>3.6728052096538211E-7</v>
      </c>
      <c r="G233" s="3"/>
      <c r="H233" s="8">
        <v>150.47999999999999</v>
      </c>
      <c r="I233" s="3"/>
      <c r="J233" s="7">
        <f t="shared" si="119"/>
        <v>2.0834148176787046E-4</v>
      </c>
      <c r="K233" s="3"/>
      <c r="L233" s="8">
        <f t="shared" si="120"/>
        <v>-150.32</v>
      </c>
      <c r="M233" s="3"/>
      <c r="N233" s="7">
        <f t="shared" si="121"/>
        <v>-0.99893673577884101</v>
      </c>
      <c r="O233" s="11"/>
      <c r="P233" s="8">
        <v>0.16</v>
      </c>
      <c r="Q233" s="3"/>
      <c r="R233" s="7">
        <f t="shared" si="122"/>
        <v>3.6728052096538211E-7</v>
      </c>
      <c r="S233" s="3"/>
      <c r="T233" s="8">
        <v>150.47999999999999</v>
      </c>
      <c r="U233" s="3"/>
      <c r="V233" s="7">
        <f t="shared" si="123"/>
        <v>2.0834148176787046E-4</v>
      </c>
      <c r="W233" s="3"/>
      <c r="X233" s="8">
        <f t="shared" si="124"/>
        <v>-150.32</v>
      </c>
      <c r="Y233" s="3"/>
      <c r="Z233" s="7">
        <f t="shared" si="125"/>
        <v>-0.99893673577884101</v>
      </c>
    </row>
    <row r="234" spans="1:26" s="24" customFormat="1" hidden="1" outlineLevel="2" x14ac:dyDescent="0.25">
      <c r="A234" s="29"/>
      <c r="B234" s="11" t="str">
        <f>CONCATENATE("          ", "6294", " - ", "TRAVEL OPERATIONAL")</f>
        <v xml:space="preserve">          6294 - TRAVEL OPERATIONAL</v>
      </c>
      <c r="C234" s="11"/>
      <c r="D234" s="8">
        <v>215.16</v>
      </c>
      <c r="E234" s="3"/>
      <c r="F234" s="7">
        <f t="shared" si="118"/>
        <v>4.9390048056819757E-4</v>
      </c>
      <c r="G234" s="3"/>
      <c r="H234" s="8"/>
      <c r="I234" s="3"/>
      <c r="J234" s="7">
        <f t="shared" si="119"/>
        <v>0</v>
      </c>
      <c r="K234" s="3"/>
      <c r="L234" s="8">
        <f t="shared" si="120"/>
        <v>215.16</v>
      </c>
      <c r="M234" s="3"/>
      <c r="N234" s="7">
        <f t="shared" si="121"/>
        <v>0</v>
      </c>
      <c r="O234" s="11"/>
      <c r="P234" s="8">
        <v>215.16</v>
      </c>
      <c r="Q234" s="3"/>
      <c r="R234" s="7">
        <f t="shared" si="122"/>
        <v>4.9390048056819757E-4</v>
      </c>
      <c r="S234" s="3"/>
      <c r="T234" s="8"/>
      <c r="U234" s="3"/>
      <c r="V234" s="7">
        <f t="shared" si="123"/>
        <v>0</v>
      </c>
      <c r="W234" s="3"/>
      <c r="X234" s="8">
        <f t="shared" si="124"/>
        <v>215.16</v>
      </c>
      <c r="Y234" s="3"/>
      <c r="Z234" s="7">
        <f t="shared" si="125"/>
        <v>0</v>
      </c>
    </row>
    <row r="235" spans="1:26" s="24" customFormat="1" hidden="1" outlineLevel="2" x14ac:dyDescent="0.25">
      <c r="A235" s="29"/>
      <c r="B235" s="11" t="str">
        <f>CONCATENATE("          ", "6298", " - ", "VEHICLE MILEAGE")</f>
        <v xml:space="preserve">          6298 - VEHICLE MILEAGE</v>
      </c>
      <c r="C235" s="11"/>
      <c r="D235" s="8">
        <v>59.89</v>
      </c>
      <c r="E235" s="3"/>
      <c r="F235" s="7">
        <f t="shared" si="118"/>
        <v>1.3747769000385459E-4</v>
      </c>
      <c r="G235" s="3"/>
      <c r="H235" s="8">
        <v>71.2</v>
      </c>
      <c r="I235" s="3"/>
      <c r="J235" s="7">
        <f t="shared" si="119"/>
        <v>9.857730928942304E-5</v>
      </c>
      <c r="K235" s="3"/>
      <c r="L235" s="8">
        <f t="shared" si="120"/>
        <v>-11.310000000000002</v>
      </c>
      <c r="M235" s="3"/>
      <c r="N235" s="7">
        <f t="shared" si="121"/>
        <v>-0.15884831460674159</v>
      </c>
      <c r="O235" s="11"/>
      <c r="P235" s="8">
        <v>59.89</v>
      </c>
      <c r="Q235" s="3"/>
      <c r="R235" s="7">
        <f t="shared" si="122"/>
        <v>1.3747769000385459E-4</v>
      </c>
      <c r="S235" s="3"/>
      <c r="T235" s="8">
        <v>71.2</v>
      </c>
      <c r="U235" s="3"/>
      <c r="V235" s="7">
        <f t="shared" si="123"/>
        <v>9.857730928942304E-5</v>
      </c>
      <c r="W235" s="3"/>
      <c r="X235" s="8">
        <f t="shared" si="124"/>
        <v>-11.310000000000002</v>
      </c>
      <c r="Y235" s="3"/>
      <c r="Z235" s="7">
        <f t="shared" si="125"/>
        <v>-0.15884831460674159</v>
      </c>
    </row>
    <row r="236" spans="1:26" s="27" customFormat="1" outlineLevel="1" collapsed="1" x14ac:dyDescent="0.25">
      <c r="A236" s="28"/>
      <c r="B236" s="14" t="str">
        <f>CONCATENATE("     ","Utilities                                         ")</f>
        <v xml:space="preserve">     Utilities                                         </v>
      </c>
      <c r="C236" s="14"/>
      <c r="D236" s="1">
        <f>SUM(OSRRefD22_24x_0)</f>
        <v>6161.46</v>
      </c>
      <c r="E236" s="1"/>
      <c r="F236" s="5">
        <f t="shared" ref="F236:F237" si="126">IF(D$12=0,0,D236/D$12)</f>
        <v>1.414365149192102E-2</v>
      </c>
      <c r="G236" s="1"/>
      <c r="H236" s="1">
        <f>SUM(OSRRefH22_24x_0)</f>
        <v>5636</v>
      </c>
      <c r="I236" s="1"/>
      <c r="J236" s="5">
        <f t="shared" ref="J236:J237" si="127">IF(H$12=0,0,H236/H$12)</f>
        <v>7.8031139768987108E-3</v>
      </c>
      <c r="K236" s="1"/>
      <c r="L236" s="1">
        <f t="shared" ref="L236:L237" si="128">+D236-H236</f>
        <v>525.46</v>
      </c>
      <c r="M236" s="1"/>
      <c r="N236" s="5">
        <f t="shared" ref="N236:N237" si="129">IF(H236=0,0,L236/H236)</f>
        <v>9.3232789212207248E-2</v>
      </c>
      <c r="O236" s="14"/>
      <c r="P236" s="1">
        <f>SUM(OSRRefP22_24x_0)</f>
        <v>6161.46</v>
      </c>
      <c r="Q236" s="1"/>
      <c r="R236" s="5">
        <f t="shared" ref="R236:R237" si="130">IF(P$12=0,0,P236/P$12)</f>
        <v>1.414365149192102E-2</v>
      </c>
      <c r="S236" s="1"/>
      <c r="T236" s="1">
        <f>SUM(OSRRefT22_24x_0)</f>
        <v>5636</v>
      </c>
      <c r="U236" s="1"/>
      <c r="V236" s="5">
        <f t="shared" ref="V236:V237" si="131">IF(T$12=0,0,T236/T$12)</f>
        <v>7.8031139768987108E-3</v>
      </c>
      <c r="W236" s="1"/>
      <c r="X236" s="1">
        <f t="shared" ref="X236:X237" si="132">+P236-T236</f>
        <v>525.46</v>
      </c>
      <c r="Y236" s="1"/>
      <c r="Z236" s="5">
        <f t="shared" ref="Z236:Z237" si="133">IF(T236=0,0,X236/T236)</f>
        <v>9.3232789212207248E-2</v>
      </c>
    </row>
    <row r="237" spans="1:26" s="24" customFormat="1" hidden="1" outlineLevel="2" x14ac:dyDescent="0.25">
      <c r="A237" s="29"/>
      <c r="B237" s="11" t="str">
        <f>CONCATENATE("          ", "6274", " - ", "UTILITIES")</f>
        <v xml:space="preserve">          6274 - UTILITIES</v>
      </c>
      <c r="C237" s="11"/>
      <c r="D237" s="8">
        <v>6161.46</v>
      </c>
      <c r="E237" s="3"/>
      <c r="F237" s="7">
        <f t="shared" si="126"/>
        <v>1.414365149192102E-2</v>
      </c>
      <c r="G237" s="3"/>
      <c r="H237" s="8">
        <v>5636</v>
      </c>
      <c r="I237" s="3"/>
      <c r="J237" s="7">
        <f t="shared" si="127"/>
        <v>7.8031139768987108E-3</v>
      </c>
      <c r="K237" s="3"/>
      <c r="L237" s="8">
        <f t="shared" si="128"/>
        <v>525.46</v>
      </c>
      <c r="M237" s="3"/>
      <c r="N237" s="7">
        <f t="shared" si="129"/>
        <v>9.3232789212207248E-2</v>
      </c>
      <c r="O237" s="11"/>
      <c r="P237" s="8">
        <v>6161.46</v>
      </c>
      <c r="Q237" s="3"/>
      <c r="R237" s="7">
        <f t="shared" si="130"/>
        <v>1.414365149192102E-2</v>
      </c>
      <c r="S237" s="3"/>
      <c r="T237" s="8">
        <v>5636</v>
      </c>
      <c r="U237" s="3"/>
      <c r="V237" s="7">
        <f t="shared" si="131"/>
        <v>7.8031139768987108E-3</v>
      </c>
      <c r="W237" s="3"/>
      <c r="X237" s="8">
        <f t="shared" si="132"/>
        <v>525.46</v>
      </c>
      <c r="Y237" s="3"/>
      <c r="Z237" s="7">
        <f t="shared" si="133"/>
        <v>9.3232789212207248E-2</v>
      </c>
    </row>
    <row r="238" spans="1:26" s="61" customFormat="1" x14ac:dyDescent="0.25">
      <c r="A238" s="37"/>
      <c r="B238" s="37"/>
      <c r="C238" s="37"/>
      <c r="D238" s="1"/>
      <c r="E238" s="1"/>
      <c r="F238" s="5"/>
      <c r="G238" s="1"/>
      <c r="H238" s="1"/>
      <c r="I238" s="1"/>
      <c r="J238" s="5"/>
      <c r="K238" s="1"/>
      <c r="L238" s="1"/>
      <c r="M238" s="1"/>
      <c r="N238" s="5"/>
      <c r="O238" s="37"/>
      <c r="P238" s="1"/>
      <c r="Q238" s="1"/>
      <c r="R238" s="5"/>
      <c r="S238" s="1"/>
      <c r="T238" s="1"/>
      <c r="U238" s="1"/>
      <c r="V238" s="5"/>
      <c r="W238" s="1"/>
      <c r="X238" s="1"/>
      <c r="Y238" s="1"/>
      <c r="Z238" s="5"/>
    </row>
    <row r="239" spans="1:26" s="23" customFormat="1" collapsed="1" x14ac:dyDescent="0.25">
      <c r="A239" s="10"/>
      <c r="B239" s="25" t="s">
        <v>0</v>
      </c>
      <c r="C239" s="10"/>
      <c r="D239" s="4">
        <f>SUM(OSRRefD25x_0)</f>
        <v>197497.19</v>
      </c>
      <c r="E239" s="4"/>
      <c r="F239" s="12">
        <f t="shared" ref="F239:F247" si="134">IF(D$12=0,0,D239/D$12)</f>
        <v>0.45335544270249406</v>
      </c>
      <c r="G239" s="4"/>
      <c r="H239" s="4">
        <f>SUM(OSRRefH25x_0)</f>
        <v>70884.909999999989</v>
      </c>
      <c r="I239" s="4"/>
      <c r="J239" s="12">
        <f t="shared" ref="J239:J247" si="135">IF(H$12=0,0,H239/H$12)</f>
        <v>9.8141063160434194E-2</v>
      </c>
      <c r="K239" s="4"/>
      <c r="L239" s="4">
        <f t="shared" ref="L239:L247" si="136">+D239-H239</f>
        <v>126612.28000000001</v>
      </c>
      <c r="M239" s="4"/>
      <c r="N239" s="12">
        <f t="shared" ref="N239:N247" si="137">IF(H239=0,0,L239/H239)</f>
        <v>1.7861669006845045</v>
      </c>
      <c r="O239" s="10"/>
      <c r="P239" s="4">
        <f>SUM(OSRRefP25x_0)</f>
        <v>197497.19</v>
      </c>
      <c r="Q239" s="4"/>
      <c r="R239" s="12">
        <f t="shared" ref="R239:R247" si="138">IF(P$12=0,0,P239/P$12)</f>
        <v>0.45335544270249406</v>
      </c>
      <c r="S239" s="4"/>
      <c r="T239" s="4">
        <f>SUM(OSRRefT25x_0)</f>
        <v>70884.909999999989</v>
      </c>
      <c r="U239" s="4"/>
      <c r="V239" s="12">
        <f t="shared" ref="V239:V247" si="139">IF(T$12=0,0,T239/T$12)</f>
        <v>9.8141063160434194E-2</v>
      </c>
      <c r="W239" s="4"/>
      <c r="X239" s="4">
        <f t="shared" ref="X239:X247" si="140">+P239-T239</f>
        <v>126612.28000000001</v>
      </c>
      <c r="Y239" s="4"/>
      <c r="Z239" s="12">
        <f t="shared" ref="Z239:Z247" si="141">IF(T239=0,0,X239/T239)</f>
        <v>1.7861669006845045</v>
      </c>
    </row>
    <row r="240" spans="1:26" s="24" customFormat="1" hidden="1" outlineLevel="1" x14ac:dyDescent="0.25">
      <c r="A240" s="50"/>
      <c r="B240" s="11" t="str">
        <f>CONCATENATE("          ", "4098", " - ", "TAXABLE SALES-GRAD RENTALS")</f>
        <v xml:space="preserve">          4098 - TAXABLE SALES-GRAD RENTALS</v>
      </c>
      <c r="C240" s="11"/>
      <c r="D240" s="3">
        <f>0</f>
        <v>0</v>
      </c>
      <c r="E240" s="3"/>
      <c r="F240" s="22">
        <f t="shared" si="134"/>
        <v>0</v>
      </c>
      <c r="G240" s="3"/>
      <c r="H240" s="3">
        <f>--74.7</f>
        <v>74.7</v>
      </c>
      <c r="I240" s="3"/>
      <c r="J240" s="22">
        <f t="shared" si="135"/>
        <v>1.0342310398763906E-4</v>
      </c>
      <c r="K240" s="3"/>
      <c r="L240" s="3">
        <f t="shared" si="136"/>
        <v>-74.7</v>
      </c>
      <c r="M240" s="3"/>
      <c r="N240" s="22">
        <f t="shared" si="137"/>
        <v>-1</v>
      </c>
      <c r="O240" s="11"/>
      <c r="P240" s="3">
        <f>0</f>
        <v>0</v>
      </c>
      <c r="Q240" s="3"/>
      <c r="R240" s="22">
        <f t="shared" si="138"/>
        <v>0</v>
      </c>
      <c r="S240" s="3"/>
      <c r="T240" s="3">
        <f>--74.7</f>
        <v>74.7</v>
      </c>
      <c r="U240" s="3"/>
      <c r="V240" s="22">
        <f t="shared" si="139"/>
        <v>1.0342310398763906E-4</v>
      </c>
      <c r="W240" s="3"/>
      <c r="X240" s="3">
        <f t="shared" si="140"/>
        <v>-74.7</v>
      </c>
      <c r="Y240" s="3"/>
      <c r="Z240" s="22">
        <f t="shared" si="141"/>
        <v>-1</v>
      </c>
    </row>
    <row r="241" spans="1:26" s="24" customFormat="1" hidden="1" outlineLevel="1" x14ac:dyDescent="0.25">
      <c r="A241" s="50"/>
      <c r="B241" s="11" t="str">
        <f>CONCATENATE("          ", "4187", " - ", "NON-TAXABLE SALES-COMPUTER REP")</f>
        <v xml:space="preserve">          4187 - NON-TAXABLE SALES-COMPUTER REP</v>
      </c>
      <c r="C241" s="11"/>
      <c r="D241" s="3">
        <f>--19.99</f>
        <v>19.989999999999998</v>
      </c>
      <c r="E241" s="3"/>
      <c r="F241" s="22">
        <f t="shared" si="134"/>
        <v>4.5887110088112423E-5</v>
      </c>
      <c r="G241" s="3"/>
      <c r="H241" s="3">
        <f>--781.89</f>
        <v>781.89</v>
      </c>
      <c r="I241" s="3"/>
      <c r="J241" s="22">
        <f t="shared" si="135"/>
        <v>1.0825366904537496E-3</v>
      </c>
      <c r="K241" s="3"/>
      <c r="L241" s="3">
        <f t="shared" si="136"/>
        <v>-761.9</v>
      </c>
      <c r="M241" s="3"/>
      <c r="N241" s="22">
        <f t="shared" si="137"/>
        <v>-0.97443374387701598</v>
      </c>
      <c r="O241" s="11"/>
      <c r="P241" s="3">
        <f>--19.99</f>
        <v>19.989999999999998</v>
      </c>
      <c r="Q241" s="3"/>
      <c r="R241" s="22">
        <f t="shared" si="138"/>
        <v>4.5887110088112423E-5</v>
      </c>
      <c r="S241" s="3"/>
      <c r="T241" s="3">
        <f>--781.89</f>
        <v>781.89</v>
      </c>
      <c r="U241" s="3"/>
      <c r="V241" s="22">
        <f t="shared" si="139"/>
        <v>1.0825366904537496E-3</v>
      </c>
      <c r="W241" s="3"/>
      <c r="X241" s="3">
        <f t="shared" si="140"/>
        <v>-761.9</v>
      </c>
      <c r="Y241" s="3"/>
      <c r="Z241" s="22">
        <f t="shared" si="141"/>
        <v>-0.97443374387701598</v>
      </c>
    </row>
    <row r="242" spans="1:26" s="24" customFormat="1" hidden="1" outlineLevel="1" x14ac:dyDescent="0.25">
      <c r="A242" s="50"/>
      <c r="B242" s="11" t="str">
        <f>CONCATENATE("          ", "4198", " - ", "NON-TAXABLE SALES-GRAD RENTALS")</f>
        <v xml:space="preserve">          4198 - NON-TAXABLE SALES-GRAD RENTALS</v>
      </c>
      <c r="C242" s="11"/>
      <c r="D242" s="3">
        <f t="shared" ref="D242:D243" si="142">0</f>
        <v>0</v>
      </c>
      <c r="E242" s="3"/>
      <c r="F242" s="22">
        <f t="shared" si="134"/>
        <v>0</v>
      </c>
      <c r="G242" s="3"/>
      <c r="H242" s="3">
        <f>--255</f>
        <v>255</v>
      </c>
      <c r="I242" s="3"/>
      <c r="J242" s="22">
        <f t="shared" si="135"/>
        <v>3.5305075658431E-4</v>
      </c>
      <c r="K242" s="3"/>
      <c r="L242" s="3">
        <f t="shared" si="136"/>
        <v>-255</v>
      </c>
      <c r="M242" s="3"/>
      <c r="N242" s="22">
        <f t="shared" si="137"/>
        <v>-1</v>
      </c>
      <c r="O242" s="11"/>
      <c r="P242" s="3">
        <f t="shared" ref="P242:P243" si="143">0</f>
        <v>0</v>
      </c>
      <c r="Q242" s="3"/>
      <c r="R242" s="22">
        <f t="shared" si="138"/>
        <v>0</v>
      </c>
      <c r="S242" s="3"/>
      <c r="T242" s="3">
        <f>--255</f>
        <v>255</v>
      </c>
      <c r="U242" s="3"/>
      <c r="V242" s="22">
        <f t="shared" si="139"/>
        <v>3.5305075658431E-4</v>
      </c>
      <c r="W242" s="3"/>
      <c r="X242" s="3">
        <f t="shared" si="140"/>
        <v>-255</v>
      </c>
      <c r="Y242" s="3"/>
      <c r="Z242" s="22">
        <f t="shared" si="141"/>
        <v>-1</v>
      </c>
    </row>
    <row r="243" spans="1:26" s="24" customFormat="1" hidden="1" outlineLevel="1" x14ac:dyDescent="0.25">
      <c r="A243" s="50"/>
      <c r="B243" s="11" t="str">
        <f>CONCATENATE("          ", "4387", " - ", "SALES RETURN NON TAXABLE-COMPU")</f>
        <v xml:space="preserve">          4387 - SALES RETURN NON TAXABLE-COMPU</v>
      </c>
      <c r="C243" s="11"/>
      <c r="D243" s="3">
        <f t="shared" si="142"/>
        <v>0</v>
      </c>
      <c r="E243" s="3"/>
      <c r="F243" s="22">
        <f t="shared" si="134"/>
        <v>0</v>
      </c>
      <c r="G243" s="3"/>
      <c r="H243" s="3">
        <f>-630.8</f>
        <v>-630.79999999999995</v>
      </c>
      <c r="I243" s="3"/>
      <c r="J243" s="22">
        <f t="shared" si="135"/>
        <v>-8.7335065589561858E-4</v>
      </c>
      <c r="K243" s="3"/>
      <c r="L243" s="3">
        <f t="shared" si="136"/>
        <v>630.79999999999995</v>
      </c>
      <c r="M243" s="3"/>
      <c r="N243" s="22">
        <f t="shared" si="137"/>
        <v>-1</v>
      </c>
      <c r="O243" s="11"/>
      <c r="P243" s="3">
        <f t="shared" si="143"/>
        <v>0</v>
      </c>
      <c r="Q243" s="3"/>
      <c r="R243" s="22">
        <f t="shared" si="138"/>
        <v>0</v>
      </c>
      <c r="S243" s="3"/>
      <c r="T243" s="3">
        <f>-630.8</f>
        <v>-630.79999999999995</v>
      </c>
      <c r="U243" s="3"/>
      <c r="V243" s="22">
        <f t="shared" si="139"/>
        <v>-8.7335065589561858E-4</v>
      </c>
      <c r="W243" s="3"/>
      <c r="X243" s="3">
        <f t="shared" si="140"/>
        <v>630.79999999999995</v>
      </c>
      <c r="Y243" s="3"/>
      <c r="Z243" s="22">
        <f t="shared" si="141"/>
        <v>-1</v>
      </c>
    </row>
    <row r="244" spans="1:26" s="24" customFormat="1" hidden="1" outlineLevel="1" x14ac:dyDescent="0.25">
      <c r="A244" s="50"/>
      <c r="B244" s="11" t="str">
        <f>CONCATENATE("          ", "9150", " - ", "MISC. INCOME")</f>
        <v xml:space="preserve">          9150 - MISC. INCOME</v>
      </c>
      <c r="C244" s="11"/>
      <c r="D244" s="3">
        <f>--35338.91</f>
        <v>35338.910000000003</v>
      </c>
      <c r="E244" s="3"/>
      <c r="F244" s="22">
        <f t="shared" si="134"/>
        <v>8.1120582969679708E-2</v>
      </c>
      <c r="G244" s="3"/>
      <c r="H244" s="3">
        <f>--70498.61</f>
        <v>70498.61</v>
      </c>
      <c r="I244" s="3"/>
      <c r="J244" s="22">
        <f t="shared" si="135"/>
        <v>9.7606225877028246E-2</v>
      </c>
      <c r="K244" s="3"/>
      <c r="L244" s="3">
        <f t="shared" si="136"/>
        <v>-35159.699999999997</v>
      </c>
      <c r="M244" s="3"/>
      <c r="N244" s="22">
        <f t="shared" si="137"/>
        <v>-0.49872898203241167</v>
      </c>
      <c r="O244" s="11"/>
      <c r="P244" s="3">
        <f>--35338.91</f>
        <v>35338.910000000003</v>
      </c>
      <c r="Q244" s="3"/>
      <c r="R244" s="22">
        <f t="shared" si="138"/>
        <v>8.1120582969679708E-2</v>
      </c>
      <c r="S244" s="3"/>
      <c r="T244" s="3">
        <f>--70498.61</f>
        <v>70498.61</v>
      </c>
      <c r="U244" s="3"/>
      <c r="V244" s="22">
        <f t="shared" si="139"/>
        <v>9.7606225877028246E-2</v>
      </c>
      <c r="W244" s="3"/>
      <c r="X244" s="3">
        <f t="shared" si="140"/>
        <v>-35159.699999999997</v>
      </c>
      <c r="Y244" s="3"/>
      <c r="Z244" s="22">
        <f t="shared" si="141"/>
        <v>-0.49872898203241167</v>
      </c>
    </row>
    <row r="245" spans="1:26" s="24" customFormat="1" hidden="1" outlineLevel="1" x14ac:dyDescent="0.25">
      <c r="A245" s="50"/>
      <c r="B245" s="11" t="str">
        <f>CONCATENATE("          ", "9151", " - ", "MISC. INCOME")</f>
        <v xml:space="preserve">          9151 - MISC. INCOME</v>
      </c>
      <c r="C245" s="11"/>
      <c r="D245" s="3">
        <f>0</f>
        <v>0</v>
      </c>
      <c r="E245" s="3"/>
      <c r="F245" s="22">
        <f t="shared" si="134"/>
        <v>0</v>
      </c>
      <c r="G245" s="3"/>
      <c r="H245" s="3">
        <f>-94.49</f>
        <v>-94.49</v>
      </c>
      <c r="I245" s="3"/>
      <c r="J245" s="22">
        <f t="shared" si="135"/>
        <v>-1.3082261172412334E-4</v>
      </c>
      <c r="K245" s="3"/>
      <c r="L245" s="3">
        <f t="shared" si="136"/>
        <v>94.49</v>
      </c>
      <c r="M245" s="3"/>
      <c r="N245" s="22">
        <f t="shared" si="137"/>
        <v>-1</v>
      </c>
      <c r="O245" s="11"/>
      <c r="P245" s="3">
        <f>0</f>
        <v>0</v>
      </c>
      <c r="Q245" s="3"/>
      <c r="R245" s="22">
        <f t="shared" si="138"/>
        <v>0</v>
      </c>
      <c r="S245" s="3"/>
      <c r="T245" s="3">
        <f>-94.49</f>
        <v>-94.49</v>
      </c>
      <c r="U245" s="3"/>
      <c r="V245" s="22">
        <f t="shared" si="139"/>
        <v>-1.3082261172412334E-4</v>
      </c>
      <c r="W245" s="3"/>
      <c r="X245" s="3">
        <f t="shared" si="140"/>
        <v>94.49</v>
      </c>
      <c r="Y245" s="3"/>
      <c r="Z245" s="22">
        <f t="shared" si="141"/>
        <v>-1</v>
      </c>
    </row>
    <row r="246" spans="1:26" s="24" customFormat="1" hidden="1" outlineLevel="1" x14ac:dyDescent="0.25">
      <c r="A246" s="50"/>
      <c r="B246" s="11" t="str">
        <f>CONCATENATE("          ", "9152", " - ", "MISC. INCOME")</f>
        <v xml:space="preserve">          9152 - MISC. INCOME</v>
      </c>
      <c r="C246" s="11"/>
      <c r="D246" s="3">
        <f>--1474.39</f>
        <v>1474.39</v>
      </c>
      <c r="E246" s="3"/>
      <c r="F246" s="22">
        <f t="shared" si="134"/>
        <v>3.3844670456634361E-3</v>
      </c>
      <c r="G246" s="3"/>
      <c r="H246" s="3">
        <f t="shared" ref="H246:H247" si="144">0</f>
        <v>0</v>
      </c>
      <c r="I246" s="3"/>
      <c r="J246" s="22">
        <f t="shared" si="135"/>
        <v>0</v>
      </c>
      <c r="K246" s="3"/>
      <c r="L246" s="3">
        <f t="shared" si="136"/>
        <v>1474.39</v>
      </c>
      <c r="M246" s="3"/>
      <c r="N246" s="22">
        <f t="shared" si="137"/>
        <v>0</v>
      </c>
      <c r="O246" s="11"/>
      <c r="P246" s="3">
        <f>--1474.39</f>
        <v>1474.39</v>
      </c>
      <c r="Q246" s="3"/>
      <c r="R246" s="22">
        <f t="shared" si="138"/>
        <v>3.3844670456634361E-3</v>
      </c>
      <c r="S246" s="3"/>
      <c r="T246" s="3">
        <f t="shared" ref="T246:T247" si="145">0</f>
        <v>0</v>
      </c>
      <c r="U246" s="3"/>
      <c r="V246" s="22">
        <f t="shared" si="139"/>
        <v>0</v>
      </c>
      <c r="W246" s="3"/>
      <c r="X246" s="3">
        <f t="shared" si="140"/>
        <v>1474.39</v>
      </c>
      <c r="Y246" s="3"/>
      <c r="Z246" s="22">
        <f t="shared" si="141"/>
        <v>0</v>
      </c>
    </row>
    <row r="247" spans="1:26" s="24" customFormat="1" hidden="1" outlineLevel="1" x14ac:dyDescent="0.25">
      <c r="A247" s="50"/>
      <c r="B247" s="11" t="str">
        <f>CONCATENATE("          ", "9163", " - ", "MISC. INCOME")</f>
        <v xml:space="preserve">          9163 - MISC. INCOME</v>
      </c>
      <c r="C247" s="11"/>
      <c r="D247" s="3">
        <f>--160663.9</f>
        <v>160663.9</v>
      </c>
      <c r="E247" s="3"/>
      <c r="F247" s="22">
        <f t="shared" si="134"/>
        <v>0.36880450557706285</v>
      </c>
      <c r="G247" s="3"/>
      <c r="H247" s="3">
        <f t="shared" si="144"/>
        <v>0</v>
      </c>
      <c r="I247" s="3"/>
      <c r="J247" s="22">
        <f t="shared" si="135"/>
        <v>0</v>
      </c>
      <c r="K247" s="3"/>
      <c r="L247" s="3">
        <f t="shared" si="136"/>
        <v>160663.9</v>
      </c>
      <c r="M247" s="3"/>
      <c r="N247" s="22">
        <f t="shared" si="137"/>
        <v>0</v>
      </c>
      <c r="O247" s="11"/>
      <c r="P247" s="3">
        <f>--160663.9</f>
        <v>160663.9</v>
      </c>
      <c r="Q247" s="3"/>
      <c r="R247" s="22">
        <f t="shared" si="138"/>
        <v>0.36880450557706285</v>
      </c>
      <c r="S247" s="3"/>
      <c r="T247" s="3">
        <f t="shared" si="145"/>
        <v>0</v>
      </c>
      <c r="U247" s="3"/>
      <c r="V247" s="22">
        <f t="shared" si="139"/>
        <v>0</v>
      </c>
      <c r="W247" s="3"/>
      <c r="X247" s="3">
        <f t="shared" si="140"/>
        <v>160663.9</v>
      </c>
      <c r="Y247" s="3"/>
      <c r="Z247" s="22">
        <f t="shared" si="141"/>
        <v>0</v>
      </c>
    </row>
    <row r="248" spans="1:26" x14ac:dyDescent="0.25">
      <c r="A248" s="9"/>
      <c r="B248" s="10"/>
      <c r="C248" s="10"/>
      <c r="D248" s="2"/>
      <c r="E248" s="2"/>
      <c r="F248" s="6"/>
      <c r="G248" s="2"/>
      <c r="H248" s="2"/>
      <c r="I248" s="2"/>
      <c r="J248" s="6"/>
      <c r="K248" s="2"/>
      <c r="L248" s="2"/>
      <c r="M248" s="2"/>
      <c r="N248" s="6"/>
      <c r="O248" s="10"/>
      <c r="P248" s="2"/>
      <c r="Q248" s="2"/>
      <c r="R248" s="6"/>
      <c r="S248" s="2"/>
      <c r="T248" s="2"/>
      <c r="U248" s="2"/>
      <c r="V248" s="6"/>
      <c r="W248" s="2"/>
      <c r="X248" s="2"/>
      <c r="Y248" s="2"/>
      <c r="Z248" s="6"/>
    </row>
    <row r="249" spans="1:26" s="23" customFormat="1" x14ac:dyDescent="0.25">
      <c r="A249" s="10"/>
      <c r="B249" s="26" t="s">
        <v>3</v>
      </c>
      <c r="C249" s="26"/>
      <c r="D249" s="19">
        <f>+D150-D152+D239</f>
        <v>-22600.22000000003</v>
      </c>
      <c r="E249" s="13"/>
      <c r="F249" s="20">
        <f>IF(D$12=0,0,D249/D$12)</f>
        <v>-5.1878878597076621E-2</v>
      </c>
      <c r="G249" s="13"/>
      <c r="H249" s="19">
        <f>+H150-H152+H239</f>
        <v>-123876.17999999957</v>
      </c>
      <c r="I249" s="13"/>
      <c r="J249" s="20">
        <f>IF(H$12=0,0,H249/H$12)</f>
        <v>-0.17150815322264323</v>
      </c>
      <c r="K249" s="16"/>
      <c r="L249" s="19">
        <f>+D249-H249</f>
        <v>101275.95999999954</v>
      </c>
      <c r="M249" s="16"/>
      <c r="N249" s="20">
        <f>IF(H249=0,0,L249/H249)</f>
        <v>-0.81755798410961567</v>
      </c>
      <c r="O249" s="25"/>
      <c r="P249" s="19">
        <f>+P150-P152+P239</f>
        <v>-22600.22000000003</v>
      </c>
      <c r="Q249" s="13"/>
      <c r="R249" s="20">
        <f>IF(P$12=0,0,P249/P$12)</f>
        <v>-5.1878878597076621E-2</v>
      </c>
      <c r="S249" s="13"/>
      <c r="T249" s="19">
        <f>+T150-T152+T239</f>
        <v>-123876.17999999957</v>
      </c>
      <c r="U249" s="13"/>
      <c r="V249" s="20">
        <f>IF(T$12=0,0,T249/T$12)</f>
        <v>-0.17150815322264323</v>
      </c>
      <c r="W249" s="16"/>
      <c r="X249" s="19">
        <f>+P249-T249</f>
        <v>101275.95999999954</v>
      </c>
      <c r="Y249" s="16"/>
      <c r="Z249" s="20">
        <f>IF(T249=0,0,X249/T249)</f>
        <v>-0.81755798410961567</v>
      </c>
    </row>
    <row r="250" spans="1:26" x14ac:dyDescent="0.25">
      <c r="A250" s="9"/>
      <c r="B250" s="10"/>
      <c r="C250" s="9"/>
      <c r="D250" s="2"/>
      <c r="E250" s="2"/>
      <c r="F250" s="6"/>
      <c r="G250" s="2"/>
      <c r="H250" s="2"/>
      <c r="I250" s="2"/>
      <c r="J250" s="6"/>
      <c r="K250" s="2"/>
      <c r="L250" s="2"/>
      <c r="M250" s="2"/>
      <c r="N250" s="6"/>
      <c r="P250" s="2"/>
      <c r="Q250" s="2"/>
      <c r="R250" s="6"/>
      <c r="S250" s="2"/>
      <c r="T250" s="2"/>
      <c r="U250" s="2"/>
      <c r="V250" s="6"/>
      <c r="W250" s="2"/>
      <c r="X250" s="2"/>
      <c r="Y250" s="2"/>
      <c r="Z250" s="6"/>
    </row>
    <row r="251" spans="1:26" s="23" customFormat="1" x14ac:dyDescent="0.25">
      <c r="A251" s="51"/>
      <c r="B251" s="10" t="s">
        <v>13</v>
      </c>
      <c r="C251" s="10"/>
      <c r="D251" s="4">
        <v>214852.73</v>
      </c>
      <c r="E251" s="4"/>
      <c r="F251" s="12">
        <f>IF(D$12=0,0,D251/D$12)</f>
        <v>0.49319514128271613</v>
      </c>
      <c r="G251" s="4"/>
      <c r="H251" s="4">
        <v>150182.41999999998</v>
      </c>
      <c r="I251" s="4"/>
      <c r="J251" s="12">
        <f>IF(H$12=0,0,H251/H$12)</f>
        <v>0.20792947845750043</v>
      </c>
      <c r="K251" s="4"/>
      <c r="L251" s="4">
        <f>+D251-H251</f>
        <v>64670.310000000027</v>
      </c>
      <c r="M251" s="4"/>
      <c r="N251" s="12">
        <f>IF(H251=0,0,L251/H251)</f>
        <v>0.4306117187351225</v>
      </c>
      <c r="O251" s="10"/>
      <c r="P251" s="4">
        <v>214852.73</v>
      </c>
      <c r="Q251" s="4"/>
      <c r="R251" s="12">
        <f>IF(P$12=0,0,P251/P$12)</f>
        <v>0.49319514128271613</v>
      </c>
      <c r="S251" s="4"/>
      <c r="T251" s="4">
        <v>150182.41999999998</v>
      </c>
      <c r="U251" s="4"/>
      <c r="V251" s="12">
        <f>IF(T$12=0,0,T251/T$12)</f>
        <v>0.20792947845750043</v>
      </c>
      <c r="W251" s="4"/>
      <c r="X251" s="4">
        <f>+P251-T251</f>
        <v>64670.310000000027</v>
      </c>
      <c r="Y251" s="4"/>
      <c r="Z251" s="12">
        <f>IF(T251=0,0,X251/T251)</f>
        <v>0.4306117187351225</v>
      </c>
    </row>
    <row r="252" spans="1:26" x14ac:dyDescent="0.25">
      <c r="A252" s="9"/>
      <c r="B252" s="10"/>
      <c r="C252" s="10"/>
      <c r="D252" s="2"/>
      <c r="E252" s="2"/>
      <c r="F252" s="6"/>
      <c r="G252" s="2"/>
      <c r="H252" s="2"/>
      <c r="I252" s="2"/>
      <c r="J252" s="6"/>
      <c r="K252" s="2"/>
      <c r="L252" s="2"/>
      <c r="M252" s="2"/>
      <c r="N252" s="6"/>
      <c r="O252" s="10"/>
      <c r="P252" s="2"/>
      <c r="Q252" s="2"/>
      <c r="R252" s="6"/>
      <c r="S252" s="2"/>
      <c r="T252" s="2"/>
      <c r="U252" s="2"/>
      <c r="V252" s="6"/>
      <c r="W252" s="2"/>
      <c r="X252" s="2"/>
      <c r="Y252" s="2"/>
      <c r="Z252" s="6"/>
    </row>
    <row r="253" spans="1:26" s="23" customFormat="1" ht="15.75" thickBot="1" x14ac:dyDescent="0.3">
      <c r="A253" s="10"/>
      <c r="B253" s="26" t="s">
        <v>4</v>
      </c>
      <c r="C253" s="26"/>
      <c r="D253" s="35">
        <f>+D249-D251</f>
        <v>-237452.95000000004</v>
      </c>
      <c r="E253" s="13"/>
      <c r="F253" s="30">
        <f>IF(D$12=0,0,D253/D$12)</f>
        <v>-0.54507401987979276</v>
      </c>
      <c r="G253" s="13"/>
      <c r="H253" s="35">
        <f>+H249-H251</f>
        <v>-274058.59999999957</v>
      </c>
      <c r="I253" s="13"/>
      <c r="J253" s="30">
        <f>IF(H$12=0,0,H253/H$12)</f>
        <v>-0.37943763168014366</v>
      </c>
      <c r="K253" s="16"/>
      <c r="L253" s="35">
        <f>D253-H253</f>
        <v>36605.649999999529</v>
      </c>
      <c r="M253" s="16"/>
      <c r="N253" s="30">
        <f>IF(H253=0,0,L253/H253)</f>
        <v>-0.13356869662181586</v>
      </c>
      <c r="O253" s="25"/>
      <c r="P253" s="35">
        <f>+P249-P251</f>
        <v>-237452.95000000004</v>
      </c>
      <c r="Q253" s="13"/>
      <c r="R253" s="30">
        <f>IF(P$12=0,0,P253/P$12)</f>
        <v>-0.54507401987979276</v>
      </c>
      <c r="S253" s="13"/>
      <c r="T253" s="35">
        <f>+T249-T251</f>
        <v>-274058.59999999957</v>
      </c>
      <c r="U253" s="13"/>
      <c r="V253" s="30">
        <f>IF(T$12=0,0,T253/T$12)</f>
        <v>-0.37943763168014366</v>
      </c>
      <c r="W253" s="16"/>
      <c r="X253" s="35">
        <f>P253-T253</f>
        <v>36605.649999999529</v>
      </c>
      <c r="Y253" s="16"/>
      <c r="Z253" s="30">
        <f>IF(T253=0,0,X253/T253)</f>
        <v>-0.13356869662181586</v>
      </c>
    </row>
    <row r="254" spans="1:26" ht="15.75" thickTop="1" x14ac:dyDescent="0.25">
      <c r="A254" s="9"/>
      <c r="B254" s="9"/>
      <c r="C254" s="9"/>
      <c r="D254" s="2"/>
      <c r="E254" s="2"/>
      <c r="F254" s="6"/>
      <c r="G254" s="2"/>
      <c r="H254" s="2"/>
      <c r="I254" s="2"/>
      <c r="J254" s="6"/>
      <c r="K254" s="2"/>
      <c r="L254" s="2"/>
      <c r="M254" s="2"/>
      <c r="N254" s="6"/>
      <c r="P254" s="2"/>
      <c r="Q254" s="2"/>
      <c r="R254" s="6"/>
      <c r="S254" s="2"/>
      <c r="T254" s="2"/>
      <c r="U254" s="2"/>
      <c r="V254" s="6"/>
      <c r="W254" s="2"/>
      <c r="X254" s="2"/>
      <c r="Y254" s="2"/>
      <c r="Z254" s="6"/>
    </row>
    <row r="255" spans="1:26" x14ac:dyDescent="0.25">
      <c r="A255" s="9"/>
      <c r="B255" s="9"/>
      <c r="C255" s="9"/>
      <c r="D255" s="2"/>
      <c r="E255" s="2"/>
      <c r="F255" s="6"/>
      <c r="G255" s="2"/>
      <c r="H255" s="2"/>
      <c r="I255" s="2"/>
      <c r="J255" s="6"/>
      <c r="K255" s="2"/>
      <c r="L255" s="2"/>
      <c r="M255" s="2"/>
      <c r="N255" s="6"/>
      <c r="P255" s="2"/>
      <c r="Q255" s="2"/>
      <c r="R255" s="6"/>
      <c r="S255" s="2"/>
      <c r="T255" s="2"/>
      <c r="U255" s="2"/>
      <c r="V255" s="6"/>
      <c r="W255" s="2"/>
      <c r="X255" s="2"/>
      <c r="Y255" s="2"/>
      <c r="Z255" s="6"/>
    </row>
    <row r="256" spans="1:26" s="23" customFormat="1" ht="15.75" thickBot="1" x14ac:dyDescent="0.3">
      <c r="A256" s="10"/>
      <c r="B256" s="26" t="s">
        <v>5</v>
      </c>
      <c r="C256" s="26"/>
      <c r="D256" s="31">
        <f>SUM(D253:D255)</f>
        <v>-237452.95000000004</v>
      </c>
      <c r="E256" s="13"/>
      <c r="F256" s="32">
        <f>IF(D$12=0,0,D256/D$12)</f>
        <v>-0.54507401987979276</v>
      </c>
      <c r="G256" s="13"/>
      <c r="H256" s="31">
        <f>SUM(H253:H255)</f>
        <v>-274058.59999999957</v>
      </c>
      <c r="I256" s="13"/>
      <c r="J256" s="32">
        <f>IF(H$12=0,0,H256/H$12)</f>
        <v>-0.37943763168014366</v>
      </c>
      <c r="K256" s="16"/>
      <c r="L256" s="31">
        <f>+D256-H256</f>
        <v>36605.649999999529</v>
      </c>
      <c r="M256" s="16"/>
      <c r="N256" s="32">
        <f>IF(H256=0,0,L256/H256)</f>
        <v>-0.13356869662181586</v>
      </c>
      <c r="O256" s="25"/>
      <c r="P256" s="31">
        <f>SUM(P253:P255)</f>
        <v>-237452.95000000004</v>
      </c>
      <c r="Q256" s="13"/>
      <c r="R256" s="32">
        <f>IF(P$12=0,0,P256/P$12)</f>
        <v>-0.54507401987979276</v>
      </c>
      <c r="S256" s="13"/>
      <c r="T256" s="31">
        <f>SUM(T253:T255)</f>
        <v>-274058.59999999957</v>
      </c>
      <c r="U256" s="13"/>
      <c r="V256" s="32">
        <f>IF(T$12=0,0,T256/T$12)</f>
        <v>-0.37943763168014366</v>
      </c>
      <c r="W256" s="16"/>
      <c r="X256" s="31">
        <f>+P256-T256</f>
        <v>36605.649999999529</v>
      </c>
      <c r="Y256" s="16"/>
      <c r="Z256" s="32">
        <f>IF(T256=0,0,X256/T256)</f>
        <v>-0.13356869662181586</v>
      </c>
    </row>
    <row r="257" spans="1:24" ht="15.75" thickTop="1" x14ac:dyDescent="0.25">
      <c r="A257" s="9"/>
      <c r="C257" s="9"/>
      <c r="D257" s="17"/>
      <c r="E257" s="17"/>
      <c r="G257" s="17"/>
      <c r="H257" s="17"/>
      <c r="I257" s="17"/>
      <c r="J257" s="43"/>
      <c r="K257" s="17"/>
      <c r="L257" s="17"/>
      <c r="M257" s="17"/>
      <c r="P257" s="17"/>
      <c r="Q257" s="17"/>
      <c r="R257" s="43"/>
      <c r="S257" s="17"/>
      <c r="T257" s="17"/>
      <c r="U257" s="17"/>
      <c r="V257" s="43"/>
      <c r="W257" s="17"/>
      <c r="X257" s="17"/>
    </row>
    <row r="258" spans="1:24" x14ac:dyDescent="0.25">
      <c r="A258" s="9"/>
      <c r="B258" s="59">
        <v>44109.413634027776</v>
      </c>
      <c r="D258" s="17"/>
      <c r="E258" s="17"/>
      <c r="G258" s="17"/>
      <c r="H258" s="17"/>
      <c r="I258" s="17"/>
      <c r="J258" s="43"/>
      <c r="K258" s="17"/>
      <c r="L258" s="17"/>
      <c r="M258" s="17"/>
      <c r="P258" s="17"/>
      <c r="Q258" s="17"/>
      <c r="R258" s="43"/>
      <c r="S258" s="17"/>
      <c r="T258" s="17"/>
      <c r="U258" s="17"/>
      <c r="V258" s="43"/>
      <c r="W258" s="17"/>
      <c r="X258" s="17"/>
    </row>
    <row r="259" spans="1:24" x14ac:dyDescent="0.25">
      <c r="A259" s="9"/>
      <c r="B259" s="62" t="s">
        <v>313</v>
      </c>
      <c r="D259" s="17"/>
      <c r="E259" s="17"/>
      <c r="G259" s="17"/>
      <c r="H259" s="17"/>
      <c r="I259" s="17"/>
      <c r="J259" s="43"/>
      <c r="K259" s="17"/>
      <c r="L259" s="17"/>
      <c r="M259" s="17"/>
      <c r="P259" s="17"/>
      <c r="Q259" s="17"/>
      <c r="R259" s="43"/>
      <c r="S259" s="17"/>
      <c r="T259" s="17"/>
      <c r="U259" s="17"/>
      <c r="V259" s="43"/>
      <c r="W259" s="17"/>
      <c r="X259" s="17"/>
    </row>
    <row r="260" spans="1:24" x14ac:dyDescent="0.25">
      <c r="A260" s="9"/>
      <c r="B260" s="56"/>
      <c r="D260" s="17"/>
      <c r="E260" s="17"/>
      <c r="G260" s="17"/>
      <c r="H260" s="17"/>
      <c r="I260" s="17"/>
      <c r="J260" s="43"/>
      <c r="K260" s="17"/>
      <c r="L260" s="17"/>
      <c r="M260" s="17"/>
      <c r="P260" s="17"/>
      <c r="Q260" s="17"/>
      <c r="R260" s="43"/>
      <c r="S260" s="17"/>
      <c r="T260" s="17"/>
      <c r="U260" s="17"/>
      <c r="V260" s="43"/>
      <c r="W260" s="17"/>
      <c r="X260" s="17"/>
    </row>
    <row r="261" spans="1:24" x14ac:dyDescent="0.25">
      <c r="D261" s="17"/>
      <c r="E261" s="17"/>
      <c r="G261" s="17"/>
      <c r="H261" s="17"/>
      <c r="I261" s="17"/>
      <c r="J261" s="43"/>
      <c r="K261" s="17"/>
      <c r="L261" s="17"/>
      <c r="M261" s="17"/>
      <c r="P261" s="17"/>
      <c r="Q261" s="17"/>
      <c r="R261" s="43"/>
      <c r="S261" s="17"/>
      <c r="T261" s="17"/>
      <c r="U261" s="17"/>
      <c r="V261" s="43"/>
      <c r="W261" s="17"/>
      <c r="X26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165416.69999999998</v>
      </c>
      <c r="E18" s="21"/>
      <c r="F18" s="34">
        <f t="shared" ref="F18:F28" si="0">IF(D$12=0,0,D18/D$12)</f>
        <v>0</v>
      </c>
      <c r="G18" s="21"/>
      <c r="H18" s="21">
        <f>SUM(OSRRefH22x_0)</f>
        <v>124443.05999999997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40973.640000000014</v>
      </c>
      <c r="M18" s="4"/>
      <c r="N18" s="34">
        <f t="shared" ref="N18:N28" si="3">IF(H18=0,0,L18/H18)</f>
        <v>0.32925612726013026</v>
      </c>
      <c r="O18" s="10"/>
      <c r="P18" s="21">
        <f>SUM(OSRRefP22x_0)</f>
        <v>165416.69999999998</v>
      </c>
      <c r="Q18" s="21"/>
      <c r="R18" s="34">
        <f t="shared" ref="R18:R28" si="4">IF(P$12=0,0,P18/P$12)</f>
        <v>0</v>
      </c>
      <c r="S18" s="21"/>
      <c r="T18" s="21">
        <f>SUM(OSRRefT22x_0)</f>
        <v>124443.05999999997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40973.640000000014</v>
      </c>
      <c r="Y18" s="4"/>
      <c r="Z18" s="34">
        <f t="shared" ref="Z18:Z28" si="7">IF(T18=0,0,X18/T18)</f>
        <v>0.32925612726013026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8516.33</v>
      </c>
      <c r="E19" s="1"/>
      <c r="F19" s="5">
        <f t="shared" si="0"/>
        <v>0</v>
      </c>
      <c r="G19" s="1"/>
      <c r="H19" s="1">
        <f>SUM(OSRRefH22_0x_0)</f>
        <v>14335.359999999997</v>
      </c>
      <c r="I19" s="1"/>
      <c r="J19" s="5">
        <f t="shared" si="1"/>
        <v>0</v>
      </c>
      <c r="K19" s="1"/>
      <c r="L19" s="1">
        <f t="shared" si="2"/>
        <v>-5819.029999999997</v>
      </c>
      <c r="M19" s="1"/>
      <c r="N19" s="5">
        <f t="shared" si="3"/>
        <v>-0.4059214418054376</v>
      </c>
      <c r="O19" s="14"/>
      <c r="P19" s="1">
        <f>SUM(OSRRefP22_0x_0)</f>
        <v>8516.33</v>
      </c>
      <c r="Q19" s="1"/>
      <c r="R19" s="5">
        <f t="shared" si="4"/>
        <v>0</v>
      </c>
      <c r="S19" s="1"/>
      <c r="T19" s="1">
        <f>SUM(OSRRefT22_0x_0)</f>
        <v>14335.359999999997</v>
      </c>
      <c r="U19" s="1"/>
      <c r="V19" s="5">
        <f t="shared" si="5"/>
        <v>0</v>
      </c>
      <c r="W19" s="1"/>
      <c r="X19" s="1">
        <f t="shared" si="6"/>
        <v>-5819.029999999997</v>
      </c>
      <c r="Y19" s="1"/>
      <c r="Z19" s="5">
        <f t="shared" si="7"/>
        <v>-0.4059214418054376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2247.02</v>
      </c>
      <c r="E20" s="3"/>
      <c r="F20" s="7">
        <f t="shared" si="0"/>
        <v>0</v>
      </c>
      <c r="G20" s="3"/>
      <c r="H20" s="8">
        <v>2562.7399999999998</v>
      </c>
      <c r="I20" s="3"/>
      <c r="J20" s="7">
        <f t="shared" si="1"/>
        <v>0</v>
      </c>
      <c r="K20" s="3"/>
      <c r="L20" s="8">
        <f t="shared" si="2"/>
        <v>-315.7199999999998</v>
      </c>
      <c r="M20" s="3"/>
      <c r="N20" s="7">
        <f t="shared" si="3"/>
        <v>-0.12319626649601592</v>
      </c>
      <c r="O20" s="11"/>
      <c r="P20" s="8">
        <v>2247.02</v>
      </c>
      <c r="Q20" s="3"/>
      <c r="R20" s="7">
        <f t="shared" si="4"/>
        <v>0</v>
      </c>
      <c r="S20" s="3"/>
      <c r="T20" s="8">
        <v>2562.7399999999998</v>
      </c>
      <c r="U20" s="3"/>
      <c r="V20" s="7">
        <f t="shared" si="5"/>
        <v>0</v>
      </c>
      <c r="W20" s="3"/>
      <c r="X20" s="8">
        <f t="shared" si="6"/>
        <v>-315.7199999999998</v>
      </c>
      <c r="Y20" s="3"/>
      <c r="Z20" s="7">
        <f t="shared" si="7"/>
        <v>-0.12319626649601592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747.02</v>
      </c>
      <c r="E21" s="3"/>
      <c r="F21" s="7">
        <f t="shared" si="0"/>
        <v>0</v>
      </c>
      <c r="G21" s="3"/>
      <c r="H21" s="8">
        <v>346.87</v>
      </c>
      <c r="I21" s="3"/>
      <c r="J21" s="7">
        <f t="shared" si="1"/>
        <v>0</v>
      </c>
      <c r="K21" s="3"/>
      <c r="L21" s="8">
        <f t="shared" si="2"/>
        <v>400.15</v>
      </c>
      <c r="M21" s="3"/>
      <c r="N21" s="7">
        <f t="shared" si="3"/>
        <v>1.1536022140859687</v>
      </c>
      <c r="O21" s="11"/>
      <c r="P21" s="8">
        <v>747.02</v>
      </c>
      <c r="Q21" s="3"/>
      <c r="R21" s="7">
        <f t="shared" si="4"/>
        <v>0</v>
      </c>
      <c r="S21" s="3"/>
      <c r="T21" s="8">
        <v>346.87</v>
      </c>
      <c r="U21" s="3"/>
      <c r="V21" s="7">
        <f t="shared" si="5"/>
        <v>0</v>
      </c>
      <c r="W21" s="3"/>
      <c r="X21" s="8">
        <f t="shared" si="6"/>
        <v>400.15</v>
      </c>
      <c r="Y21" s="3"/>
      <c r="Z21" s="7">
        <f t="shared" si="7"/>
        <v>1.1536022140859687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1657.39</v>
      </c>
      <c r="E22" s="3"/>
      <c r="F22" s="7">
        <f t="shared" si="0"/>
        <v>0</v>
      </c>
      <c r="G22" s="3"/>
      <c r="H22" s="8">
        <v>5472.97</v>
      </c>
      <c r="I22" s="3"/>
      <c r="J22" s="7">
        <f t="shared" si="1"/>
        <v>0</v>
      </c>
      <c r="K22" s="3"/>
      <c r="L22" s="8">
        <f t="shared" si="2"/>
        <v>-3815.58</v>
      </c>
      <c r="M22" s="3"/>
      <c r="N22" s="7">
        <f t="shared" si="3"/>
        <v>-0.69716808241229167</v>
      </c>
      <c r="O22" s="11"/>
      <c r="P22" s="8">
        <v>1657.39</v>
      </c>
      <c r="Q22" s="3"/>
      <c r="R22" s="7">
        <f t="shared" si="4"/>
        <v>0</v>
      </c>
      <c r="S22" s="3"/>
      <c r="T22" s="8">
        <v>5472.97</v>
      </c>
      <c r="U22" s="3"/>
      <c r="V22" s="7">
        <f t="shared" si="5"/>
        <v>0</v>
      </c>
      <c r="W22" s="3"/>
      <c r="X22" s="8">
        <f t="shared" si="6"/>
        <v>-3815.58</v>
      </c>
      <c r="Y22" s="3"/>
      <c r="Z22" s="7">
        <f t="shared" si="7"/>
        <v>-0.69716808241229167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105</v>
      </c>
      <c r="E23" s="3"/>
      <c r="F23" s="7">
        <f t="shared" si="0"/>
        <v>0</v>
      </c>
      <c r="G23" s="3"/>
      <c r="H23" s="8">
        <v>87.63</v>
      </c>
      <c r="I23" s="3"/>
      <c r="J23" s="7">
        <f t="shared" si="1"/>
        <v>0</v>
      </c>
      <c r="K23" s="3"/>
      <c r="L23" s="8">
        <f t="shared" si="2"/>
        <v>17.370000000000005</v>
      </c>
      <c r="M23" s="3"/>
      <c r="N23" s="7">
        <f t="shared" si="3"/>
        <v>0.19821978774392338</v>
      </c>
      <c r="O23" s="11"/>
      <c r="P23" s="8">
        <v>105</v>
      </c>
      <c r="Q23" s="3"/>
      <c r="R23" s="7">
        <f t="shared" si="4"/>
        <v>0</v>
      </c>
      <c r="S23" s="3"/>
      <c r="T23" s="8">
        <v>87.63</v>
      </c>
      <c r="U23" s="3"/>
      <c r="V23" s="7">
        <f t="shared" si="5"/>
        <v>0</v>
      </c>
      <c r="W23" s="3"/>
      <c r="X23" s="8">
        <f t="shared" si="6"/>
        <v>17.370000000000005</v>
      </c>
      <c r="Y23" s="3"/>
      <c r="Z23" s="7">
        <f t="shared" si="7"/>
        <v>0.19821978774392338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1359.34</v>
      </c>
      <c r="E24" s="3"/>
      <c r="F24" s="7">
        <f t="shared" si="0"/>
        <v>0</v>
      </c>
      <c r="G24" s="3"/>
      <c r="H24" s="8">
        <v>1730.14</v>
      </c>
      <c r="I24" s="3"/>
      <c r="J24" s="7">
        <f t="shared" si="1"/>
        <v>0</v>
      </c>
      <c r="K24" s="3"/>
      <c r="L24" s="8">
        <f t="shared" si="2"/>
        <v>-370.80000000000018</v>
      </c>
      <c r="M24" s="3"/>
      <c r="N24" s="7">
        <f t="shared" si="3"/>
        <v>-0.21431791646918755</v>
      </c>
      <c r="O24" s="11"/>
      <c r="P24" s="8">
        <v>1359.34</v>
      </c>
      <c r="Q24" s="3"/>
      <c r="R24" s="7">
        <f t="shared" si="4"/>
        <v>0</v>
      </c>
      <c r="S24" s="3"/>
      <c r="T24" s="8">
        <v>1730.14</v>
      </c>
      <c r="U24" s="3"/>
      <c r="V24" s="7">
        <f t="shared" si="5"/>
        <v>0</v>
      </c>
      <c r="W24" s="3"/>
      <c r="X24" s="8">
        <f t="shared" si="6"/>
        <v>-370.80000000000018</v>
      </c>
      <c r="Y24" s="3"/>
      <c r="Z24" s="7">
        <f t="shared" si="7"/>
        <v>-0.21431791646918755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8">
        <v>401.9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401.9</v>
      </c>
      <c r="M25" s="3"/>
      <c r="N25" s="7">
        <f t="shared" si="3"/>
        <v>0</v>
      </c>
      <c r="O25" s="11"/>
      <c r="P25" s="8">
        <v>401.9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401.9</v>
      </c>
      <c r="Y25" s="3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>
        <v>1161.98</v>
      </c>
      <c r="E26" s="3"/>
      <c r="F26" s="7">
        <f t="shared" si="0"/>
        <v>0</v>
      </c>
      <c r="G26" s="3"/>
      <c r="H26" s="8">
        <v>2207.2199999999998</v>
      </c>
      <c r="I26" s="3"/>
      <c r="J26" s="7">
        <f t="shared" si="1"/>
        <v>0</v>
      </c>
      <c r="K26" s="3"/>
      <c r="L26" s="8">
        <f t="shared" si="2"/>
        <v>-1045.2399999999998</v>
      </c>
      <c r="M26" s="3"/>
      <c r="N26" s="7">
        <f t="shared" si="3"/>
        <v>-0.47355496959976801</v>
      </c>
      <c r="O26" s="11"/>
      <c r="P26" s="8">
        <v>1161.98</v>
      </c>
      <c r="Q26" s="3"/>
      <c r="R26" s="7">
        <f t="shared" si="4"/>
        <v>0</v>
      </c>
      <c r="S26" s="3"/>
      <c r="T26" s="8">
        <v>2207.2199999999998</v>
      </c>
      <c r="U26" s="3"/>
      <c r="V26" s="7">
        <f t="shared" si="5"/>
        <v>0</v>
      </c>
      <c r="W26" s="3"/>
      <c r="X26" s="8">
        <f t="shared" si="6"/>
        <v>-1045.2399999999998</v>
      </c>
      <c r="Y26" s="3"/>
      <c r="Z26" s="7">
        <f t="shared" si="7"/>
        <v>-0.47355496959976801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>
        <v>758.33</v>
      </c>
      <c r="E27" s="3"/>
      <c r="F27" s="7">
        <f t="shared" si="0"/>
        <v>0</v>
      </c>
      <c r="G27" s="3"/>
      <c r="H27" s="8">
        <v>1546.58</v>
      </c>
      <c r="I27" s="3"/>
      <c r="J27" s="7">
        <f t="shared" si="1"/>
        <v>0</v>
      </c>
      <c r="K27" s="3"/>
      <c r="L27" s="8">
        <f t="shared" si="2"/>
        <v>-788.24999999999989</v>
      </c>
      <c r="M27" s="3"/>
      <c r="N27" s="7">
        <f t="shared" si="3"/>
        <v>-0.50967295581217908</v>
      </c>
      <c r="O27" s="11"/>
      <c r="P27" s="8">
        <v>758.33</v>
      </c>
      <c r="Q27" s="3"/>
      <c r="R27" s="7">
        <f t="shared" si="4"/>
        <v>0</v>
      </c>
      <c r="S27" s="3"/>
      <c r="T27" s="8">
        <v>1546.58</v>
      </c>
      <c r="U27" s="3"/>
      <c r="V27" s="7">
        <f t="shared" si="5"/>
        <v>0</v>
      </c>
      <c r="W27" s="3"/>
      <c r="X27" s="8">
        <f t="shared" si="6"/>
        <v>-788.24999999999989</v>
      </c>
      <c r="Y27" s="3"/>
      <c r="Z27" s="7">
        <f t="shared" si="7"/>
        <v>-0.50967295581217908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8">
        <v>78.349999999999994</v>
      </c>
      <c r="E28" s="3"/>
      <c r="F28" s="7">
        <f t="shared" si="0"/>
        <v>0</v>
      </c>
      <c r="G28" s="3"/>
      <c r="H28" s="8">
        <v>381.21</v>
      </c>
      <c r="I28" s="3"/>
      <c r="J28" s="7">
        <f t="shared" si="1"/>
        <v>0</v>
      </c>
      <c r="K28" s="3"/>
      <c r="L28" s="8">
        <f t="shared" si="2"/>
        <v>-302.86</v>
      </c>
      <c r="M28" s="3"/>
      <c r="N28" s="7">
        <f t="shared" si="3"/>
        <v>-0.79447023950053786</v>
      </c>
      <c r="O28" s="11"/>
      <c r="P28" s="8">
        <v>78.349999999999994</v>
      </c>
      <c r="Q28" s="3"/>
      <c r="R28" s="7">
        <f t="shared" si="4"/>
        <v>0</v>
      </c>
      <c r="S28" s="3"/>
      <c r="T28" s="8">
        <v>381.21</v>
      </c>
      <c r="U28" s="3"/>
      <c r="V28" s="7">
        <f t="shared" si="5"/>
        <v>0</v>
      </c>
      <c r="W28" s="3"/>
      <c r="X28" s="8">
        <f t="shared" si="6"/>
        <v>-302.86</v>
      </c>
      <c r="Y28" s="3"/>
      <c r="Z28" s="7">
        <f t="shared" si="7"/>
        <v>-0.79447023950053786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43822.61</v>
      </c>
      <c r="E29" s="1"/>
      <c r="F29" s="5">
        <f t="shared" ref="F29:F35" si="8">IF(D$12=0,0,D29/D$12)</f>
        <v>0</v>
      </c>
      <c r="G29" s="1"/>
      <c r="H29" s="1">
        <f>SUM(OSRRefH22_1x_0)</f>
        <v>37776.719999999994</v>
      </c>
      <c r="I29" s="1"/>
      <c r="J29" s="5">
        <f t="shared" ref="J29:J35" si="9">IF(H$12=0,0,H29/H$12)</f>
        <v>0</v>
      </c>
      <c r="K29" s="1"/>
      <c r="L29" s="1">
        <f t="shared" ref="L29:L35" si="10">+D29-H29</f>
        <v>6045.8900000000067</v>
      </c>
      <c r="M29" s="1"/>
      <c r="N29" s="5">
        <f t="shared" ref="N29:N35" si="11">IF(H29=0,0,L29/H29)</f>
        <v>0.16004274590276785</v>
      </c>
      <c r="O29" s="14"/>
      <c r="P29" s="1">
        <f>SUM(OSRRefP22_1x_0)</f>
        <v>43822.61</v>
      </c>
      <c r="Q29" s="1"/>
      <c r="R29" s="5">
        <f t="shared" ref="R29:R35" si="12">IF(P$12=0,0,P29/P$12)</f>
        <v>0</v>
      </c>
      <c r="S29" s="1"/>
      <c r="T29" s="1">
        <f>SUM(OSRRefT22_1x_0)</f>
        <v>37776.719999999994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6045.8900000000067</v>
      </c>
      <c r="Y29" s="1"/>
      <c r="Z29" s="5">
        <f t="shared" ref="Z29:Z35" si="15">IF(T29=0,0,X29/T29)</f>
        <v>0.16004274590276785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4837.17</v>
      </c>
      <c r="E30" s="3"/>
      <c r="F30" s="7">
        <f t="shared" si="8"/>
        <v>0</v>
      </c>
      <c r="G30" s="3"/>
      <c r="H30" s="8">
        <v>12860.28</v>
      </c>
      <c r="I30" s="3"/>
      <c r="J30" s="7">
        <f t="shared" si="9"/>
        <v>0</v>
      </c>
      <c r="K30" s="3"/>
      <c r="L30" s="8">
        <f t="shared" si="10"/>
        <v>-8023.1100000000006</v>
      </c>
      <c r="M30" s="3"/>
      <c r="N30" s="7">
        <f t="shared" si="11"/>
        <v>-0.62386744301057206</v>
      </c>
      <c r="O30" s="11"/>
      <c r="P30" s="8">
        <v>4837.17</v>
      </c>
      <c r="Q30" s="3"/>
      <c r="R30" s="7">
        <f t="shared" si="12"/>
        <v>0</v>
      </c>
      <c r="S30" s="3"/>
      <c r="T30" s="8">
        <v>12860.28</v>
      </c>
      <c r="U30" s="3"/>
      <c r="V30" s="7">
        <f t="shared" si="13"/>
        <v>0</v>
      </c>
      <c r="W30" s="3"/>
      <c r="X30" s="8">
        <f t="shared" si="14"/>
        <v>-8023.1100000000006</v>
      </c>
      <c r="Y30" s="3"/>
      <c r="Z30" s="7">
        <f t="shared" si="15"/>
        <v>-0.62386744301057206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8">
        <v>8856.2999999999993</v>
      </c>
      <c r="E31" s="3"/>
      <c r="F31" s="7">
        <f t="shared" si="8"/>
        <v>0</v>
      </c>
      <c r="G31" s="3"/>
      <c r="H31" s="8">
        <v>6389.75</v>
      </c>
      <c r="I31" s="3"/>
      <c r="J31" s="7">
        <f t="shared" si="9"/>
        <v>0</v>
      </c>
      <c r="K31" s="3"/>
      <c r="L31" s="8">
        <f t="shared" si="10"/>
        <v>2466.5499999999993</v>
      </c>
      <c r="M31" s="3"/>
      <c r="N31" s="7">
        <f t="shared" si="11"/>
        <v>0.38601666731875256</v>
      </c>
      <c r="O31" s="11"/>
      <c r="P31" s="8">
        <v>8856.2999999999993</v>
      </c>
      <c r="Q31" s="3"/>
      <c r="R31" s="7">
        <f t="shared" si="12"/>
        <v>0</v>
      </c>
      <c r="S31" s="3"/>
      <c r="T31" s="8">
        <v>6389.75</v>
      </c>
      <c r="U31" s="3"/>
      <c r="V31" s="7">
        <f t="shared" si="13"/>
        <v>0</v>
      </c>
      <c r="W31" s="3"/>
      <c r="X31" s="8">
        <f t="shared" si="14"/>
        <v>2466.5499999999993</v>
      </c>
      <c r="Y31" s="3"/>
      <c r="Z31" s="7">
        <f t="shared" si="15"/>
        <v>0.38601666731875256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8">
        <v>3465.6</v>
      </c>
      <c r="E32" s="3"/>
      <c r="F32" s="7">
        <f t="shared" si="8"/>
        <v>0</v>
      </c>
      <c r="G32" s="3"/>
      <c r="H32" s="8"/>
      <c r="I32" s="3"/>
      <c r="J32" s="7">
        <f t="shared" si="9"/>
        <v>0</v>
      </c>
      <c r="K32" s="3"/>
      <c r="L32" s="8">
        <f t="shared" si="10"/>
        <v>3465.6</v>
      </c>
      <c r="M32" s="3"/>
      <c r="N32" s="7">
        <f t="shared" si="11"/>
        <v>0</v>
      </c>
      <c r="O32" s="11"/>
      <c r="P32" s="8">
        <v>3465.6</v>
      </c>
      <c r="Q32" s="3"/>
      <c r="R32" s="7">
        <f t="shared" si="12"/>
        <v>0</v>
      </c>
      <c r="S32" s="3"/>
      <c r="T32" s="8"/>
      <c r="U32" s="3"/>
      <c r="V32" s="7">
        <f t="shared" si="13"/>
        <v>0</v>
      </c>
      <c r="W32" s="3"/>
      <c r="X32" s="8">
        <f t="shared" si="14"/>
        <v>3465.6</v>
      </c>
      <c r="Y32" s="3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8">
        <v>8462.1</v>
      </c>
      <c r="E33" s="3"/>
      <c r="F33" s="7">
        <f t="shared" si="8"/>
        <v>0</v>
      </c>
      <c r="G33" s="3"/>
      <c r="H33" s="8">
        <v>8269.24</v>
      </c>
      <c r="I33" s="3"/>
      <c r="J33" s="7">
        <f t="shared" si="9"/>
        <v>0</v>
      </c>
      <c r="K33" s="3"/>
      <c r="L33" s="8">
        <f t="shared" si="10"/>
        <v>192.86000000000058</v>
      </c>
      <c r="M33" s="3"/>
      <c r="N33" s="7">
        <f t="shared" si="11"/>
        <v>2.33225786166565E-2</v>
      </c>
      <c r="O33" s="11"/>
      <c r="P33" s="8">
        <v>8462.1</v>
      </c>
      <c r="Q33" s="3"/>
      <c r="R33" s="7">
        <f t="shared" si="12"/>
        <v>0</v>
      </c>
      <c r="S33" s="3"/>
      <c r="T33" s="8">
        <v>8269.24</v>
      </c>
      <c r="U33" s="3"/>
      <c r="V33" s="7">
        <f t="shared" si="13"/>
        <v>0</v>
      </c>
      <c r="W33" s="3"/>
      <c r="X33" s="8">
        <f t="shared" si="14"/>
        <v>192.86000000000058</v>
      </c>
      <c r="Y33" s="3"/>
      <c r="Z33" s="7">
        <f t="shared" si="15"/>
        <v>2.33225786166565E-2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8">
        <v>1545.92</v>
      </c>
      <c r="E34" s="3"/>
      <c r="F34" s="7">
        <f t="shared" si="8"/>
        <v>0</v>
      </c>
      <c r="G34" s="3"/>
      <c r="H34" s="8">
        <v>1380.94</v>
      </c>
      <c r="I34" s="3"/>
      <c r="J34" s="7">
        <f t="shared" si="9"/>
        <v>0</v>
      </c>
      <c r="K34" s="3"/>
      <c r="L34" s="8">
        <f t="shared" si="10"/>
        <v>164.98000000000002</v>
      </c>
      <c r="M34" s="3"/>
      <c r="N34" s="7">
        <f t="shared" si="11"/>
        <v>0.11946934696655902</v>
      </c>
      <c r="O34" s="11"/>
      <c r="P34" s="8">
        <v>1545.92</v>
      </c>
      <c r="Q34" s="3"/>
      <c r="R34" s="7">
        <f t="shared" si="12"/>
        <v>0</v>
      </c>
      <c r="S34" s="3"/>
      <c r="T34" s="8">
        <v>1380.94</v>
      </c>
      <c r="U34" s="3"/>
      <c r="V34" s="7">
        <f t="shared" si="13"/>
        <v>0</v>
      </c>
      <c r="W34" s="3"/>
      <c r="X34" s="8">
        <f t="shared" si="14"/>
        <v>164.98000000000002</v>
      </c>
      <c r="Y34" s="3"/>
      <c r="Z34" s="7">
        <f t="shared" si="15"/>
        <v>0.11946934696655902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8">
        <v>16655.52</v>
      </c>
      <c r="E35" s="3"/>
      <c r="F35" s="7">
        <f t="shared" si="8"/>
        <v>0</v>
      </c>
      <c r="G35" s="3"/>
      <c r="H35" s="8">
        <v>8876.51</v>
      </c>
      <c r="I35" s="3"/>
      <c r="J35" s="7">
        <f t="shared" si="9"/>
        <v>0</v>
      </c>
      <c r="K35" s="3"/>
      <c r="L35" s="8">
        <f t="shared" si="10"/>
        <v>7779.01</v>
      </c>
      <c r="M35" s="3"/>
      <c r="N35" s="7">
        <f t="shared" si="11"/>
        <v>0.8763590645422582</v>
      </c>
      <c r="O35" s="11"/>
      <c r="P35" s="8">
        <v>16655.52</v>
      </c>
      <c r="Q35" s="3"/>
      <c r="R35" s="7">
        <f t="shared" si="12"/>
        <v>0</v>
      </c>
      <c r="S35" s="3"/>
      <c r="T35" s="8">
        <v>8876.51</v>
      </c>
      <c r="U35" s="3"/>
      <c r="V35" s="7">
        <f t="shared" si="13"/>
        <v>0</v>
      </c>
      <c r="W35" s="3"/>
      <c r="X35" s="8">
        <f t="shared" si="14"/>
        <v>7779.01</v>
      </c>
      <c r="Y35" s="3"/>
      <c r="Z35" s="7">
        <f t="shared" si="15"/>
        <v>0.8763590645422582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16">IF(D$12=0,0,D36/D$12)</f>
        <v>0</v>
      </c>
      <c r="G36" s="1"/>
      <c r="H36" s="1">
        <f>SUM(OSRRefH22_2x_0)</f>
        <v>111.3</v>
      </c>
      <c r="I36" s="1"/>
      <c r="J36" s="5">
        <f t="shared" ref="J36:J44" si="17">IF(H$12=0,0,H36/H$12)</f>
        <v>0</v>
      </c>
      <c r="K36" s="1"/>
      <c r="L36" s="1">
        <f t="shared" ref="L36:L44" si="18">+D36-H36</f>
        <v>-111.3</v>
      </c>
      <c r="M36" s="1"/>
      <c r="N36" s="5">
        <f t="shared" ref="N36:N44" si="19">IF(H36=0,0,L36/H36)</f>
        <v>-1</v>
      </c>
      <c r="O36" s="14"/>
      <c r="P36" s="1">
        <f>SUM(OSRRefP22_2x_0)</f>
        <v>0</v>
      </c>
      <c r="Q36" s="1"/>
      <c r="R36" s="5">
        <f t="shared" ref="R36:R44" si="20">IF(P$12=0,0,P36/P$12)</f>
        <v>0</v>
      </c>
      <c r="S36" s="1"/>
      <c r="T36" s="1">
        <f>SUM(OSRRefT22_2x_0)</f>
        <v>111.3</v>
      </c>
      <c r="U36" s="1"/>
      <c r="V36" s="5">
        <f t="shared" ref="V36:V44" si="21">IF(T$12=0,0,T36/T$12)</f>
        <v>0</v>
      </c>
      <c r="W36" s="1"/>
      <c r="X36" s="1">
        <f t="shared" ref="X36:X44" si="22">+P36-T36</f>
        <v>-111.3</v>
      </c>
      <c r="Y36" s="1"/>
      <c r="Z36" s="5">
        <f t="shared" ref="Z36:Z44" si="23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8"/>
      <c r="E37" s="3"/>
      <c r="F37" s="7">
        <f t="shared" si="16"/>
        <v>0</v>
      </c>
      <c r="G37" s="3"/>
      <c r="H37" s="8">
        <v>111.3</v>
      </c>
      <c r="I37" s="3"/>
      <c r="J37" s="7">
        <f t="shared" si="17"/>
        <v>0</v>
      </c>
      <c r="K37" s="3"/>
      <c r="L37" s="8">
        <f t="shared" si="18"/>
        <v>-111.3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111.3</v>
      </c>
      <c r="U37" s="3"/>
      <c r="V37" s="7">
        <f t="shared" si="21"/>
        <v>0</v>
      </c>
      <c r="W37" s="3"/>
      <c r="X37" s="8">
        <f t="shared" si="22"/>
        <v>-111.3</v>
      </c>
      <c r="Y37" s="3"/>
      <c r="Z37" s="7">
        <f t="shared" si="23"/>
        <v>-1</v>
      </c>
    </row>
    <row r="38" spans="1:26" s="27" customFormat="1" outlineLevel="1" collapsed="1" x14ac:dyDescent="0.25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5.88</v>
      </c>
      <c r="E38" s="1"/>
      <c r="F38" s="5">
        <f t="shared" si="16"/>
        <v>0</v>
      </c>
      <c r="G38" s="1"/>
      <c r="H38" s="1">
        <f>SUM(OSRRefH22_3x_0)</f>
        <v>-12.95</v>
      </c>
      <c r="I38" s="1"/>
      <c r="J38" s="5">
        <f t="shared" si="17"/>
        <v>0</v>
      </c>
      <c r="K38" s="1"/>
      <c r="L38" s="1">
        <f t="shared" si="18"/>
        <v>18.829999999999998</v>
      </c>
      <c r="M38" s="1"/>
      <c r="N38" s="5">
        <f t="shared" si="19"/>
        <v>-1.4540540540540541</v>
      </c>
      <c r="O38" s="14"/>
      <c r="P38" s="1">
        <f>SUM(OSRRefP22_3x_0)</f>
        <v>5.88</v>
      </c>
      <c r="Q38" s="1"/>
      <c r="R38" s="5">
        <f t="shared" si="20"/>
        <v>0</v>
      </c>
      <c r="S38" s="1"/>
      <c r="T38" s="1">
        <f>SUM(OSRRefT22_3x_0)</f>
        <v>-12.95</v>
      </c>
      <c r="U38" s="1"/>
      <c r="V38" s="5">
        <f t="shared" si="21"/>
        <v>0</v>
      </c>
      <c r="W38" s="1"/>
      <c r="X38" s="1">
        <f t="shared" si="22"/>
        <v>18.829999999999998</v>
      </c>
      <c r="Y38" s="1"/>
      <c r="Z38" s="5">
        <f t="shared" si="23"/>
        <v>-1.4540540540540541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8">
        <v>5.88</v>
      </c>
      <c r="E39" s="3"/>
      <c r="F39" s="7">
        <f t="shared" si="16"/>
        <v>0</v>
      </c>
      <c r="G39" s="3"/>
      <c r="H39" s="8">
        <v>-12.95</v>
      </c>
      <c r="I39" s="3"/>
      <c r="J39" s="7">
        <f t="shared" si="17"/>
        <v>0</v>
      </c>
      <c r="K39" s="3"/>
      <c r="L39" s="8">
        <f t="shared" si="18"/>
        <v>18.829999999999998</v>
      </c>
      <c r="M39" s="3"/>
      <c r="N39" s="7">
        <f t="shared" si="19"/>
        <v>-1.4540540540540541</v>
      </c>
      <c r="O39" s="11"/>
      <c r="P39" s="8">
        <v>5.88</v>
      </c>
      <c r="Q39" s="3"/>
      <c r="R39" s="7">
        <f t="shared" si="20"/>
        <v>0</v>
      </c>
      <c r="S39" s="3"/>
      <c r="T39" s="8">
        <v>-12.95</v>
      </c>
      <c r="U39" s="3"/>
      <c r="V39" s="7">
        <f t="shared" si="21"/>
        <v>0</v>
      </c>
      <c r="W39" s="3"/>
      <c r="X39" s="8">
        <f t="shared" si="22"/>
        <v>18.829999999999998</v>
      </c>
      <c r="Y39" s="3"/>
      <c r="Z39" s="7">
        <f t="shared" si="23"/>
        <v>-1.4540540540540541</v>
      </c>
    </row>
    <row r="40" spans="1:26" s="27" customFormat="1" outlineLevel="1" collapsed="1" x14ac:dyDescent="0.25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2810.32</v>
      </c>
      <c r="E40" s="1"/>
      <c r="F40" s="5">
        <f t="shared" si="16"/>
        <v>0</v>
      </c>
      <c r="G40" s="1"/>
      <c r="H40" s="1">
        <f>SUM(OSRRefH22_4x_0)</f>
        <v>5108.18</v>
      </c>
      <c r="I40" s="1"/>
      <c r="J40" s="5">
        <f t="shared" si="17"/>
        <v>0</v>
      </c>
      <c r="K40" s="1"/>
      <c r="L40" s="1">
        <f t="shared" si="18"/>
        <v>-2297.86</v>
      </c>
      <c r="M40" s="1"/>
      <c r="N40" s="5">
        <f t="shared" si="19"/>
        <v>-0.44983927739429697</v>
      </c>
      <c r="O40" s="14"/>
      <c r="P40" s="1">
        <f>SUM(OSRRefP22_4x_0)</f>
        <v>2810.32</v>
      </c>
      <c r="Q40" s="1"/>
      <c r="R40" s="5">
        <f t="shared" si="20"/>
        <v>0</v>
      </c>
      <c r="S40" s="1"/>
      <c r="T40" s="1">
        <f>SUM(OSRRefT22_4x_0)</f>
        <v>5108.18</v>
      </c>
      <c r="U40" s="1"/>
      <c r="V40" s="5">
        <f t="shared" si="21"/>
        <v>0</v>
      </c>
      <c r="W40" s="1"/>
      <c r="X40" s="1">
        <f t="shared" si="22"/>
        <v>-2297.86</v>
      </c>
      <c r="Y40" s="1"/>
      <c r="Z40" s="5">
        <f t="shared" si="23"/>
        <v>-0.44983927739429697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8">
        <v>2810.32</v>
      </c>
      <c r="E41" s="3"/>
      <c r="F41" s="7">
        <f t="shared" si="16"/>
        <v>0</v>
      </c>
      <c r="G41" s="3"/>
      <c r="H41" s="8">
        <v>5108.18</v>
      </c>
      <c r="I41" s="3"/>
      <c r="J41" s="7">
        <f t="shared" si="17"/>
        <v>0</v>
      </c>
      <c r="K41" s="3"/>
      <c r="L41" s="8">
        <f t="shared" si="18"/>
        <v>-2297.86</v>
      </c>
      <c r="M41" s="3"/>
      <c r="N41" s="7">
        <f t="shared" si="19"/>
        <v>-0.44983927739429697</v>
      </c>
      <c r="O41" s="11"/>
      <c r="P41" s="8">
        <v>2810.32</v>
      </c>
      <c r="Q41" s="3"/>
      <c r="R41" s="7">
        <f t="shared" si="20"/>
        <v>0</v>
      </c>
      <c r="S41" s="3"/>
      <c r="T41" s="8">
        <v>5108.18</v>
      </c>
      <c r="U41" s="3"/>
      <c r="V41" s="7">
        <f t="shared" si="21"/>
        <v>0</v>
      </c>
      <c r="W41" s="3"/>
      <c r="X41" s="8">
        <f t="shared" si="22"/>
        <v>-2297.86</v>
      </c>
      <c r="Y41" s="3"/>
      <c r="Z41" s="7">
        <f t="shared" si="23"/>
        <v>-0.44983927739429697</v>
      </c>
    </row>
    <row r="42" spans="1:26" s="27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30176.98</v>
      </c>
      <c r="E42" s="1"/>
      <c r="F42" s="5">
        <f t="shared" si="16"/>
        <v>0</v>
      </c>
      <c r="G42" s="1"/>
      <c r="H42" s="1">
        <f>SUM(OSRRefH22_5x_0)</f>
        <v>29607.43</v>
      </c>
      <c r="I42" s="1"/>
      <c r="J42" s="5">
        <f t="shared" si="17"/>
        <v>0</v>
      </c>
      <c r="K42" s="1"/>
      <c r="L42" s="1">
        <f t="shared" si="18"/>
        <v>569.54999999999927</v>
      </c>
      <c r="M42" s="1"/>
      <c r="N42" s="5">
        <f t="shared" si="19"/>
        <v>1.9236725376028899E-2</v>
      </c>
      <c r="O42" s="14"/>
      <c r="P42" s="1">
        <f>SUM(OSRRefP22_5x_0)</f>
        <v>30176.98</v>
      </c>
      <c r="Q42" s="1"/>
      <c r="R42" s="5">
        <f t="shared" si="20"/>
        <v>0</v>
      </c>
      <c r="S42" s="1"/>
      <c r="T42" s="1">
        <f>SUM(OSRRefT22_5x_0)</f>
        <v>29607.43</v>
      </c>
      <c r="U42" s="1"/>
      <c r="V42" s="5">
        <f t="shared" si="21"/>
        <v>0</v>
      </c>
      <c r="W42" s="1"/>
      <c r="X42" s="1">
        <f t="shared" si="22"/>
        <v>569.54999999999927</v>
      </c>
      <c r="Y42" s="1"/>
      <c r="Z42" s="5">
        <f t="shared" si="23"/>
        <v>1.9236725376028899E-2</v>
      </c>
    </row>
    <row r="43" spans="1:26" s="24" customFormat="1" hidden="1" outlineLevel="2" x14ac:dyDescent="0.25">
      <c r="A43" s="29"/>
      <c r="B43" s="11" t="str">
        <f>CONCATENATE("          ", "6321", " - ", "BUILDING DEPRECIATION")</f>
        <v xml:space="preserve">          6321 - BUILDING DEPRECIATION</v>
      </c>
      <c r="C43" s="11"/>
      <c r="D43" s="8">
        <v>16396.52</v>
      </c>
      <c r="E43" s="3"/>
      <c r="F43" s="7">
        <f t="shared" si="16"/>
        <v>0</v>
      </c>
      <c r="G43" s="3"/>
      <c r="H43" s="8">
        <v>16396.52</v>
      </c>
      <c r="I43" s="3"/>
      <c r="J43" s="7">
        <f t="shared" si="17"/>
        <v>0</v>
      </c>
      <c r="K43" s="3"/>
      <c r="L43" s="8">
        <f t="shared" si="18"/>
        <v>0</v>
      </c>
      <c r="M43" s="3"/>
      <c r="N43" s="7">
        <f t="shared" si="19"/>
        <v>0</v>
      </c>
      <c r="O43" s="11"/>
      <c r="P43" s="8">
        <v>16396.52</v>
      </c>
      <c r="Q43" s="3"/>
      <c r="R43" s="7">
        <f t="shared" si="20"/>
        <v>0</v>
      </c>
      <c r="S43" s="3"/>
      <c r="T43" s="8">
        <v>16396.52</v>
      </c>
      <c r="U43" s="3"/>
      <c r="V43" s="7">
        <f t="shared" si="21"/>
        <v>0</v>
      </c>
      <c r="W43" s="3"/>
      <c r="X43" s="8">
        <f t="shared" si="22"/>
        <v>0</v>
      </c>
      <c r="Y43" s="3"/>
      <c r="Z43" s="7">
        <f t="shared" si="23"/>
        <v>0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8">
        <v>13780.46</v>
      </c>
      <c r="E44" s="3"/>
      <c r="F44" s="7">
        <f t="shared" si="16"/>
        <v>0</v>
      </c>
      <c r="G44" s="3"/>
      <c r="H44" s="8">
        <v>13210.91</v>
      </c>
      <c r="I44" s="3"/>
      <c r="J44" s="7">
        <f t="shared" si="17"/>
        <v>0</v>
      </c>
      <c r="K44" s="3"/>
      <c r="L44" s="8">
        <f t="shared" si="18"/>
        <v>569.54999999999927</v>
      </c>
      <c r="M44" s="3"/>
      <c r="N44" s="7">
        <f t="shared" si="19"/>
        <v>4.3112094473431374E-2</v>
      </c>
      <c r="O44" s="11"/>
      <c r="P44" s="8">
        <v>13780.46</v>
      </c>
      <c r="Q44" s="3"/>
      <c r="R44" s="7">
        <f t="shared" si="20"/>
        <v>0</v>
      </c>
      <c r="S44" s="3"/>
      <c r="T44" s="8">
        <v>13210.91</v>
      </c>
      <c r="U44" s="3"/>
      <c r="V44" s="7">
        <f t="shared" si="21"/>
        <v>0</v>
      </c>
      <c r="W44" s="3"/>
      <c r="X44" s="8">
        <f t="shared" si="22"/>
        <v>569.54999999999927</v>
      </c>
      <c r="Y44" s="3"/>
      <c r="Z44" s="7">
        <f t="shared" si="23"/>
        <v>4.3112094473431374E-2</v>
      </c>
    </row>
    <row r="45" spans="1:26" s="27" customFormat="1" outlineLevel="1" collapsed="1" x14ac:dyDescent="0.25">
      <c r="A45" s="28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SUM(OSRRefD22_6x_0)</f>
        <v>0</v>
      </c>
      <c r="E45" s="1"/>
      <c r="F45" s="5">
        <f t="shared" ref="F45:F47" si="24">IF(D$12=0,0,D45/D$12)</f>
        <v>0</v>
      </c>
      <c r="G45" s="1"/>
      <c r="H45" s="1">
        <f>SUM(OSRRefH22_6x_0)</f>
        <v>-391.71</v>
      </c>
      <c r="I45" s="1"/>
      <c r="J45" s="5">
        <f t="shared" ref="J45:J47" si="25">IF(H$12=0,0,H45/H$12)</f>
        <v>0</v>
      </c>
      <c r="K45" s="1"/>
      <c r="L45" s="1">
        <f t="shared" ref="L45:L47" si="26">+D45-H45</f>
        <v>391.71</v>
      </c>
      <c r="M45" s="1"/>
      <c r="N45" s="5">
        <f t="shared" ref="N45:N47" si="27">IF(H45=0,0,L45/H45)</f>
        <v>-1</v>
      </c>
      <c r="O45" s="14"/>
      <c r="P45" s="1">
        <f>SUM(OSRRefP22_6x_0)</f>
        <v>0</v>
      </c>
      <c r="Q45" s="1"/>
      <c r="R45" s="5">
        <f t="shared" ref="R45:R47" si="28">IF(P$12=0,0,P45/P$12)</f>
        <v>0</v>
      </c>
      <c r="S45" s="1"/>
      <c r="T45" s="1">
        <f>SUM(OSRRefT22_6x_0)</f>
        <v>-391.71</v>
      </c>
      <c r="U45" s="1"/>
      <c r="V45" s="5">
        <f t="shared" ref="V45:V47" si="29">IF(T$12=0,0,T45/T$12)</f>
        <v>0</v>
      </c>
      <c r="W45" s="1"/>
      <c r="X45" s="1">
        <f t="shared" ref="X45:X47" si="30">+P45-T45</f>
        <v>391.71</v>
      </c>
      <c r="Y45" s="1"/>
      <c r="Z45" s="5">
        <f t="shared" ref="Z45:Z47" si="31">IF(T45=0,0,X45/T45)</f>
        <v>-1</v>
      </c>
    </row>
    <row r="46" spans="1:26" s="24" customFormat="1" hidden="1" outlineLevel="2" x14ac:dyDescent="0.25">
      <c r="A46" s="29"/>
      <c r="B46" s="11" t="str">
        <f>CONCATENATE("          ", "6382", " - ", "DISCOUNTS/MARK DOWNS")</f>
        <v xml:space="preserve">          6382 - DISCOUNTS/MARK DOWNS</v>
      </c>
      <c r="C46" s="11"/>
      <c r="D46" s="8"/>
      <c r="E46" s="3"/>
      <c r="F46" s="7">
        <f t="shared" si="24"/>
        <v>0</v>
      </c>
      <c r="G46" s="3"/>
      <c r="H46" s="8">
        <v>52</v>
      </c>
      <c r="I46" s="3"/>
      <c r="J46" s="7">
        <f t="shared" si="25"/>
        <v>0</v>
      </c>
      <c r="K46" s="3"/>
      <c r="L46" s="8">
        <f t="shared" si="26"/>
        <v>-52</v>
      </c>
      <c r="M46" s="3"/>
      <c r="N46" s="7">
        <f t="shared" si="27"/>
        <v>-1</v>
      </c>
      <c r="O46" s="11"/>
      <c r="P46" s="8"/>
      <c r="Q46" s="3"/>
      <c r="R46" s="7">
        <f t="shared" si="28"/>
        <v>0</v>
      </c>
      <c r="S46" s="3"/>
      <c r="T46" s="8">
        <v>52</v>
      </c>
      <c r="U46" s="3"/>
      <c r="V46" s="7">
        <f t="shared" si="29"/>
        <v>0</v>
      </c>
      <c r="W46" s="3"/>
      <c r="X46" s="8">
        <f t="shared" si="30"/>
        <v>-52</v>
      </c>
      <c r="Y46" s="3"/>
      <c r="Z46" s="7">
        <f t="shared" si="31"/>
        <v>-1</v>
      </c>
    </row>
    <row r="47" spans="1:26" s="24" customFormat="1" hidden="1" outlineLevel="2" x14ac:dyDescent="0.25">
      <c r="A47" s="29"/>
      <c r="B47" s="11" t="str">
        <f>CONCATENATE("          ", "9175", " - ", "EARNED DISCOUNTS")</f>
        <v xml:space="preserve">          9175 - EARNED DISCOUNTS</v>
      </c>
      <c r="C47" s="11"/>
      <c r="D47" s="8"/>
      <c r="E47" s="3"/>
      <c r="F47" s="7">
        <f t="shared" si="24"/>
        <v>0</v>
      </c>
      <c r="G47" s="3"/>
      <c r="H47" s="8">
        <v>-443.71</v>
      </c>
      <c r="I47" s="3"/>
      <c r="J47" s="7">
        <f t="shared" si="25"/>
        <v>0</v>
      </c>
      <c r="K47" s="3"/>
      <c r="L47" s="8">
        <f t="shared" si="26"/>
        <v>443.71</v>
      </c>
      <c r="M47" s="3"/>
      <c r="N47" s="7">
        <f t="shared" si="27"/>
        <v>-1</v>
      </c>
      <c r="O47" s="11"/>
      <c r="P47" s="8"/>
      <c r="Q47" s="3"/>
      <c r="R47" s="7">
        <f t="shared" si="28"/>
        <v>0</v>
      </c>
      <c r="S47" s="3"/>
      <c r="T47" s="8">
        <v>-443.71</v>
      </c>
      <c r="U47" s="3"/>
      <c r="V47" s="7">
        <f t="shared" si="29"/>
        <v>0</v>
      </c>
      <c r="W47" s="3"/>
      <c r="X47" s="8">
        <f t="shared" si="30"/>
        <v>443.71</v>
      </c>
      <c r="Y47" s="3"/>
      <c r="Z47" s="7">
        <f t="shared" si="31"/>
        <v>-1</v>
      </c>
    </row>
    <row r="48" spans="1:26" s="27" customFormat="1" outlineLevel="1" collapsed="1" x14ac:dyDescent="0.25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SUM(OSRRefD22_7x_0)</f>
        <v>0</v>
      </c>
      <c r="E48" s="1"/>
      <c r="F48" s="5">
        <f t="shared" ref="F48:F65" si="32">IF(D$12=0,0,D48/D$12)</f>
        <v>0</v>
      </c>
      <c r="G48" s="1"/>
      <c r="H48" s="1">
        <f>SUM(OSRRefH22_7x_0)</f>
        <v>925.42</v>
      </c>
      <c r="I48" s="1"/>
      <c r="J48" s="5">
        <f t="shared" ref="J48:J65" si="33">IF(H$12=0,0,H48/H$12)</f>
        <v>0</v>
      </c>
      <c r="K48" s="1"/>
      <c r="L48" s="1">
        <f t="shared" ref="L48:L65" si="34">+D48-H48</f>
        <v>-925.42</v>
      </c>
      <c r="M48" s="1"/>
      <c r="N48" s="5">
        <f t="shared" ref="N48:N65" si="35">IF(H48=0,0,L48/H48)</f>
        <v>-1</v>
      </c>
      <c r="O48" s="14"/>
      <c r="P48" s="1">
        <f>SUM(OSRRefP22_7x_0)</f>
        <v>0</v>
      </c>
      <c r="Q48" s="1"/>
      <c r="R48" s="5">
        <f t="shared" ref="R48:R65" si="36">IF(P$12=0,0,P48/P$12)</f>
        <v>0</v>
      </c>
      <c r="S48" s="1"/>
      <c r="T48" s="1">
        <f>SUM(OSRRefT22_7x_0)</f>
        <v>925.42</v>
      </c>
      <c r="U48" s="1"/>
      <c r="V48" s="5">
        <f t="shared" ref="V48:V65" si="37">IF(T$12=0,0,T48/T$12)</f>
        <v>0</v>
      </c>
      <c r="W48" s="1"/>
      <c r="X48" s="1">
        <f t="shared" ref="X48:X65" si="38">+P48-T48</f>
        <v>-925.42</v>
      </c>
      <c r="Y48" s="1"/>
      <c r="Z48" s="5">
        <f t="shared" ref="Z48:Z65" si="39">IF(T48=0,0,X48/T48)</f>
        <v>-1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8"/>
      <c r="E49" s="3"/>
      <c r="F49" s="7">
        <f t="shared" si="32"/>
        <v>0</v>
      </c>
      <c r="G49" s="3"/>
      <c r="H49" s="8">
        <v>925.42</v>
      </c>
      <c r="I49" s="3"/>
      <c r="J49" s="7">
        <f t="shared" si="33"/>
        <v>0</v>
      </c>
      <c r="K49" s="3"/>
      <c r="L49" s="8">
        <f t="shared" si="34"/>
        <v>-925.42</v>
      </c>
      <c r="M49" s="3"/>
      <c r="N49" s="7">
        <f t="shared" si="35"/>
        <v>-1</v>
      </c>
      <c r="O49" s="11"/>
      <c r="P49" s="8"/>
      <c r="Q49" s="3"/>
      <c r="R49" s="7">
        <f t="shared" si="36"/>
        <v>0</v>
      </c>
      <c r="S49" s="3"/>
      <c r="T49" s="8">
        <v>925.42</v>
      </c>
      <c r="U49" s="3"/>
      <c r="V49" s="7">
        <f t="shared" si="37"/>
        <v>0</v>
      </c>
      <c r="W49" s="3"/>
      <c r="X49" s="8">
        <f t="shared" si="38"/>
        <v>-925.42</v>
      </c>
      <c r="Y49" s="3"/>
      <c r="Z49" s="7">
        <f t="shared" si="39"/>
        <v>-1</v>
      </c>
    </row>
    <row r="50" spans="1:26" s="27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SUM(OSRRefD22_8x_0)</f>
        <v>0</v>
      </c>
      <c r="E50" s="1"/>
      <c r="F50" s="5">
        <f t="shared" si="32"/>
        <v>0</v>
      </c>
      <c r="G50" s="1"/>
      <c r="H50" s="1">
        <f>SUM(OSRRefH22_8x_0)</f>
        <v>259.63</v>
      </c>
      <c r="I50" s="1"/>
      <c r="J50" s="5">
        <f t="shared" si="33"/>
        <v>0</v>
      </c>
      <c r="K50" s="1"/>
      <c r="L50" s="1">
        <f t="shared" si="34"/>
        <v>-259.63</v>
      </c>
      <c r="M50" s="1"/>
      <c r="N50" s="5">
        <f t="shared" si="35"/>
        <v>-1</v>
      </c>
      <c r="O50" s="14"/>
      <c r="P50" s="1">
        <f>SUM(OSRRefP22_8x_0)</f>
        <v>0</v>
      </c>
      <c r="Q50" s="1"/>
      <c r="R50" s="5">
        <f t="shared" si="36"/>
        <v>0</v>
      </c>
      <c r="S50" s="1"/>
      <c r="T50" s="1">
        <f>SUM(OSRRefT22_8x_0)</f>
        <v>259.63</v>
      </c>
      <c r="U50" s="1"/>
      <c r="V50" s="5">
        <f t="shared" si="37"/>
        <v>0</v>
      </c>
      <c r="W50" s="1"/>
      <c r="X50" s="1">
        <f t="shared" si="38"/>
        <v>-259.63</v>
      </c>
      <c r="Y50" s="1"/>
      <c r="Z50" s="5">
        <f t="shared" si="39"/>
        <v>-1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8"/>
      <c r="E51" s="3"/>
      <c r="F51" s="7">
        <f t="shared" si="32"/>
        <v>0</v>
      </c>
      <c r="G51" s="3"/>
      <c r="H51" s="8">
        <v>259.63</v>
      </c>
      <c r="I51" s="3"/>
      <c r="J51" s="7">
        <f t="shared" si="33"/>
        <v>0</v>
      </c>
      <c r="K51" s="3"/>
      <c r="L51" s="8">
        <f t="shared" si="34"/>
        <v>-259.63</v>
      </c>
      <c r="M51" s="3"/>
      <c r="N51" s="7">
        <f t="shared" si="35"/>
        <v>-1</v>
      </c>
      <c r="O51" s="11"/>
      <c r="P51" s="8"/>
      <c r="Q51" s="3"/>
      <c r="R51" s="7">
        <f t="shared" si="36"/>
        <v>0</v>
      </c>
      <c r="S51" s="3"/>
      <c r="T51" s="8">
        <v>259.63</v>
      </c>
      <c r="U51" s="3"/>
      <c r="V51" s="7">
        <f t="shared" si="37"/>
        <v>0</v>
      </c>
      <c r="W51" s="3"/>
      <c r="X51" s="8">
        <f t="shared" si="38"/>
        <v>-259.63</v>
      </c>
      <c r="Y51" s="3"/>
      <c r="Z51" s="7">
        <f t="shared" si="39"/>
        <v>-1</v>
      </c>
    </row>
    <row r="52" spans="1:26" s="27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SUM(OSRRefD22_9x_0)</f>
        <v>91.26</v>
      </c>
      <c r="E52" s="1"/>
      <c r="F52" s="5">
        <f t="shared" si="32"/>
        <v>0</v>
      </c>
      <c r="G52" s="1"/>
      <c r="H52" s="1">
        <f>SUM(OSRRefH22_9x_0)</f>
        <v>0</v>
      </c>
      <c r="I52" s="1"/>
      <c r="J52" s="5">
        <f t="shared" si="33"/>
        <v>0</v>
      </c>
      <c r="K52" s="1"/>
      <c r="L52" s="1">
        <f t="shared" si="34"/>
        <v>91.26</v>
      </c>
      <c r="M52" s="1"/>
      <c r="N52" s="5">
        <f t="shared" si="35"/>
        <v>0</v>
      </c>
      <c r="O52" s="14"/>
      <c r="P52" s="1">
        <f>SUM(OSRRefP22_9x_0)</f>
        <v>91.26</v>
      </c>
      <c r="Q52" s="1"/>
      <c r="R52" s="5">
        <f t="shared" si="36"/>
        <v>0</v>
      </c>
      <c r="S52" s="1"/>
      <c r="T52" s="1">
        <f>SUM(OSRRefT22_9x_0)</f>
        <v>0</v>
      </c>
      <c r="U52" s="1"/>
      <c r="V52" s="5">
        <f t="shared" si="37"/>
        <v>0</v>
      </c>
      <c r="W52" s="1"/>
      <c r="X52" s="1">
        <f t="shared" si="38"/>
        <v>91.26</v>
      </c>
      <c r="Y52" s="1"/>
      <c r="Z52" s="5">
        <f t="shared" si="39"/>
        <v>0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8">
        <v>91.26</v>
      </c>
      <c r="E53" s="3"/>
      <c r="F53" s="7">
        <f t="shared" si="32"/>
        <v>0</v>
      </c>
      <c r="G53" s="3"/>
      <c r="H53" s="8"/>
      <c r="I53" s="3"/>
      <c r="J53" s="7">
        <f t="shared" si="33"/>
        <v>0</v>
      </c>
      <c r="K53" s="3"/>
      <c r="L53" s="8">
        <f t="shared" si="34"/>
        <v>91.26</v>
      </c>
      <c r="M53" s="3"/>
      <c r="N53" s="7">
        <f t="shared" si="35"/>
        <v>0</v>
      </c>
      <c r="O53" s="11"/>
      <c r="P53" s="8">
        <v>91.26</v>
      </c>
      <c r="Q53" s="3"/>
      <c r="R53" s="7">
        <f t="shared" si="36"/>
        <v>0</v>
      </c>
      <c r="S53" s="3"/>
      <c r="T53" s="8"/>
      <c r="U53" s="3"/>
      <c r="V53" s="7">
        <f t="shared" si="37"/>
        <v>0</v>
      </c>
      <c r="W53" s="3"/>
      <c r="X53" s="8">
        <f t="shared" si="38"/>
        <v>91.26</v>
      </c>
      <c r="Y53" s="3"/>
      <c r="Z53" s="7">
        <f t="shared" si="39"/>
        <v>0</v>
      </c>
    </row>
    <row r="54" spans="1:26" s="27" customFormat="1" outlineLevel="1" collapsed="1" x14ac:dyDescent="0.25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SUM(OSRRefD22_10x_0)</f>
        <v>754.55</v>
      </c>
      <c r="E54" s="1"/>
      <c r="F54" s="5">
        <f t="shared" si="32"/>
        <v>0</v>
      </c>
      <c r="G54" s="1"/>
      <c r="H54" s="1">
        <f>SUM(OSRRefH22_10x_0)</f>
        <v>73.790000000000006</v>
      </c>
      <c r="I54" s="1"/>
      <c r="J54" s="5">
        <f t="shared" si="33"/>
        <v>0</v>
      </c>
      <c r="K54" s="1"/>
      <c r="L54" s="1">
        <f t="shared" si="34"/>
        <v>680.76</v>
      </c>
      <c r="M54" s="1"/>
      <c r="N54" s="5">
        <f t="shared" si="35"/>
        <v>9.2256403306681118</v>
      </c>
      <c r="O54" s="14"/>
      <c r="P54" s="1">
        <f>SUM(OSRRefP22_10x_0)</f>
        <v>754.55</v>
      </c>
      <c r="Q54" s="1"/>
      <c r="R54" s="5">
        <f t="shared" si="36"/>
        <v>0</v>
      </c>
      <c r="S54" s="1"/>
      <c r="T54" s="1">
        <f>SUM(OSRRefT22_10x_0)</f>
        <v>73.790000000000006</v>
      </c>
      <c r="U54" s="1"/>
      <c r="V54" s="5">
        <f t="shared" si="37"/>
        <v>0</v>
      </c>
      <c r="W54" s="1"/>
      <c r="X54" s="1">
        <f t="shared" si="38"/>
        <v>680.76</v>
      </c>
      <c r="Y54" s="1"/>
      <c r="Z54" s="5">
        <f t="shared" si="39"/>
        <v>9.2256403306681118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8">
        <v>754.55</v>
      </c>
      <c r="E55" s="3"/>
      <c r="F55" s="7">
        <f t="shared" si="32"/>
        <v>0</v>
      </c>
      <c r="G55" s="3"/>
      <c r="H55" s="8">
        <v>73.790000000000006</v>
      </c>
      <c r="I55" s="3"/>
      <c r="J55" s="7">
        <f t="shared" si="33"/>
        <v>0</v>
      </c>
      <c r="K55" s="3"/>
      <c r="L55" s="8">
        <f t="shared" si="34"/>
        <v>680.76</v>
      </c>
      <c r="M55" s="3"/>
      <c r="N55" s="7">
        <f t="shared" si="35"/>
        <v>9.2256403306681118</v>
      </c>
      <c r="O55" s="11"/>
      <c r="P55" s="8">
        <v>754.55</v>
      </c>
      <c r="Q55" s="3"/>
      <c r="R55" s="7">
        <f t="shared" si="36"/>
        <v>0</v>
      </c>
      <c r="S55" s="3"/>
      <c r="T55" s="8">
        <v>73.790000000000006</v>
      </c>
      <c r="U55" s="3"/>
      <c r="V55" s="7">
        <f t="shared" si="37"/>
        <v>0</v>
      </c>
      <c r="W55" s="3"/>
      <c r="X55" s="8">
        <f t="shared" si="38"/>
        <v>680.76</v>
      </c>
      <c r="Y55" s="3"/>
      <c r="Z55" s="7">
        <f t="shared" si="39"/>
        <v>9.2256403306681118</v>
      </c>
    </row>
    <row r="56" spans="1:26" s="27" customFormat="1" outlineLevel="1" collapsed="1" x14ac:dyDescent="0.25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SUM(OSRRefD22_11x_0)</f>
        <v>3883.56</v>
      </c>
      <c r="E56" s="1"/>
      <c r="F56" s="5">
        <f t="shared" si="32"/>
        <v>0</v>
      </c>
      <c r="G56" s="1"/>
      <c r="H56" s="1">
        <f>SUM(OSRRefH22_11x_0)</f>
        <v>3883.56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4"/>
      <c r="P56" s="1">
        <f>SUM(OSRRefP22_11x_0)</f>
        <v>3883.56</v>
      </c>
      <c r="Q56" s="1"/>
      <c r="R56" s="5">
        <f t="shared" si="36"/>
        <v>0</v>
      </c>
      <c r="S56" s="1"/>
      <c r="T56" s="1">
        <f>SUM(OSRRefT22_11x_0)</f>
        <v>3883.56</v>
      </c>
      <c r="U56" s="1"/>
      <c r="V56" s="5">
        <f t="shared" si="37"/>
        <v>0</v>
      </c>
      <c r="W56" s="1"/>
      <c r="X56" s="1">
        <f t="shared" si="38"/>
        <v>0</v>
      </c>
      <c r="Y56" s="1"/>
      <c r="Z56" s="5">
        <f t="shared" si="39"/>
        <v>0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8">
        <v>3883.56</v>
      </c>
      <c r="E57" s="3"/>
      <c r="F57" s="7">
        <f t="shared" si="32"/>
        <v>0</v>
      </c>
      <c r="G57" s="3"/>
      <c r="H57" s="8">
        <v>3883.56</v>
      </c>
      <c r="I57" s="3"/>
      <c r="J57" s="7">
        <f t="shared" si="33"/>
        <v>0</v>
      </c>
      <c r="K57" s="3"/>
      <c r="L57" s="8">
        <f t="shared" si="34"/>
        <v>0</v>
      </c>
      <c r="M57" s="3"/>
      <c r="N57" s="7">
        <f t="shared" si="35"/>
        <v>0</v>
      </c>
      <c r="O57" s="11"/>
      <c r="P57" s="8">
        <v>3883.56</v>
      </c>
      <c r="Q57" s="3"/>
      <c r="R57" s="7">
        <f t="shared" si="36"/>
        <v>0</v>
      </c>
      <c r="S57" s="3"/>
      <c r="T57" s="8">
        <v>3883.56</v>
      </c>
      <c r="U57" s="3"/>
      <c r="V57" s="7">
        <f t="shared" si="37"/>
        <v>0</v>
      </c>
      <c r="W57" s="3"/>
      <c r="X57" s="8">
        <f t="shared" si="38"/>
        <v>0</v>
      </c>
      <c r="Y57" s="3"/>
      <c r="Z57" s="7">
        <f t="shared" si="39"/>
        <v>0</v>
      </c>
    </row>
    <row r="58" spans="1:26" s="27" customFormat="1" outlineLevel="1" collapsed="1" x14ac:dyDescent="0.25">
      <c r="A58" s="28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SUM(OSRRefD22_12x_0)</f>
        <v>0</v>
      </c>
      <c r="E58" s="1"/>
      <c r="F58" s="5">
        <f t="shared" si="32"/>
        <v>0</v>
      </c>
      <c r="G58" s="1"/>
      <c r="H58" s="1">
        <f>SUM(OSRRefH22_12x_0)</f>
        <v>4658.41</v>
      </c>
      <c r="I58" s="1"/>
      <c r="J58" s="5">
        <f t="shared" si="33"/>
        <v>0</v>
      </c>
      <c r="K58" s="1"/>
      <c r="L58" s="1">
        <f t="shared" si="34"/>
        <v>-4658.41</v>
      </c>
      <c r="M58" s="1"/>
      <c r="N58" s="5">
        <f t="shared" si="35"/>
        <v>-1</v>
      </c>
      <c r="O58" s="14"/>
      <c r="P58" s="1">
        <f>SUM(OSRRefP22_12x_0)</f>
        <v>0</v>
      </c>
      <c r="Q58" s="1"/>
      <c r="R58" s="5">
        <f t="shared" si="36"/>
        <v>0</v>
      </c>
      <c r="S58" s="1"/>
      <c r="T58" s="1">
        <f>SUM(OSRRefT22_12x_0)</f>
        <v>4658.41</v>
      </c>
      <c r="U58" s="1"/>
      <c r="V58" s="5">
        <f t="shared" si="37"/>
        <v>0</v>
      </c>
      <c r="W58" s="1"/>
      <c r="X58" s="1">
        <f t="shared" si="38"/>
        <v>-4658.41</v>
      </c>
      <c r="Y58" s="1"/>
      <c r="Z58" s="5">
        <f t="shared" si="39"/>
        <v>-1</v>
      </c>
    </row>
    <row r="59" spans="1:26" s="24" customFormat="1" hidden="1" outlineLevel="2" x14ac:dyDescent="0.25">
      <c r="A59" s="29"/>
      <c r="B59" s="11" t="str">
        <f>CONCATENATE("          ", "6336", " - ", "PROFESSIONAL SERVICES")</f>
        <v xml:space="preserve">          6336 - PROFESSIONAL SERVICES</v>
      </c>
      <c r="C59" s="11"/>
      <c r="D59" s="8"/>
      <c r="E59" s="3"/>
      <c r="F59" s="7">
        <f t="shared" si="32"/>
        <v>0</v>
      </c>
      <c r="G59" s="3"/>
      <c r="H59" s="8">
        <v>4658.41</v>
      </c>
      <c r="I59" s="3"/>
      <c r="J59" s="7">
        <f t="shared" si="33"/>
        <v>0</v>
      </c>
      <c r="K59" s="3"/>
      <c r="L59" s="8">
        <f t="shared" si="34"/>
        <v>-4658.41</v>
      </c>
      <c r="M59" s="3"/>
      <c r="N59" s="7">
        <f t="shared" si="35"/>
        <v>-1</v>
      </c>
      <c r="O59" s="11"/>
      <c r="P59" s="8"/>
      <c r="Q59" s="3"/>
      <c r="R59" s="7">
        <f t="shared" si="36"/>
        <v>0</v>
      </c>
      <c r="S59" s="3"/>
      <c r="T59" s="8">
        <v>4658.41</v>
      </c>
      <c r="U59" s="3"/>
      <c r="V59" s="7">
        <f t="shared" si="37"/>
        <v>0</v>
      </c>
      <c r="W59" s="3"/>
      <c r="X59" s="8">
        <f t="shared" si="38"/>
        <v>-4658.41</v>
      </c>
      <c r="Y59" s="3"/>
      <c r="Z59" s="7">
        <f t="shared" si="39"/>
        <v>-1</v>
      </c>
    </row>
    <row r="60" spans="1:26" s="27" customFormat="1" outlineLevel="1" collapsed="1" x14ac:dyDescent="0.25">
      <c r="A60" s="28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SUM(OSRRefD22_13x_0)</f>
        <v>-800</v>
      </c>
      <c r="E60" s="1"/>
      <c r="F60" s="5">
        <f t="shared" si="32"/>
        <v>0</v>
      </c>
      <c r="G60" s="1"/>
      <c r="H60" s="1">
        <f>SUM(OSRRefH22_13x_0)</f>
        <v>-800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4"/>
      <c r="P60" s="1">
        <f>SUM(OSRRefP22_13x_0)</f>
        <v>-800</v>
      </c>
      <c r="Q60" s="1"/>
      <c r="R60" s="5">
        <f t="shared" si="36"/>
        <v>0</v>
      </c>
      <c r="S60" s="1"/>
      <c r="T60" s="1">
        <f>SUM(OSRRefT22_13x_0)</f>
        <v>-800</v>
      </c>
      <c r="U60" s="1"/>
      <c r="V60" s="5">
        <f t="shared" si="37"/>
        <v>0</v>
      </c>
      <c r="W60" s="1"/>
      <c r="X60" s="1">
        <f t="shared" si="38"/>
        <v>0</v>
      </c>
      <c r="Y60" s="1"/>
      <c r="Z60" s="5">
        <f t="shared" si="39"/>
        <v>0</v>
      </c>
    </row>
    <row r="61" spans="1:26" s="24" customFormat="1" hidden="1" outlineLevel="2" x14ac:dyDescent="0.25">
      <c r="A61" s="29"/>
      <c r="B61" s="11" t="str">
        <f>CONCATENATE("          ", "6273", " - ", "RENT")</f>
        <v xml:space="preserve">          6273 - RENT</v>
      </c>
      <c r="C61" s="11"/>
      <c r="D61" s="8">
        <v>-800</v>
      </c>
      <c r="E61" s="3"/>
      <c r="F61" s="7">
        <f t="shared" si="32"/>
        <v>0</v>
      </c>
      <c r="G61" s="3"/>
      <c r="H61" s="8">
        <v>-800</v>
      </c>
      <c r="I61" s="3"/>
      <c r="J61" s="7">
        <f t="shared" si="33"/>
        <v>0</v>
      </c>
      <c r="K61" s="3"/>
      <c r="L61" s="8">
        <f t="shared" si="34"/>
        <v>0</v>
      </c>
      <c r="M61" s="3"/>
      <c r="N61" s="7">
        <f t="shared" si="35"/>
        <v>0</v>
      </c>
      <c r="O61" s="11"/>
      <c r="P61" s="8">
        <v>-800</v>
      </c>
      <c r="Q61" s="3"/>
      <c r="R61" s="7">
        <f t="shared" si="36"/>
        <v>0</v>
      </c>
      <c r="S61" s="3"/>
      <c r="T61" s="8">
        <v>-800</v>
      </c>
      <c r="U61" s="3"/>
      <c r="V61" s="7">
        <f t="shared" si="37"/>
        <v>0</v>
      </c>
      <c r="W61" s="3"/>
      <c r="X61" s="8">
        <f t="shared" si="38"/>
        <v>0</v>
      </c>
      <c r="Y61" s="3"/>
      <c r="Z61" s="7">
        <f t="shared" si="39"/>
        <v>0</v>
      </c>
    </row>
    <row r="62" spans="1:26" s="27" customFormat="1" outlineLevel="1" collapsed="1" x14ac:dyDescent="0.25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SUM(OSRRefD22_14x_0)</f>
        <v>59946.810000000012</v>
      </c>
      <c r="E62" s="1"/>
      <c r="F62" s="5">
        <f t="shared" si="32"/>
        <v>0</v>
      </c>
      <c r="G62" s="1"/>
      <c r="H62" s="1">
        <f>SUM(OSRRefH22_14x_0)</f>
        <v>16782.449999999997</v>
      </c>
      <c r="I62" s="1"/>
      <c r="J62" s="5">
        <f t="shared" si="33"/>
        <v>0</v>
      </c>
      <c r="K62" s="1"/>
      <c r="L62" s="1">
        <f t="shared" si="34"/>
        <v>43164.360000000015</v>
      </c>
      <c r="M62" s="1"/>
      <c r="N62" s="5">
        <f t="shared" si="35"/>
        <v>2.5719939579739561</v>
      </c>
      <c r="O62" s="14"/>
      <c r="P62" s="1">
        <f>SUM(OSRRefP22_14x_0)</f>
        <v>59946.810000000012</v>
      </c>
      <c r="Q62" s="1"/>
      <c r="R62" s="5">
        <f t="shared" si="36"/>
        <v>0</v>
      </c>
      <c r="S62" s="1"/>
      <c r="T62" s="1">
        <f>SUM(OSRRefT22_14x_0)</f>
        <v>16782.449999999997</v>
      </c>
      <c r="U62" s="1"/>
      <c r="V62" s="5">
        <f t="shared" si="37"/>
        <v>0</v>
      </c>
      <c r="W62" s="1"/>
      <c r="X62" s="1">
        <f t="shared" si="38"/>
        <v>43164.360000000015</v>
      </c>
      <c r="Y62" s="1"/>
      <c r="Z62" s="5">
        <f t="shared" si="39"/>
        <v>2.5719939579739561</v>
      </c>
    </row>
    <row r="63" spans="1:26" s="24" customFormat="1" hidden="1" outlineLevel="2" x14ac:dyDescent="0.25">
      <c r="A63" s="29"/>
      <c r="B63" s="11" t="str">
        <f>CONCATENATE("          ", "6371", " - ", "COMPUTER SOFTWARE MAINTENANCE")</f>
        <v xml:space="preserve">          6371 - COMPUTER SOFTWARE MAINTENANCE</v>
      </c>
      <c r="C63" s="11"/>
      <c r="D63" s="8">
        <v>58428.780000000006</v>
      </c>
      <c r="E63" s="3"/>
      <c r="F63" s="7">
        <f t="shared" si="32"/>
        <v>0</v>
      </c>
      <c r="G63" s="3"/>
      <c r="H63" s="8">
        <v>601</v>
      </c>
      <c r="I63" s="3"/>
      <c r="J63" s="7">
        <f t="shared" si="33"/>
        <v>0</v>
      </c>
      <c r="K63" s="3"/>
      <c r="L63" s="8">
        <f t="shared" si="34"/>
        <v>57827.780000000006</v>
      </c>
      <c r="M63" s="3"/>
      <c r="N63" s="7">
        <f t="shared" si="35"/>
        <v>96.219267886855249</v>
      </c>
      <c r="O63" s="11"/>
      <c r="P63" s="8">
        <v>58428.780000000006</v>
      </c>
      <c r="Q63" s="3"/>
      <c r="R63" s="7">
        <f t="shared" si="36"/>
        <v>0</v>
      </c>
      <c r="S63" s="3"/>
      <c r="T63" s="8">
        <v>601</v>
      </c>
      <c r="U63" s="3"/>
      <c r="V63" s="7">
        <f t="shared" si="37"/>
        <v>0</v>
      </c>
      <c r="W63" s="3"/>
      <c r="X63" s="8">
        <f t="shared" si="38"/>
        <v>57827.780000000006</v>
      </c>
      <c r="Y63" s="3"/>
      <c r="Z63" s="7">
        <f t="shared" si="39"/>
        <v>96.219267886855249</v>
      </c>
    </row>
    <row r="64" spans="1:26" s="24" customFormat="1" hidden="1" outlineLevel="2" x14ac:dyDescent="0.25">
      <c r="A64" s="29"/>
      <c r="B64" s="11" t="str">
        <f>CONCATENATE("          ", "6373", " - ", "MAINTENANCE CONTRACTS")</f>
        <v xml:space="preserve">          6373 - MAINTENANCE CONTRACTS</v>
      </c>
      <c r="C64" s="11"/>
      <c r="D64" s="8">
        <v>15.05</v>
      </c>
      <c r="E64" s="3"/>
      <c r="F64" s="7">
        <f t="shared" si="32"/>
        <v>0</v>
      </c>
      <c r="G64" s="3"/>
      <c r="H64" s="8">
        <v>516</v>
      </c>
      <c r="I64" s="3"/>
      <c r="J64" s="7">
        <f t="shared" si="33"/>
        <v>0</v>
      </c>
      <c r="K64" s="3"/>
      <c r="L64" s="8">
        <f t="shared" si="34"/>
        <v>-500.95</v>
      </c>
      <c r="M64" s="3"/>
      <c r="N64" s="7">
        <f t="shared" si="35"/>
        <v>-0.97083333333333333</v>
      </c>
      <c r="O64" s="11"/>
      <c r="P64" s="8">
        <v>15.05</v>
      </c>
      <c r="Q64" s="3"/>
      <c r="R64" s="7">
        <f t="shared" si="36"/>
        <v>0</v>
      </c>
      <c r="S64" s="3"/>
      <c r="T64" s="8">
        <v>516</v>
      </c>
      <c r="U64" s="3"/>
      <c r="V64" s="7">
        <f t="shared" si="37"/>
        <v>0</v>
      </c>
      <c r="W64" s="3"/>
      <c r="X64" s="8">
        <f t="shared" si="38"/>
        <v>-500.95</v>
      </c>
      <c r="Y64" s="3"/>
      <c r="Z64" s="7">
        <f t="shared" si="39"/>
        <v>-0.97083333333333333</v>
      </c>
    </row>
    <row r="65" spans="1:26" s="24" customFormat="1" hidden="1" outlineLevel="2" x14ac:dyDescent="0.25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8">
        <v>1502.98</v>
      </c>
      <c r="E65" s="3"/>
      <c r="F65" s="7">
        <f t="shared" si="32"/>
        <v>0</v>
      </c>
      <c r="G65" s="3"/>
      <c r="H65" s="8">
        <v>15665.449999999999</v>
      </c>
      <c r="I65" s="3"/>
      <c r="J65" s="7">
        <f t="shared" si="33"/>
        <v>0</v>
      </c>
      <c r="K65" s="3"/>
      <c r="L65" s="8">
        <f t="shared" si="34"/>
        <v>-14162.47</v>
      </c>
      <c r="M65" s="3"/>
      <c r="N65" s="7">
        <f t="shared" si="35"/>
        <v>-0.90405765554133466</v>
      </c>
      <c r="O65" s="11"/>
      <c r="P65" s="8">
        <v>1502.98</v>
      </c>
      <c r="Q65" s="3"/>
      <c r="R65" s="7">
        <f t="shared" si="36"/>
        <v>0</v>
      </c>
      <c r="S65" s="3"/>
      <c r="T65" s="8">
        <v>15665.449999999999</v>
      </c>
      <c r="U65" s="3"/>
      <c r="V65" s="7">
        <f t="shared" si="37"/>
        <v>0</v>
      </c>
      <c r="W65" s="3"/>
      <c r="X65" s="8">
        <f t="shared" si="38"/>
        <v>-14162.47</v>
      </c>
      <c r="Y65" s="3"/>
      <c r="Z65" s="7">
        <f t="shared" si="39"/>
        <v>-0.90405765554133466</v>
      </c>
    </row>
    <row r="66" spans="1:26" s="27" customFormat="1" outlineLevel="1" collapsed="1" x14ac:dyDescent="0.25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SUM(OSRRefD22_15x_0)</f>
        <v>4330.68</v>
      </c>
      <c r="E66" s="1"/>
      <c r="F66" s="5">
        <f t="shared" ref="F66:F69" si="40">IF(D$12=0,0,D66/D$12)</f>
        <v>0</v>
      </c>
      <c r="G66" s="1"/>
      <c r="H66" s="1">
        <f>SUM(OSRRefH22_15x_0)</f>
        <v>4180.04</v>
      </c>
      <c r="I66" s="1"/>
      <c r="J66" s="5">
        <f t="shared" ref="J66:J69" si="41">IF(H$12=0,0,H66/H$12)</f>
        <v>0</v>
      </c>
      <c r="K66" s="1"/>
      <c r="L66" s="1">
        <f t="shared" ref="L66:L69" si="42">+D66-H66</f>
        <v>150.64000000000033</v>
      </c>
      <c r="M66" s="1"/>
      <c r="N66" s="5">
        <f t="shared" ref="N66:N69" si="43">IF(H66=0,0,L66/H66)</f>
        <v>3.6037932651362264E-2</v>
      </c>
      <c r="O66" s="14"/>
      <c r="P66" s="1">
        <f>SUM(OSRRefP22_15x_0)</f>
        <v>4330.68</v>
      </c>
      <c r="Q66" s="1"/>
      <c r="R66" s="5">
        <f t="shared" ref="R66:R69" si="44">IF(P$12=0,0,P66/P$12)</f>
        <v>0</v>
      </c>
      <c r="S66" s="1"/>
      <c r="T66" s="1">
        <f>SUM(OSRRefT22_15x_0)</f>
        <v>4180.04</v>
      </c>
      <c r="U66" s="1"/>
      <c r="V66" s="5">
        <f t="shared" ref="V66:V69" si="45">IF(T$12=0,0,T66/T$12)</f>
        <v>0</v>
      </c>
      <c r="W66" s="1"/>
      <c r="X66" s="1">
        <f t="shared" ref="X66:X69" si="46">+P66-T66</f>
        <v>150.64000000000033</v>
      </c>
      <c r="Y66" s="1"/>
      <c r="Z66" s="5">
        <f t="shared" ref="Z66:Z69" si="47">IF(T66=0,0,X66/T66)</f>
        <v>3.6037932651362264E-2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8">
        <v>92.5</v>
      </c>
      <c r="E67" s="3"/>
      <c r="F67" s="7">
        <f t="shared" si="40"/>
        <v>0</v>
      </c>
      <c r="G67" s="3"/>
      <c r="H67" s="8">
        <v>222.5</v>
      </c>
      <c r="I67" s="3"/>
      <c r="J67" s="7">
        <f t="shared" si="41"/>
        <v>0</v>
      </c>
      <c r="K67" s="3"/>
      <c r="L67" s="8">
        <f t="shared" si="42"/>
        <v>-130</v>
      </c>
      <c r="M67" s="3"/>
      <c r="N67" s="7">
        <f t="shared" si="43"/>
        <v>-0.5842696629213483</v>
      </c>
      <c r="O67" s="11"/>
      <c r="P67" s="8">
        <v>92.5</v>
      </c>
      <c r="Q67" s="3"/>
      <c r="R67" s="7">
        <f t="shared" si="44"/>
        <v>0</v>
      </c>
      <c r="S67" s="3"/>
      <c r="T67" s="8">
        <v>222.5</v>
      </c>
      <c r="U67" s="3"/>
      <c r="V67" s="7">
        <f t="shared" si="45"/>
        <v>0</v>
      </c>
      <c r="W67" s="3"/>
      <c r="X67" s="8">
        <f t="shared" si="46"/>
        <v>-130</v>
      </c>
      <c r="Y67" s="3"/>
      <c r="Z67" s="7">
        <f t="shared" si="47"/>
        <v>-0.5842696629213483</v>
      </c>
    </row>
    <row r="68" spans="1:26" s="24" customFormat="1" hidden="1" outlineLevel="2" x14ac:dyDescent="0.25">
      <c r="A68" s="29"/>
      <c r="B68" s="11" t="str">
        <f>CONCATENATE("          ", "6283", " - ", "PLANT SERVICE")</f>
        <v xml:space="preserve">          6283 - PLANT SERVICE</v>
      </c>
      <c r="C68" s="11"/>
      <c r="D68" s="8">
        <v>130</v>
      </c>
      <c r="E68" s="3"/>
      <c r="F68" s="7">
        <f t="shared" si="40"/>
        <v>0</v>
      </c>
      <c r="G68" s="3"/>
      <c r="H68" s="8">
        <v>121.11</v>
      </c>
      <c r="I68" s="3"/>
      <c r="J68" s="7">
        <f t="shared" si="41"/>
        <v>0</v>
      </c>
      <c r="K68" s="3"/>
      <c r="L68" s="8">
        <f t="shared" si="42"/>
        <v>8.89</v>
      </c>
      <c r="M68" s="3"/>
      <c r="N68" s="7">
        <f t="shared" si="43"/>
        <v>7.3404343159111554E-2</v>
      </c>
      <c r="O68" s="11"/>
      <c r="P68" s="8">
        <v>130</v>
      </c>
      <c r="Q68" s="3"/>
      <c r="R68" s="7">
        <f t="shared" si="44"/>
        <v>0</v>
      </c>
      <c r="S68" s="3"/>
      <c r="T68" s="8">
        <v>121.11</v>
      </c>
      <c r="U68" s="3"/>
      <c r="V68" s="7">
        <f t="shared" si="45"/>
        <v>0</v>
      </c>
      <c r="W68" s="3"/>
      <c r="X68" s="8">
        <f t="shared" si="46"/>
        <v>8.89</v>
      </c>
      <c r="Y68" s="3"/>
      <c r="Z68" s="7">
        <f t="shared" si="47"/>
        <v>7.3404343159111554E-2</v>
      </c>
    </row>
    <row r="69" spans="1:26" s="24" customFormat="1" hidden="1" outlineLevel="2" x14ac:dyDescent="0.25">
      <c r="A69" s="29"/>
      <c r="B69" s="11" t="str">
        <f>CONCATENATE("          ", "6285", " - ", "JANITORIAL SERVICES")</f>
        <v xml:space="preserve">          6285 - JANITORIAL SERVICES</v>
      </c>
      <c r="C69" s="11"/>
      <c r="D69" s="8">
        <v>4108.18</v>
      </c>
      <c r="E69" s="3"/>
      <c r="F69" s="7">
        <f t="shared" si="40"/>
        <v>0</v>
      </c>
      <c r="G69" s="3"/>
      <c r="H69" s="8">
        <v>3836.43</v>
      </c>
      <c r="I69" s="3"/>
      <c r="J69" s="7">
        <f t="shared" si="41"/>
        <v>0</v>
      </c>
      <c r="K69" s="3"/>
      <c r="L69" s="8">
        <f t="shared" si="42"/>
        <v>271.75000000000045</v>
      </c>
      <c r="M69" s="3"/>
      <c r="N69" s="7">
        <f t="shared" si="43"/>
        <v>7.0834082727952927E-2</v>
      </c>
      <c r="O69" s="11"/>
      <c r="P69" s="8">
        <v>4108.18</v>
      </c>
      <c r="Q69" s="3"/>
      <c r="R69" s="7">
        <f t="shared" si="44"/>
        <v>0</v>
      </c>
      <c r="S69" s="3"/>
      <c r="T69" s="8">
        <v>3836.43</v>
      </c>
      <c r="U69" s="3"/>
      <c r="V69" s="7">
        <f t="shared" si="45"/>
        <v>0</v>
      </c>
      <c r="W69" s="3"/>
      <c r="X69" s="8">
        <f t="shared" si="46"/>
        <v>271.75000000000045</v>
      </c>
      <c r="Y69" s="3"/>
      <c r="Z69" s="7">
        <f t="shared" si="47"/>
        <v>7.0834082727952927E-2</v>
      </c>
    </row>
    <row r="70" spans="1:26" s="27" customFormat="1" outlineLevel="1" collapsed="1" x14ac:dyDescent="0.25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SUM(OSRRefD22_16x_0)</f>
        <v>0</v>
      </c>
      <c r="E70" s="1"/>
      <c r="F70" s="5">
        <f t="shared" ref="F70:F77" si="48">IF(D$12=0,0,D70/D$12)</f>
        <v>0</v>
      </c>
      <c r="G70" s="1"/>
      <c r="H70" s="1">
        <f>SUM(OSRRefH22_16x_0)</f>
        <v>159.97999999999999</v>
      </c>
      <c r="I70" s="1"/>
      <c r="J70" s="5">
        <f t="shared" ref="J70:J77" si="49">IF(H$12=0,0,H70/H$12)</f>
        <v>0</v>
      </c>
      <c r="K70" s="1"/>
      <c r="L70" s="1">
        <f t="shared" ref="L70:L77" si="50">+D70-H70</f>
        <v>-159.97999999999999</v>
      </c>
      <c r="M70" s="1"/>
      <c r="N70" s="5">
        <f t="shared" ref="N70:N77" si="51">IF(H70=0,0,L70/H70)</f>
        <v>-1</v>
      </c>
      <c r="O70" s="14"/>
      <c r="P70" s="1">
        <f>SUM(OSRRefP22_16x_0)</f>
        <v>0</v>
      </c>
      <c r="Q70" s="1"/>
      <c r="R70" s="5">
        <f t="shared" ref="R70:R77" si="52">IF(P$12=0,0,P70/P$12)</f>
        <v>0</v>
      </c>
      <c r="S70" s="1"/>
      <c r="T70" s="1">
        <f>SUM(OSRRefT22_16x_0)</f>
        <v>159.97999999999999</v>
      </c>
      <c r="U70" s="1"/>
      <c r="V70" s="5">
        <f t="shared" ref="V70:V77" si="53">IF(T$12=0,0,T70/T$12)</f>
        <v>0</v>
      </c>
      <c r="W70" s="1"/>
      <c r="X70" s="1">
        <f t="shared" ref="X70:X77" si="54">+P70-T70</f>
        <v>-159.97999999999999</v>
      </c>
      <c r="Y70" s="1"/>
      <c r="Z70" s="5">
        <f t="shared" ref="Z70:Z77" si="55">IF(T70=0,0,X70/T70)</f>
        <v>-1</v>
      </c>
    </row>
    <row r="71" spans="1:26" s="24" customFormat="1" hidden="1" outlineLevel="2" x14ac:dyDescent="0.25">
      <c r="A71" s="29"/>
      <c r="B71" s="11" t="str">
        <f>CONCATENATE("          ", "6275", " - ", "SUBSCRIPTIONS")</f>
        <v xml:space="preserve">          6275 - SUBSCRIPTIONS</v>
      </c>
      <c r="C71" s="11"/>
      <c r="D71" s="8"/>
      <c r="E71" s="3"/>
      <c r="F71" s="7">
        <f t="shared" si="48"/>
        <v>0</v>
      </c>
      <c r="G71" s="3"/>
      <c r="H71" s="8">
        <v>159.97999999999999</v>
      </c>
      <c r="I71" s="3"/>
      <c r="J71" s="7">
        <f t="shared" si="49"/>
        <v>0</v>
      </c>
      <c r="K71" s="3"/>
      <c r="L71" s="8">
        <f t="shared" si="50"/>
        <v>-159.97999999999999</v>
      </c>
      <c r="M71" s="3"/>
      <c r="N71" s="7">
        <f t="shared" si="51"/>
        <v>-1</v>
      </c>
      <c r="O71" s="11"/>
      <c r="P71" s="8"/>
      <c r="Q71" s="3"/>
      <c r="R71" s="7">
        <f t="shared" si="52"/>
        <v>0</v>
      </c>
      <c r="S71" s="3"/>
      <c r="T71" s="8">
        <v>159.97999999999999</v>
      </c>
      <c r="U71" s="3"/>
      <c r="V71" s="7">
        <f t="shared" si="53"/>
        <v>0</v>
      </c>
      <c r="W71" s="3"/>
      <c r="X71" s="8">
        <f t="shared" si="54"/>
        <v>-159.97999999999999</v>
      </c>
      <c r="Y71" s="3"/>
      <c r="Z71" s="7">
        <f t="shared" si="55"/>
        <v>-1</v>
      </c>
    </row>
    <row r="72" spans="1:26" s="27" customFormat="1" outlineLevel="1" collapsed="1" x14ac:dyDescent="0.25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SUM(OSRRefD22_17x_0)</f>
        <v>4985.9900000000007</v>
      </c>
      <c r="E72" s="1"/>
      <c r="F72" s="5">
        <f t="shared" si="48"/>
        <v>0</v>
      </c>
      <c r="G72" s="1"/>
      <c r="H72" s="1">
        <f>SUM(OSRRefH22_17x_0)</f>
        <v>1401.8500000000001</v>
      </c>
      <c r="I72" s="1"/>
      <c r="J72" s="5">
        <f t="shared" si="49"/>
        <v>0</v>
      </c>
      <c r="K72" s="1"/>
      <c r="L72" s="1">
        <f t="shared" si="50"/>
        <v>3584.1400000000003</v>
      </c>
      <c r="M72" s="1"/>
      <c r="N72" s="5">
        <f t="shared" si="51"/>
        <v>2.5567214751934944</v>
      </c>
      <c r="O72" s="14"/>
      <c r="P72" s="1">
        <f>SUM(OSRRefP22_17x_0)</f>
        <v>4985.9900000000007</v>
      </c>
      <c r="Q72" s="1"/>
      <c r="R72" s="5">
        <f t="shared" si="52"/>
        <v>0</v>
      </c>
      <c r="S72" s="1"/>
      <c r="T72" s="1">
        <f>SUM(OSRRefT22_17x_0)</f>
        <v>1401.8500000000001</v>
      </c>
      <c r="U72" s="1"/>
      <c r="V72" s="5">
        <f t="shared" si="53"/>
        <v>0</v>
      </c>
      <c r="W72" s="1"/>
      <c r="X72" s="1">
        <f t="shared" si="54"/>
        <v>3584.1400000000003</v>
      </c>
      <c r="Y72" s="1"/>
      <c r="Z72" s="5">
        <f t="shared" si="55"/>
        <v>2.5567214751934944</v>
      </c>
    </row>
    <row r="73" spans="1:26" s="24" customFormat="1" hidden="1" outlineLevel="2" x14ac:dyDescent="0.25">
      <c r="A73" s="29"/>
      <c r="B73" s="11" t="str">
        <f>CONCATENATE("          ", "6234", " - ", "EXPENDABLE SUPPLIES &amp; EQUIPMEN")</f>
        <v xml:space="preserve">          6234 - EXPENDABLE SUPPLIES &amp; EQUIPMEN</v>
      </c>
      <c r="C73" s="11"/>
      <c r="D73" s="8"/>
      <c r="E73" s="3"/>
      <c r="F73" s="7">
        <f t="shared" si="48"/>
        <v>0</v>
      </c>
      <c r="G73" s="3"/>
      <c r="H73" s="8">
        <v>700.76</v>
      </c>
      <c r="I73" s="3"/>
      <c r="J73" s="7">
        <f t="shared" si="49"/>
        <v>0</v>
      </c>
      <c r="K73" s="3"/>
      <c r="L73" s="8">
        <f t="shared" si="50"/>
        <v>-700.76</v>
      </c>
      <c r="M73" s="3"/>
      <c r="N73" s="7">
        <f t="shared" si="51"/>
        <v>-1</v>
      </c>
      <c r="O73" s="11"/>
      <c r="P73" s="8"/>
      <c r="Q73" s="3"/>
      <c r="R73" s="7">
        <f t="shared" si="52"/>
        <v>0</v>
      </c>
      <c r="S73" s="3"/>
      <c r="T73" s="8">
        <v>700.76</v>
      </c>
      <c r="U73" s="3"/>
      <c r="V73" s="7">
        <f t="shared" si="53"/>
        <v>0</v>
      </c>
      <c r="W73" s="3"/>
      <c r="X73" s="8">
        <f t="shared" si="54"/>
        <v>-700.76</v>
      </c>
      <c r="Y73" s="3"/>
      <c r="Z73" s="7">
        <f t="shared" si="55"/>
        <v>-1</v>
      </c>
    </row>
    <row r="74" spans="1:26" s="24" customFormat="1" hidden="1" outlineLevel="2" x14ac:dyDescent="0.25">
      <c r="A74" s="29"/>
      <c r="B74" s="11" t="str">
        <f>CONCATENATE("          ", "6235", " - ", "COVID-19 EXPENSES")</f>
        <v xml:space="preserve">          6235 - COVID-19 EXPENSES</v>
      </c>
      <c r="C74" s="11"/>
      <c r="D74" s="8">
        <v>4295.5200000000004</v>
      </c>
      <c r="E74" s="3"/>
      <c r="F74" s="7">
        <f t="shared" si="48"/>
        <v>0</v>
      </c>
      <c r="G74" s="3"/>
      <c r="H74" s="8"/>
      <c r="I74" s="3"/>
      <c r="J74" s="7">
        <f t="shared" si="49"/>
        <v>0</v>
      </c>
      <c r="K74" s="3"/>
      <c r="L74" s="8">
        <f t="shared" si="50"/>
        <v>4295.5200000000004</v>
      </c>
      <c r="M74" s="3"/>
      <c r="N74" s="7">
        <f t="shared" si="51"/>
        <v>0</v>
      </c>
      <c r="O74" s="11"/>
      <c r="P74" s="8">
        <v>4295.5200000000004</v>
      </c>
      <c r="Q74" s="3"/>
      <c r="R74" s="7">
        <f t="shared" si="52"/>
        <v>0</v>
      </c>
      <c r="S74" s="3"/>
      <c r="T74" s="8"/>
      <c r="U74" s="3"/>
      <c r="V74" s="7">
        <f t="shared" si="53"/>
        <v>0</v>
      </c>
      <c r="W74" s="3"/>
      <c r="X74" s="8">
        <f t="shared" si="54"/>
        <v>4295.5200000000004</v>
      </c>
      <c r="Y74" s="3"/>
      <c r="Z74" s="7">
        <f t="shared" si="55"/>
        <v>0</v>
      </c>
    </row>
    <row r="75" spans="1:26" s="24" customFormat="1" hidden="1" outlineLevel="2" x14ac:dyDescent="0.25">
      <c r="A75" s="29"/>
      <c r="B75" s="11" t="str">
        <f>CONCATENATE("          ", "6237", " - ", "JANITORIAL SUPPLIES")</f>
        <v xml:space="preserve">          6237 - JANITORIAL SUPPLIES</v>
      </c>
      <c r="C75" s="11"/>
      <c r="D75" s="8"/>
      <c r="E75" s="3"/>
      <c r="F75" s="7">
        <f t="shared" si="48"/>
        <v>0</v>
      </c>
      <c r="G75" s="3"/>
      <c r="H75" s="8">
        <v>448.83</v>
      </c>
      <c r="I75" s="3"/>
      <c r="J75" s="7">
        <f t="shared" si="49"/>
        <v>0</v>
      </c>
      <c r="K75" s="3"/>
      <c r="L75" s="8">
        <f t="shared" si="50"/>
        <v>-448.83</v>
      </c>
      <c r="M75" s="3"/>
      <c r="N75" s="7">
        <f t="shared" si="51"/>
        <v>-1</v>
      </c>
      <c r="O75" s="11"/>
      <c r="P75" s="8"/>
      <c r="Q75" s="3"/>
      <c r="R75" s="7">
        <f t="shared" si="52"/>
        <v>0</v>
      </c>
      <c r="S75" s="3"/>
      <c r="T75" s="8">
        <v>448.83</v>
      </c>
      <c r="U75" s="3"/>
      <c r="V75" s="7">
        <f t="shared" si="53"/>
        <v>0</v>
      </c>
      <c r="W75" s="3"/>
      <c r="X75" s="8">
        <f t="shared" si="54"/>
        <v>-448.83</v>
      </c>
      <c r="Y75" s="3"/>
      <c r="Z75" s="7">
        <f t="shared" si="55"/>
        <v>-1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8">
        <v>222.37</v>
      </c>
      <c r="E76" s="3"/>
      <c r="F76" s="7">
        <f t="shared" si="48"/>
        <v>0</v>
      </c>
      <c r="G76" s="3"/>
      <c r="H76" s="8">
        <v>350.12</v>
      </c>
      <c r="I76" s="3"/>
      <c r="J76" s="7">
        <f t="shared" si="49"/>
        <v>0</v>
      </c>
      <c r="K76" s="3"/>
      <c r="L76" s="8">
        <f t="shared" si="50"/>
        <v>-127.75</v>
      </c>
      <c r="M76" s="3"/>
      <c r="N76" s="7">
        <f t="shared" si="51"/>
        <v>-0.36487490003427397</v>
      </c>
      <c r="O76" s="11"/>
      <c r="P76" s="8">
        <v>222.37</v>
      </c>
      <c r="Q76" s="3"/>
      <c r="R76" s="7">
        <f t="shared" si="52"/>
        <v>0</v>
      </c>
      <c r="S76" s="3"/>
      <c r="T76" s="8">
        <v>350.12</v>
      </c>
      <c r="U76" s="3"/>
      <c r="V76" s="7">
        <f t="shared" si="53"/>
        <v>0</v>
      </c>
      <c r="W76" s="3"/>
      <c r="X76" s="8">
        <f t="shared" si="54"/>
        <v>-127.75</v>
      </c>
      <c r="Y76" s="3"/>
      <c r="Z76" s="7">
        <f t="shared" si="55"/>
        <v>-0.36487490003427397</v>
      </c>
    </row>
    <row r="77" spans="1:26" s="24" customFormat="1" hidden="1" outlineLevel="2" x14ac:dyDescent="0.25">
      <c r="A77" s="29"/>
      <c r="B77" s="11" t="str">
        <f>CONCATENATE("          ", "6247", " - ", "STORE SUPPLIES")</f>
        <v xml:space="preserve">          6247 - STORE SUPPLIES</v>
      </c>
      <c r="C77" s="11"/>
      <c r="D77" s="8">
        <v>468.1</v>
      </c>
      <c r="E77" s="3"/>
      <c r="F77" s="7">
        <f t="shared" si="48"/>
        <v>0</v>
      </c>
      <c r="G77" s="3"/>
      <c r="H77" s="8">
        <v>-97.86</v>
      </c>
      <c r="I77" s="3"/>
      <c r="J77" s="7">
        <f t="shared" si="49"/>
        <v>0</v>
      </c>
      <c r="K77" s="3"/>
      <c r="L77" s="8">
        <f t="shared" si="50"/>
        <v>565.96</v>
      </c>
      <c r="M77" s="3"/>
      <c r="N77" s="7">
        <f t="shared" si="51"/>
        <v>-5.7833639893725737</v>
      </c>
      <c r="O77" s="11"/>
      <c r="P77" s="8">
        <v>468.1</v>
      </c>
      <c r="Q77" s="3"/>
      <c r="R77" s="7">
        <f t="shared" si="52"/>
        <v>0</v>
      </c>
      <c r="S77" s="3"/>
      <c r="T77" s="8">
        <v>-97.86</v>
      </c>
      <c r="U77" s="3"/>
      <c r="V77" s="7">
        <f t="shared" si="53"/>
        <v>0</v>
      </c>
      <c r="W77" s="3"/>
      <c r="X77" s="8">
        <f t="shared" si="54"/>
        <v>565.96</v>
      </c>
      <c r="Y77" s="3"/>
      <c r="Z77" s="7">
        <f t="shared" si="55"/>
        <v>-5.7833639893725737</v>
      </c>
    </row>
    <row r="78" spans="1:26" s="27" customFormat="1" outlineLevel="1" collapsed="1" x14ac:dyDescent="0.25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SUM(OSRRefD22_18x_0)</f>
        <v>567.21</v>
      </c>
      <c r="E78" s="1"/>
      <c r="F78" s="5">
        <f t="shared" ref="F78:F84" si="56">IF(D$12=0,0,D78/D$12)</f>
        <v>0</v>
      </c>
      <c r="G78" s="1"/>
      <c r="H78" s="1">
        <f>SUM(OSRRefH22_18x_0)</f>
        <v>397.36</v>
      </c>
      <c r="I78" s="1"/>
      <c r="J78" s="5">
        <f t="shared" ref="J78:J84" si="57">IF(H$12=0,0,H78/H$12)</f>
        <v>0</v>
      </c>
      <c r="K78" s="1"/>
      <c r="L78" s="1">
        <f t="shared" ref="L78:L84" si="58">+D78-H78</f>
        <v>169.85000000000002</v>
      </c>
      <c r="M78" s="1"/>
      <c r="N78" s="5">
        <f t="shared" ref="N78:N84" si="59">IF(H78=0,0,L78/H78)</f>
        <v>0.42744614455405683</v>
      </c>
      <c r="O78" s="14"/>
      <c r="P78" s="1">
        <f>SUM(OSRRefP22_18x_0)</f>
        <v>567.21</v>
      </c>
      <c r="Q78" s="1"/>
      <c r="R78" s="5">
        <f t="shared" ref="R78:R84" si="60">IF(P$12=0,0,P78/P$12)</f>
        <v>0</v>
      </c>
      <c r="S78" s="1"/>
      <c r="T78" s="1">
        <f>SUM(OSRRefT22_18x_0)</f>
        <v>397.36</v>
      </c>
      <c r="U78" s="1"/>
      <c r="V78" s="5">
        <f t="shared" ref="V78:V84" si="61">IF(T$12=0,0,T78/T$12)</f>
        <v>0</v>
      </c>
      <c r="W78" s="1"/>
      <c r="X78" s="1">
        <f t="shared" ref="X78:X84" si="62">+P78-T78</f>
        <v>169.85000000000002</v>
      </c>
      <c r="Y78" s="1"/>
      <c r="Z78" s="5">
        <f t="shared" ref="Z78:Z84" si="63">IF(T78=0,0,X78/T78)</f>
        <v>0.42744614455405683</v>
      </c>
    </row>
    <row r="79" spans="1:26" s="24" customFormat="1" hidden="1" outlineLevel="2" x14ac:dyDescent="0.25">
      <c r="A79" s="29"/>
      <c r="B79" s="11" t="str">
        <f>CONCATENATE("          ", "6309", " - ", "TELEPHONE")</f>
        <v xml:space="preserve">          6309 - TELEPHONE</v>
      </c>
      <c r="C79" s="11"/>
      <c r="D79" s="8">
        <v>567.21</v>
      </c>
      <c r="E79" s="3"/>
      <c r="F79" s="7">
        <f t="shared" si="56"/>
        <v>0</v>
      </c>
      <c r="G79" s="3"/>
      <c r="H79" s="8">
        <v>397.36</v>
      </c>
      <c r="I79" s="3"/>
      <c r="J79" s="7">
        <f t="shared" si="57"/>
        <v>0</v>
      </c>
      <c r="K79" s="3"/>
      <c r="L79" s="8">
        <f t="shared" si="58"/>
        <v>169.85000000000002</v>
      </c>
      <c r="M79" s="3"/>
      <c r="N79" s="7">
        <f t="shared" si="59"/>
        <v>0.42744614455405683</v>
      </c>
      <c r="O79" s="11"/>
      <c r="P79" s="8">
        <v>567.21</v>
      </c>
      <c r="Q79" s="3"/>
      <c r="R79" s="7">
        <f t="shared" si="60"/>
        <v>0</v>
      </c>
      <c r="S79" s="3"/>
      <c r="T79" s="8">
        <v>397.36</v>
      </c>
      <c r="U79" s="3"/>
      <c r="V79" s="7">
        <f t="shared" si="61"/>
        <v>0</v>
      </c>
      <c r="W79" s="3"/>
      <c r="X79" s="8">
        <f t="shared" si="62"/>
        <v>169.85000000000002</v>
      </c>
      <c r="Y79" s="3"/>
      <c r="Z79" s="7">
        <f t="shared" si="63"/>
        <v>0.42744614455405683</v>
      </c>
    </row>
    <row r="80" spans="1:26" s="27" customFormat="1" outlineLevel="1" collapsed="1" x14ac:dyDescent="0.25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SUM(OSRRefD22_19x_0)</f>
        <v>131.63</v>
      </c>
      <c r="E80" s="1"/>
      <c r="F80" s="5">
        <f t="shared" si="56"/>
        <v>0</v>
      </c>
      <c r="G80" s="1"/>
      <c r="H80" s="1">
        <f>SUM(OSRRefH22_19x_0)</f>
        <v>171.56</v>
      </c>
      <c r="I80" s="1"/>
      <c r="J80" s="5">
        <f t="shared" si="57"/>
        <v>0</v>
      </c>
      <c r="K80" s="1"/>
      <c r="L80" s="1">
        <f t="shared" si="58"/>
        <v>-39.930000000000007</v>
      </c>
      <c r="M80" s="1"/>
      <c r="N80" s="5">
        <f t="shared" si="59"/>
        <v>-0.23274656096992311</v>
      </c>
      <c r="O80" s="14"/>
      <c r="P80" s="1">
        <f>SUM(OSRRefP22_19x_0)</f>
        <v>131.63</v>
      </c>
      <c r="Q80" s="1"/>
      <c r="R80" s="5">
        <f t="shared" si="60"/>
        <v>0</v>
      </c>
      <c r="S80" s="1"/>
      <c r="T80" s="1">
        <f>SUM(OSRRefT22_19x_0)</f>
        <v>171.56</v>
      </c>
      <c r="U80" s="1"/>
      <c r="V80" s="5">
        <f t="shared" si="61"/>
        <v>0</v>
      </c>
      <c r="W80" s="1"/>
      <c r="X80" s="1">
        <f t="shared" si="62"/>
        <v>-39.930000000000007</v>
      </c>
      <c r="Y80" s="1"/>
      <c r="Z80" s="5">
        <f t="shared" si="63"/>
        <v>-0.23274656096992311</v>
      </c>
    </row>
    <row r="81" spans="1:26" s="24" customFormat="1" hidden="1" outlineLevel="2" x14ac:dyDescent="0.25">
      <c r="A81" s="29"/>
      <c r="B81" s="11" t="str">
        <f>CONCATENATE("          ", "6376", " - ", "TRAINING")</f>
        <v xml:space="preserve">          6376 - TRAINING</v>
      </c>
      <c r="C81" s="11"/>
      <c r="D81" s="8">
        <v>131.63</v>
      </c>
      <c r="E81" s="3"/>
      <c r="F81" s="7">
        <f t="shared" si="56"/>
        <v>0</v>
      </c>
      <c r="G81" s="3"/>
      <c r="H81" s="8">
        <v>171.56</v>
      </c>
      <c r="I81" s="3"/>
      <c r="J81" s="7">
        <f t="shared" si="57"/>
        <v>0</v>
      </c>
      <c r="K81" s="3"/>
      <c r="L81" s="8">
        <f t="shared" si="58"/>
        <v>-39.930000000000007</v>
      </c>
      <c r="M81" s="3"/>
      <c r="N81" s="7">
        <f t="shared" si="59"/>
        <v>-0.23274656096992311</v>
      </c>
      <c r="O81" s="11"/>
      <c r="P81" s="8">
        <v>131.63</v>
      </c>
      <c r="Q81" s="3"/>
      <c r="R81" s="7">
        <f t="shared" si="60"/>
        <v>0</v>
      </c>
      <c r="S81" s="3"/>
      <c r="T81" s="8">
        <v>171.56</v>
      </c>
      <c r="U81" s="3"/>
      <c r="V81" s="7">
        <f t="shared" si="61"/>
        <v>0</v>
      </c>
      <c r="W81" s="3"/>
      <c r="X81" s="8">
        <f t="shared" si="62"/>
        <v>-39.930000000000007</v>
      </c>
      <c r="Y81" s="3"/>
      <c r="Z81" s="7">
        <f t="shared" si="63"/>
        <v>-0.23274656096992311</v>
      </c>
    </row>
    <row r="82" spans="1:26" s="27" customFormat="1" outlineLevel="1" collapsed="1" x14ac:dyDescent="0.25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SUM(OSRRefD22_20x_0)</f>
        <v>59.89</v>
      </c>
      <c r="E82" s="1"/>
      <c r="F82" s="5">
        <f t="shared" si="56"/>
        <v>0</v>
      </c>
      <c r="G82" s="1"/>
      <c r="H82" s="1">
        <f>SUM(OSRRefH22_20x_0)</f>
        <v>221.68</v>
      </c>
      <c r="I82" s="1"/>
      <c r="J82" s="5">
        <f t="shared" si="57"/>
        <v>0</v>
      </c>
      <c r="K82" s="1"/>
      <c r="L82" s="1">
        <f t="shared" si="58"/>
        <v>-161.79000000000002</v>
      </c>
      <c r="M82" s="1"/>
      <c r="N82" s="5">
        <f t="shared" si="59"/>
        <v>-0.72983579935041509</v>
      </c>
      <c r="O82" s="14"/>
      <c r="P82" s="1">
        <f>SUM(OSRRefP22_20x_0)</f>
        <v>59.89</v>
      </c>
      <c r="Q82" s="1"/>
      <c r="R82" s="5">
        <f t="shared" si="60"/>
        <v>0</v>
      </c>
      <c r="S82" s="1"/>
      <c r="T82" s="1">
        <f>SUM(OSRRefT22_20x_0)</f>
        <v>221.68</v>
      </c>
      <c r="U82" s="1"/>
      <c r="V82" s="5">
        <f t="shared" si="61"/>
        <v>0</v>
      </c>
      <c r="W82" s="1"/>
      <c r="X82" s="1">
        <f t="shared" si="62"/>
        <v>-161.79000000000002</v>
      </c>
      <c r="Y82" s="1"/>
      <c r="Z82" s="5">
        <f t="shared" si="63"/>
        <v>-0.72983579935041509</v>
      </c>
    </row>
    <row r="83" spans="1:26" s="24" customFormat="1" hidden="1" outlineLevel="2" x14ac:dyDescent="0.25">
      <c r="A83" s="29"/>
      <c r="B83" s="11" t="str">
        <f>CONCATENATE("          ", "6292", " - ", "TRAVEL/CONFERENCE")</f>
        <v xml:space="preserve">          6292 - TRAVEL/CONFERENCE</v>
      </c>
      <c r="C83" s="11"/>
      <c r="D83" s="8"/>
      <c r="E83" s="3"/>
      <c r="F83" s="7">
        <f t="shared" si="56"/>
        <v>0</v>
      </c>
      <c r="G83" s="3"/>
      <c r="H83" s="8">
        <v>150.47999999999999</v>
      </c>
      <c r="I83" s="3"/>
      <c r="J83" s="7">
        <f t="shared" si="57"/>
        <v>0</v>
      </c>
      <c r="K83" s="3"/>
      <c r="L83" s="8">
        <f t="shared" si="58"/>
        <v>-150.47999999999999</v>
      </c>
      <c r="M83" s="3"/>
      <c r="N83" s="7">
        <f t="shared" si="59"/>
        <v>-1</v>
      </c>
      <c r="O83" s="11"/>
      <c r="P83" s="8"/>
      <c r="Q83" s="3"/>
      <c r="R83" s="7">
        <f t="shared" si="60"/>
        <v>0</v>
      </c>
      <c r="S83" s="3"/>
      <c r="T83" s="8">
        <v>150.47999999999999</v>
      </c>
      <c r="U83" s="3"/>
      <c r="V83" s="7">
        <f t="shared" si="61"/>
        <v>0</v>
      </c>
      <c r="W83" s="3"/>
      <c r="X83" s="8">
        <f t="shared" si="62"/>
        <v>-150.47999999999999</v>
      </c>
      <c r="Y83" s="3"/>
      <c r="Z83" s="7">
        <f t="shared" si="63"/>
        <v>-1</v>
      </c>
    </row>
    <row r="84" spans="1:26" s="24" customFormat="1" hidden="1" outlineLevel="2" x14ac:dyDescent="0.25">
      <c r="A84" s="29"/>
      <c r="B84" s="11" t="str">
        <f>CONCATENATE("          ", "6298", " - ", "VEHICLE MILEAGE")</f>
        <v xml:space="preserve">          6298 - VEHICLE MILEAGE</v>
      </c>
      <c r="C84" s="11"/>
      <c r="D84" s="8">
        <v>59.89</v>
      </c>
      <c r="E84" s="3"/>
      <c r="F84" s="7">
        <f t="shared" si="56"/>
        <v>0</v>
      </c>
      <c r="G84" s="3"/>
      <c r="H84" s="8">
        <v>71.2</v>
      </c>
      <c r="I84" s="3"/>
      <c r="J84" s="7">
        <f t="shared" si="57"/>
        <v>0</v>
      </c>
      <c r="K84" s="3"/>
      <c r="L84" s="8">
        <f t="shared" si="58"/>
        <v>-11.310000000000002</v>
      </c>
      <c r="M84" s="3"/>
      <c r="N84" s="7">
        <f t="shared" si="59"/>
        <v>-0.15884831460674159</v>
      </c>
      <c r="O84" s="11"/>
      <c r="P84" s="8">
        <v>59.89</v>
      </c>
      <c r="Q84" s="3"/>
      <c r="R84" s="7">
        <f t="shared" si="60"/>
        <v>0</v>
      </c>
      <c r="S84" s="3"/>
      <c r="T84" s="8">
        <v>71.2</v>
      </c>
      <c r="U84" s="3"/>
      <c r="V84" s="7">
        <f t="shared" si="61"/>
        <v>0</v>
      </c>
      <c r="W84" s="3"/>
      <c r="X84" s="8">
        <f t="shared" si="62"/>
        <v>-11.310000000000002</v>
      </c>
      <c r="Y84" s="3"/>
      <c r="Z84" s="7">
        <f t="shared" si="63"/>
        <v>-0.15884831460674159</v>
      </c>
    </row>
    <row r="85" spans="1:26" s="27" customFormat="1" outlineLevel="1" collapsed="1" x14ac:dyDescent="0.25">
      <c r="A85" s="28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SUM(OSRRefD22_21x_0)</f>
        <v>6133</v>
      </c>
      <c r="E85" s="1"/>
      <c r="F85" s="5">
        <f t="shared" ref="F85:F86" si="64">IF(D$12=0,0,D85/D$12)</f>
        <v>0</v>
      </c>
      <c r="G85" s="1"/>
      <c r="H85" s="1">
        <f>SUM(OSRRefH22_21x_0)</f>
        <v>5593</v>
      </c>
      <c r="I85" s="1"/>
      <c r="J85" s="5">
        <f t="shared" ref="J85:J86" si="65">IF(H$12=0,0,H85/H$12)</f>
        <v>0</v>
      </c>
      <c r="K85" s="1"/>
      <c r="L85" s="1">
        <f t="shared" ref="L85:L86" si="66">+D85-H85</f>
        <v>540</v>
      </c>
      <c r="M85" s="1"/>
      <c r="N85" s="5">
        <f t="shared" ref="N85:N86" si="67">IF(H85=0,0,L85/H85)</f>
        <v>9.6549258001072766E-2</v>
      </c>
      <c r="O85" s="14"/>
      <c r="P85" s="1">
        <f>SUM(OSRRefP22_21x_0)</f>
        <v>6133</v>
      </c>
      <c r="Q85" s="1"/>
      <c r="R85" s="5">
        <f t="shared" ref="R85:R86" si="68">IF(P$12=0,0,P85/P$12)</f>
        <v>0</v>
      </c>
      <c r="S85" s="1"/>
      <c r="T85" s="1">
        <f>SUM(OSRRefT22_21x_0)</f>
        <v>5593</v>
      </c>
      <c r="U85" s="1"/>
      <c r="V85" s="5">
        <f t="shared" ref="V85:V86" si="69">IF(T$12=0,0,T85/T$12)</f>
        <v>0</v>
      </c>
      <c r="W85" s="1"/>
      <c r="X85" s="1">
        <f t="shared" ref="X85:X86" si="70">+P85-T85</f>
        <v>540</v>
      </c>
      <c r="Y85" s="1"/>
      <c r="Z85" s="5">
        <f t="shared" ref="Z85:Z86" si="71">IF(T85=0,0,X85/T85)</f>
        <v>9.6549258001072766E-2</v>
      </c>
    </row>
    <row r="86" spans="1:26" s="24" customFormat="1" hidden="1" outlineLevel="2" x14ac:dyDescent="0.25">
      <c r="A86" s="29"/>
      <c r="B86" s="11" t="str">
        <f>CONCATENATE("          ", "6274", " - ", "UTILITIES")</f>
        <v xml:space="preserve">          6274 - UTILITIES</v>
      </c>
      <c r="C86" s="11"/>
      <c r="D86" s="8">
        <v>6133</v>
      </c>
      <c r="E86" s="3"/>
      <c r="F86" s="7">
        <f t="shared" si="64"/>
        <v>0</v>
      </c>
      <c r="G86" s="3"/>
      <c r="H86" s="8">
        <v>5593</v>
      </c>
      <c r="I86" s="3"/>
      <c r="J86" s="7">
        <f t="shared" si="65"/>
        <v>0</v>
      </c>
      <c r="K86" s="3"/>
      <c r="L86" s="8">
        <f t="shared" si="66"/>
        <v>540</v>
      </c>
      <c r="M86" s="3"/>
      <c r="N86" s="7">
        <f t="shared" si="67"/>
        <v>9.6549258001072766E-2</v>
      </c>
      <c r="O86" s="11"/>
      <c r="P86" s="8">
        <v>6133</v>
      </c>
      <c r="Q86" s="3"/>
      <c r="R86" s="7">
        <f t="shared" si="68"/>
        <v>0</v>
      </c>
      <c r="S86" s="3"/>
      <c r="T86" s="8">
        <v>5593</v>
      </c>
      <c r="U86" s="3"/>
      <c r="V86" s="7">
        <f t="shared" si="69"/>
        <v>0</v>
      </c>
      <c r="W86" s="3"/>
      <c r="X86" s="8">
        <f t="shared" si="70"/>
        <v>540</v>
      </c>
      <c r="Y86" s="3"/>
      <c r="Z86" s="7">
        <f t="shared" si="71"/>
        <v>9.6549258001072766E-2</v>
      </c>
    </row>
    <row r="87" spans="1:26" s="61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5" t="s">
        <v>0</v>
      </c>
      <c r="C88" s="10"/>
      <c r="D88" s="4">
        <f>SUM(OSRRefD25x_0)</f>
        <v>17025.310000000001</v>
      </c>
      <c r="E88" s="4"/>
      <c r="F88" s="12">
        <f t="shared" ref="F88:F90" si="72">IF(D$12=0,0,D88/D$12)</f>
        <v>0</v>
      </c>
      <c r="G88" s="4"/>
      <c r="H88" s="4">
        <f>SUM(OSRRefH25x_0)</f>
        <v>47466.83</v>
      </c>
      <c r="I88" s="4"/>
      <c r="J88" s="12">
        <f t="shared" ref="J88:J90" si="73">IF(H$12=0,0,H88/H$12)</f>
        <v>0</v>
      </c>
      <c r="K88" s="4"/>
      <c r="L88" s="4">
        <f t="shared" ref="L88:L90" si="74">+D88-H88</f>
        <v>-30441.52</v>
      </c>
      <c r="M88" s="4"/>
      <c r="N88" s="12">
        <f t="shared" ref="N88:N90" si="75">IF(H88=0,0,L88/H88)</f>
        <v>-0.6413219505073332</v>
      </c>
      <c r="O88" s="10"/>
      <c r="P88" s="4">
        <f>SUM(OSRRefP25x_0)</f>
        <v>17025.310000000001</v>
      </c>
      <c r="Q88" s="4"/>
      <c r="R88" s="12">
        <f t="shared" ref="R88:R90" si="76">IF(P$12=0,0,P88/P$12)</f>
        <v>0</v>
      </c>
      <c r="S88" s="4"/>
      <c r="T88" s="4">
        <f>SUM(OSRRefT25x_0)</f>
        <v>47466.83</v>
      </c>
      <c r="U88" s="4"/>
      <c r="V88" s="12">
        <f t="shared" ref="V88:V90" si="77">IF(T$12=0,0,T88/T$12)</f>
        <v>0</v>
      </c>
      <c r="W88" s="4"/>
      <c r="X88" s="4">
        <f t="shared" ref="X88:X90" si="78">+P88-T88</f>
        <v>-30441.52</v>
      </c>
      <c r="Y88" s="4"/>
      <c r="Z88" s="12">
        <f t="shared" ref="Z88:Z90" si="79">IF(T88=0,0,X88/T88)</f>
        <v>-0.6413219505073332</v>
      </c>
    </row>
    <row r="89" spans="1:26" s="24" customFormat="1" hidden="1" outlineLevel="1" x14ac:dyDescent="0.25">
      <c r="A89" s="50"/>
      <c r="B89" s="11" t="str">
        <f>CONCATENATE("          ", "9150", " - ", "MISC. INCOME")</f>
        <v xml:space="preserve">          9150 - MISC. INCOME</v>
      </c>
      <c r="C89" s="11"/>
      <c r="D89" s="3">
        <f>--17025.31</f>
        <v>17025.310000000001</v>
      </c>
      <c r="E89" s="3"/>
      <c r="F89" s="22">
        <f t="shared" si="72"/>
        <v>0</v>
      </c>
      <c r="G89" s="3"/>
      <c r="H89" s="3">
        <f>--47561.32</f>
        <v>47561.32</v>
      </c>
      <c r="I89" s="3"/>
      <c r="J89" s="22">
        <f t="shared" si="73"/>
        <v>0</v>
      </c>
      <c r="K89" s="3"/>
      <c r="L89" s="3">
        <f t="shared" si="74"/>
        <v>-30536.01</v>
      </c>
      <c r="M89" s="3"/>
      <c r="N89" s="22">
        <f t="shared" si="75"/>
        <v>-0.64203453562684965</v>
      </c>
      <c r="O89" s="11"/>
      <c r="P89" s="3">
        <f>--17025.31</f>
        <v>17025.310000000001</v>
      </c>
      <c r="Q89" s="3"/>
      <c r="R89" s="22">
        <f t="shared" si="76"/>
        <v>0</v>
      </c>
      <c r="S89" s="3"/>
      <c r="T89" s="3">
        <f>--47561.32</f>
        <v>47561.32</v>
      </c>
      <c r="U89" s="3"/>
      <c r="V89" s="22">
        <f t="shared" si="77"/>
        <v>0</v>
      </c>
      <c r="W89" s="3"/>
      <c r="X89" s="3">
        <f t="shared" si="78"/>
        <v>-30536.01</v>
      </c>
      <c r="Y89" s="3"/>
      <c r="Z89" s="22">
        <f t="shared" si="79"/>
        <v>-0.64203453562684965</v>
      </c>
    </row>
    <row r="90" spans="1:26" s="24" customFormat="1" hidden="1" outlineLevel="1" x14ac:dyDescent="0.25">
      <c r="A90" s="50"/>
      <c r="B90" s="11" t="str">
        <f>CONCATENATE("          ", "9151", " - ", "MISC. INCOME")</f>
        <v xml:space="preserve">          9151 - MISC. INCOME</v>
      </c>
      <c r="C90" s="11"/>
      <c r="D90" s="3">
        <f>0</f>
        <v>0</v>
      </c>
      <c r="E90" s="3"/>
      <c r="F90" s="22">
        <f t="shared" si="72"/>
        <v>0</v>
      </c>
      <c r="G90" s="3"/>
      <c r="H90" s="3">
        <f>-94.49</f>
        <v>-94.49</v>
      </c>
      <c r="I90" s="3"/>
      <c r="J90" s="22">
        <f t="shared" si="73"/>
        <v>0</v>
      </c>
      <c r="K90" s="3"/>
      <c r="L90" s="3">
        <f t="shared" si="74"/>
        <v>94.49</v>
      </c>
      <c r="M90" s="3"/>
      <c r="N90" s="22">
        <f t="shared" si="75"/>
        <v>-1</v>
      </c>
      <c r="O90" s="11"/>
      <c r="P90" s="3">
        <f>0</f>
        <v>0</v>
      </c>
      <c r="Q90" s="3"/>
      <c r="R90" s="22">
        <f t="shared" si="76"/>
        <v>0</v>
      </c>
      <c r="S90" s="3"/>
      <c r="T90" s="3">
        <f>-94.49</f>
        <v>-94.49</v>
      </c>
      <c r="U90" s="3"/>
      <c r="V90" s="22">
        <f t="shared" si="77"/>
        <v>0</v>
      </c>
      <c r="W90" s="3"/>
      <c r="X90" s="3">
        <f t="shared" si="78"/>
        <v>94.49</v>
      </c>
      <c r="Y90" s="3"/>
      <c r="Z90" s="22">
        <f t="shared" si="79"/>
        <v>-1</v>
      </c>
    </row>
    <row r="91" spans="1:26" x14ac:dyDescent="0.25">
      <c r="A91" s="9"/>
      <c r="B91" s="10"/>
      <c r="C91" s="10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10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25">
      <c r="A92" s="10"/>
      <c r="B92" s="26" t="s">
        <v>3</v>
      </c>
      <c r="C92" s="26"/>
      <c r="D92" s="19">
        <f>+D16-D18+D88</f>
        <v>-148391.38999999998</v>
      </c>
      <c r="E92" s="13"/>
      <c r="F92" s="20">
        <f>IF(D$12=0,0,D92/D$12)</f>
        <v>0</v>
      </c>
      <c r="G92" s="13"/>
      <c r="H92" s="19">
        <f>+H16-H18+H88</f>
        <v>-76976.229999999967</v>
      </c>
      <c r="I92" s="13"/>
      <c r="J92" s="20">
        <f>IF(H$12=0,0,H92/H$12)</f>
        <v>0</v>
      </c>
      <c r="K92" s="16"/>
      <c r="L92" s="19">
        <f>+D92-H92</f>
        <v>-71415.160000000018</v>
      </c>
      <c r="M92" s="16"/>
      <c r="N92" s="20">
        <f>IF(H92=0,0,L92/H92)</f>
        <v>0.92775600987473728</v>
      </c>
      <c r="O92" s="25"/>
      <c r="P92" s="19">
        <f>+P16-P18+P88</f>
        <v>-148391.38999999998</v>
      </c>
      <c r="Q92" s="13"/>
      <c r="R92" s="20">
        <f>IF(P$12=0,0,P92/P$12)</f>
        <v>0</v>
      </c>
      <c r="S92" s="13"/>
      <c r="T92" s="19">
        <f>+T16-T18+T88</f>
        <v>-76976.229999999967</v>
      </c>
      <c r="U92" s="13"/>
      <c r="V92" s="20">
        <f>IF(T$12=0,0,T92/T$12)</f>
        <v>0</v>
      </c>
      <c r="W92" s="16"/>
      <c r="X92" s="19">
        <f>+P92-T92</f>
        <v>-71415.160000000018</v>
      </c>
      <c r="Y92" s="16"/>
      <c r="Z92" s="20">
        <f>IF(T92=0,0,X92/T92)</f>
        <v>0.92775600987473728</v>
      </c>
    </row>
    <row r="93" spans="1:26" x14ac:dyDescent="0.25">
      <c r="A93" s="9"/>
      <c r="B93" s="10"/>
      <c r="C93" s="9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O95" s="10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23" customFormat="1" ht="15.75" thickBot="1" x14ac:dyDescent="0.3">
      <c r="A96" s="10"/>
      <c r="B96" s="26" t="s">
        <v>4</v>
      </c>
      <c r="C96" s="26"/>
      <c r="D96" s="35">
        <f>+D92-D94</f>
        <v>-148391.38999999998</v>
      </c>
      <c r="E96" s="13"/>
      <c r="F96" s="30">
        <f>IF(D$12=0,0,D96/D$12)</f>
        <v>0</v>
      </c>
      <c r="G96" s="13"/>
      <c r="H96" s="35">
        <f>+H92-H94</f>
        <v>-76976.229999999967</v>
      </c>
      <c r="I96" s="13"/>
      <c r="J96" s="30">
        <f>IF(H$12=0,0,H96/H$12)</f>
        <v>0</v>
      </c>
      <c r="K96" s="16"/>
      <c r="L96" s="35">
        <f>D96-H96</f>
        <v>-71415.160000000018</v>
      </c>
      <c r="M96" s="16"/>
      <c r="N96" s="30">
        <f>IF(H96=0,0,L96/H96)</f>
        <v>0.92775600987473728</v>
      </c>
      <c r="O96" s="25"/>
      <c r="P96" s="35">
        <f>+P92-P94</f>
        <v>-148391.38999999998</v>
      </c>
      <c r="Q96" s="13"/>
      <c r="R96" s="30">
        <f>IF(P$12=0,0,P96/P$12)</f>
        <v>0</v>
      </c>
      <c r="S96" s="13"/>
      <c r="T96" s="35">
        <f>+T92-T94</f>
        <v>-76976.229999999967</v>
      </c>
      <c r="U96" s="13"/>
      <c r="V96" s="30">
        <f>IF(T$12=0,0,T96/T$12)</f>
        <v>0</v>
      </c>
      <c r="W96" s="16"/>
      <c r="X96" s="35">
        <f>P96-T96</f>
        <v>-71415.160000000018</v>
      </c>
      <c r="Y96" s="16"/>
      <c r="Z96" s="30">
        <f>IF(T96=0,0,X96/T96)</f>
        <v>0.92775600987473728</v>
      </c>
    </row>
    <row r="97" spans="1:26" ht="15.75" thickTop="1" x14ac:dyDescent="0.25">
      <c r="A97" s="9"/>
      <c r="B97" s="9"/>
      <c r="C97" s="9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x14ac:dyDescent="0.25">
      <c r="A98" s="9"/>
      <c r="B98" s="9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ht="15.75" thickBot="1" x14ac:dyDescent="0.3">
      <c r="A99" s="10"/>
      <c r="B99" s="26" t="s">
        <v>5</v>
      </c>
      <c r="C99" s="26"/>
      <c r="D99" s="31">
        <f>SUM(D96:D98)</f>
        <v>-148391.38999999998</v>
      </c>
      <c r="E99" s="13"/>
      <c r="F99" s="32">
        <f>IF(D$12=0,0,D99/D$12)</f>
        <v>0</v>
      </c>
      <c r="G99" s="13"/>
      <c r="H99" s="31">
        <f>SUM(H96:H98)</f>
        <v>-76976.229999999967</v>
      </c>
      <c r="I99" s="13"/>
      <c r="J99" s="32">
        <f>IF(H$12=0,0,H99/H$12)</f>
        <v>0</v>
      </c>
      <c r="K99" s="16"/>
      <c r="L99" s="31">
        <f>+D99-H99</f>
        <v>-71415.160000000018</v>
      </c>
      <c r="M99" s="16"/>
      <c r="N99" s="32">
        <f>IF(H99=0,0,L99/H99)</f>
        <v>0.92775600987473728</v>
      </c>
      <c r="O99" s="25"/>
      <c r="P99" s="31">
        <f>SUM(P96:P98)</f>
        <v>-148391.38999999998</v>
      </c>
      <c r="Q99" s="13"/>
      <c r="R99" s="32">
        <f>IF(P$12=0,0,P99/P$12)</f>
        <v>0</v>
      </c>
      <c r="S99" s="13"/>
      <c r="T99" s="31">
        <f>SUM(T96:T98)</f>
        <v>-76976.229999999967</v>
      </c>
      <c r="U99" s="13"/>
      <c r="V99" s="32">
        <f>IF(T$12=0,0,T99/T$12)</f>
        <v>0</v>
      </c>
      <c r="W99" s="16"/>
      <c r="X99" s="31">
        <f>+P99-T99</f>
        <v>-71415.160000000018</v>
      </c>
      <c r="Y99" s="16"/>
      <c r="Z99" s="32">
        <f>IF(T99=0,0,X99/T99)</f>
        <v>0.92775600987473728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9">
        <v>44109.414075844907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2" t="s">
        <v>313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","306", " - ", "Warehouse")</f>
        <v>Department 306 - Warehouse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0.23</v>
      </c>
      <c r="E18" s="21"/>
      <c r="F18" s="34">
        <f t="shared" ref="F18:F28" si="0">IF(D$12=0,0,D18/D$12)</f>
        <v>0</v>
      </c>
      <c r="G18" s="21"/>
      <c r="H18" s="21">
        <f>SUM(OSRRefH22x_0)</f>
        <v>45953.89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-45953.659999999996</v>
      </c>
      <c r="M18" s="4"/>
      <c r="N18" s="34">
        <f t="shared" ref="N18:N28" si="3">IF(H18=0,0,L18/H18)</f>
        <v>-0.99999499498301447</v>
      </c>
      <c r="O18" s="10"/>
      <c r="P18" s="21">
        <f>SUM(OSRRefP22x_0)</f>
        <v>0.23</v>
      </c>
      <c r="Q18" s="21"/>
      <c r="R18" s="34">
        <f t="shared" ref="R18:R28" si="4">IF(P$12=0,0,P18/P$12)</f>
        <v>0</v>
      </c>
      <c r="S18" s="21"/>
      <c r="T18" s="21">
        <f>SUM(OSRRefT22x_0)</f>
        <v>45953.89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-45953.659999999996</v>
      </c>
      <c r="Y18" s="4"/>
      <c r="Z18" s="34">
        <f t="shared" ref="Z18:Z28" si="7">IF(T18=0,0,X18/T18)</f>
        <v>-0.99999499498301447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7662.29</v>
      </c>
      <c r="I19" s="1"/>
      <c r="J19" s="5">
        <f t="shared" si="1"/>
        <v>0</v>
      </c>
      <c r="K19" s="1"/>
      <c r="L19" s="1">
        <f t="shared" si="2"/>
        <v>-7662.29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7662.29</v>
      </c>
      <c r="U19" s="1"/>
      <c r="V19" s="5">
        <f t="shared" si="5"/>
        <v>0</v>
      </c>
      <c r="W19" s="1"/>
      <c r="X19" s="1">
        <f t="shared" si="6"/>
        <v>-7662.29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401.9</v>
      </c>
      <c r="E20" s="3"/>
      <c r="F20" s="7">
        <f t="shared" si="0"/>
        <v>0</v>
      </c>
      <c r="G20" s="3"/>
      <c r="H20" s="8">
        <v>2351.12</v>
      </c>
      <c r="I20" s="3"/>
      <c r="J20" s="7">
        <f t="shared" si="1"/>
        <v>0</v>
      </c>
      <c r="K20" s="3"/>
      <c r="L20" s="8">
        <f t="shared" si="2"/>
        <v>-1949.2199999999998</v>
      </c>
      <c r="M20" s="3"/>
      <c r="N20" s="7">
        <f t="shared" si="3"/>
        <v>-0.82906019258906394</v>
      </c>
      <c r="O20" s="11"/>
      <c r="P20" s="8">
        <v>401.9</v>
      </c>
      <c r="Q20" s="3"/>
      <c r="R20" s="7">
        <f t="shared" si="4"/>
        <v>0</v>
      </c>
      <c r="S20" s="3"/>
      <c r="T20" s="8">
        <v>2351.12</v>
      </c>
      <c r="U20" s="3"/>
      <c r="V20" s="7">
        <f t="shared" si="5"/>
        <v>0</v>
      </c>
      <c r="W20" s="3"/>
      <c r="X20" s="8">
        <f t="shared" si="6"/>
        <v>-1949.2199999999998</v>
      </c>
      <c r="Y20" s="3"/>
      <c r="Z20" s="7">
        <f t="shared" si="7"/>
        <v>-0.82906019258906394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/>
      <c r="E21" s="3"/>
      <c r="F21" s="7">
        <f t="shared" si="0"/>
        <v>0</v>
      </c>
      <c r="G21" s="3"/>
      <c r="H21" s="8">
        <v>602.78</v>
      </c>
      <c r="I21" s="3"/>
      <c r="J21" s="7">
        <f t="shared" si="1"/>
        <v>0</v>
      </c>
      <c r="K21" s="3"/>
      <c r="L21" s="8">
        <f t="shared" si="2"/>
        <v>-602.78</v>
      </c>
      <c r="M21" s="3"/>
      <c r="N21" s="7">
        <f t="shared" si="3"/>
        <v>-1</v>
      </c>
      <c r="O21" s="11"/>
      <c r="P21" s="8"/>
      <c r="Q21" s="3"/>
      <c r="R21" s="7">
        <f t="shared" si="4"/>
        <v>0</v>
      </c>
      <c r="S21" s="3"/>
      <c r="T21" s="8">
        <v>602.78</v>
      </c>
      <c r="U21" s="3"/>
      <c r="V21" s="7">
        <f t="shared" si="5"/>
        <v>0</v>
      </c>
      <c r="W21" s="3"/>
      <c r="X21" s="8">
        <f t="shared" si="6"/>
        <v>-602.78</v>
      </c>
      <c r="Y21" s="3"/>
      <c r="Z21" s="7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/>
      <c r="E22" s="3"/>
      <c r="F22" s="7">
        <f t="shared" si="0"/>
        <v>0</v>
      </c>
      <c r="G22" s="3"/>
      <c r="H22" s="8">
        <v>1949.27</v>
      </c>
      <c r="I22" s="3"/>
      <c r="J22" s="7">
        <f t="shared" si="1"/>
        <v>0</v>
      </c>
      <c r="K22" s="3"/>
      <c r="L22" s="8">
        <f t="shared" si="2"/>
        <v>-1949.27</v>
      </c>
      <c r="M22" s="3"/>
      <c r="N22" s="7">
        <f t="shared" si="3"/>
        <v>-1</v>
      </c>
      <c r="O22" s="11"/>
      <c r="P22" s="8"/>
      <c r="Q22" s="3"/>
      <c r="R22" s="7">
        <f t="shared" si="4"/>
        <v>0</v>
      </c>
      <c r="S22" s="3"/>
      <c r="T22" s="8">
        <v>1949.27</v>
      </c>
      <c r="U22" s="3"/>
      <c r="V22" s="7">
        <f t="shared" si="5"/>
        <v>0</v>
      </c>
      <c r="W22" s="3"/>
      <c r="X22" s="8">
        <f t="shared" si="6"/>
        <v>-1949.27</v>
      </c>
      <c r="Y22" s="3"/>
      <c r="Z22" s="7">
        <f t="shared" si="7"/>
        <v>-1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/>
      <c r="E23" s="3"/>
      <c r="F23" s="7">
        <f t="shared" si="0"/>
        <v>0</v>
      </c>
      <c r="G23" s="3"/>
      <c r="H23" s="8">
        <v>82.49</v>
      </c>
      <c r="I23" s="3"/>
      <c r="J23" s="7">
        <f t="shared" si="1"/>
        <v>0</v>
      </c>
      <c r="K23" s="3"/>
      <c r="L23" s="8">
        <f t="shared" si="2"/>
        <v>-82.49</v>
      </c>
      <c r="M23" s="3"/>
      <c r="N23" s="7">
        <f t="shared" si="3"/>
        <v>-1</v>
      </c>
      <c r="O23" s="11"/>
      <c r="P23" s="8"/>
      <c r="Q23" s="3"/>
      <c r="R23" s="7">
        <f t="shared" si="4"/>
        <v>0</v>
      </c>
      <c r="S23" s="3"/>
      <c r="T23" s="8">
        <v>82.49</v>
      </c>
      <c r="U23" s="3"/>
      <c r="V23" s="7">
        <f t="shared" si="5"/>
        <v>0</v>
      </c>
      <c r="W23" s="3"/>
      <c r="X23" s="8">
        <f t="shared" si="6"/>
        <v>-82.49</v>
      </c>
      <c r="Y23" s="3"/>
      <c r="Z23" s="7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/>
      <c r="E24" s="3"/>
      <c r="F24" s="7">
        <f t="shared" si="0"/>
        <v>0</v>
      </c>
      <c r="G24" s="3"/>
      <c r="H24" s="8">
        <v>691.3</v>
      </c>
      <c r="I24" s="3"/>
      <c r="J24" s="7">
        <f t="shared" si="1"/>
        <v>0</v>
      </c>
      <c r="K24" s="3"/>
      <c r="L24" s="8">
        <f t="shared" si="2"/>
        <v>-691.3</v>
      </c>
      <c r="M24" s="3"/>
      <c r="N24" s="7">
        <f t="shared" si="3"/>
        <v>-1</v>
      </c>
      <c r="O24" s="11"/>
      <c r="P24" s="8"/>
      <c r="Q24" s="3"/>
      <c r="R24" s="7">
        <f t="shared" si="4"/>
        <v>0</v>
      </c>
      <c r="S24" s="3"/>
      <c r="T24" s="8">
        <v>691.3</v>
      </c>
      <c r="U24" s="3"/>
      <c r="V24" s="7">
        <f t="shared" si="5"/>
        <v>0</v>
      </c>
      <c r="W24" s="3"/>
      <c r="X24" s="8">
        <f t="shared" si="6"/>
        <v>-691.3</v>
      </c>
      <c r="Y24" s="3"/>
      <c r="Z24" s="7">
        <f t="shared" si="7"/>
        <v>-1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8">
        <v>-401.9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-401.9</v>
      </c>
      <c r="M25" s="3"/>
      <c r="N25" s="7">
        <f t="shared" si="3"/>
        <v>0</v>
      </c>
      <c r="O25" s="11"/>
      <c r="P25" s="8">
        <v>-401.9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-401.9</v>
      </c>
      <c r="Y25" s="3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/>
      <c r="E26" s="3"/>
      <c r="F26" s="7">
        <f t="shared" si="0"/>
        <v>0</v>
      </c>
      <c r="G26" s="3"/>
      <c r="H26" s="8">
        <v>483.05</v>
      </c>
      <c r="I26" s="3"/>
      <c r="J26" s="7">
        <f t="shared" si="1"/>
        <v>0</v>
      </c>
      <c r="K26" s="3"/>
      <c r="L26" s="8">
        <f t="shared" si="2"/>
        <v>-483.05</v>
      </c>
      <c r="M26" s="3"/>
      <c r="N26" s="7">
        <f t="shared" si="3"/>
        <v>-1</v>
      </c>
      <c r="O26" s="11"/>
      <c r="P26" s="8"/>
      <c r="Q26" s="3"/>
      <c r="R26" s="7">
        <f t="shared" si="4"/>
        <v>0</v>
      </c>
      <c r="S26" s="3"/>
      <c r="T26" s="8">
        <v>483.05</v>
      </c>
      <c r="U26" s="3"/>
      <c r="V26" s="7">
        <f t="shared" si="5"/>
        <v>0</v>
      </c>
      <c r="W26" s="3"/>
      <c r="X26" s="8">
        <f t="shared" si="6"/>
        <v>-483.05</v>
      </c>
      <c r="Y26" s="3"/>
      <c r="Z26" s="7">
        <f t="shared" si="7"/>
        <v>-1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/>
      <c r="E27" s="3"/>
      <c r="F27" s="7">
        <f t="shared" si="0"/>
        <v>0</v>
      </c>
      <c r="G27" s="3"/>
      <c r="H27" s="8">
        <v>1253.07</v>
      </c>
      <c r="I27" s="3"/>
      <c r="J27" s="7">
        <f t="shared" si="1"/>
        <v>0</v>
      </c>
      <c r="K27" s="3"/>
      <c r="L27" s="8">
        <f t="shared" si="2"/>
        <v>-1253.07</v>
      </c>
      <c r="M27" s="3"/>
      <c r="N27" s="7">
        <f t="shared" si="3"/>
        <v>-1</v>
      </c>
      <c r="O27" s="11"/>
      <c r="P27" s="8"/>
      <c r="Q27" s="3"/>
      <c r="R27" s="7">
        <f t="shared" si="4"/>
        <v>0</v>
      </c>
      <c r="S27" s="3"/>
      <c r="T27" s="8">
        <v>1253.07</v>
      </c>
      <c r="U27" s="3"/>
      <c r="V27" s="7">
        <f t="shared" si="5"/>
        <v>0</v>
      </c>
      <c r="W27" s="3"/>
      <c r="X27" s="8">
        <f t="shared" si="6"/>
        <v>-1253.07</v>
      </c>
      <c r="Y27" s="3"/>
      <c r="Z27" s="7">
        <f t="shared" si="7"/>
        <v>-1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8"/>
      <c r="E28" s="3"/>
      <c r="F28" s="7">
        <f t="shared" si="0"/>
        <v>0</v>
      </c>
      <c r="G28" s="3"/>
      <c r="H28" s="8">
        <v>249.21</v>
      </c>
      <c r="I28" s="3"/>
      <c r="J28" s="7">
        <f t="shared" si="1"/>
        <v>0</v>
      </c>
      <c r="K28" s="3"/>
      <c r="L28" s="8">
        <f t="shared" si="2"/>
        <v>-249.21</v>
      </c>
      <c r="M28" s="3"/>
      <c r="N28" s="7">
        <f t="shared" si="3"/>
        <v>-1</v>
      </c>
      <c r="O28" s="11"/>
      <c r="P28" s="8"/>
      <c r="Q28" s="3"/>
      <c r="R28" s="7">
        <f t="shared" si="4"/>
        <v>0</v>
      </c>
      <c r="S28" s="3"/>
      <c r="T28" s="8">
        <v>249.21</v>
      </c>
      <c r="U28" s="3"/>
      <c r="V28" s="7">
        <f t="shared" si="5"/>
        <v>0</v>
      </c>
      <c r="W28" s="3"/>
      <c r="X28" s="8">
        <f t="shared" si="6"/>
        <v>-249.21</v>
      </c>
      <c r="Y28" s="3"/>
      <c r="Z28" s="7">
        <f t="shared" si="7"/>
        <v>-1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0.23</v>
      </c>
      <c r="E29" s="1"/>
      <c r="F29" s="5">
        <f t="shared" ref="F29:F35" si="8">IF(D$12=0,0,D29/D$12)</f>
        <v>0</v>
      </c>
      <c r="G29" s="1"/>
      <c r="H29" s="1">
        <f>SUM(OSRRefH22_1x_0)</f>
        <v>37995.43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-37995.199999999997</v>
      </c>
      <c r="M29" s="1"/>
      <c r="N29" s="5">
        <f t="shared" ref="N29:N35" si="11">IF(H29=0,0,L29/H29)</f>
        <v>-0.99999394664042485</v>
      </c>
      <c r="O29" s="14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37995.43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-37995.199999999997</v>
      </c>
      <c r="Y29" s="1"/>
      <c r="Z29" s="5">
        <f t="shared" ref="Z29:Z35" si="15">IF(T29=0,0,X29/T29)</f>
        <v>-0.99999394664042485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8"/>
      <c r="E30" s="3"/>
      <c r="F30" s="7">
        <f t="shared" si="8"/>
        <v>0</v>
      </c>
      <c r="G30" s="3"/>
      <c r="H30" s="8">
        <v>9379.84</v>
      </c>
      <c r="I30" s="3"/>
      <c r="J30" s="7">
        <f t="shared" si="9"/>
        <v>0</v>
      </c>
      <c r="K30" s="3"/>
      <c r="L30" s="8">
        <f t="shared" si="10"/>
        <v>-9379.84</v>
      </c>
      <c r="M30" s="3"/>
      <c r="N30" s="7">
        <f t="shared" si="11"/>
        <v>-1</v>
      </c>
      <c r="O30" s="11"/>
      <c r="P30" s="8"/>
      <c r="Q30" s="3"/>
      <c r="R30" s="7">
        <f t="shared" si="12"/>
        <v>0</v>
      </c>
      <c r="S30" s="3"/>
      <c r="T30" s="8">
        <v>9379.84</v>
      </c>
      <c r="U30" s="3"/>
      <c r="V30" s="7">
        <f t="shared" si="13"/>
        <v>0</v>
      </c>
      <c r="W30" s="3"/>
      <c r="X30" s="8">
        <f t="shared" si="14"/>
        <v>-9379.84</v>
      </c>
      <c r="Y30" s="3"/>
      <c r="Z30" s="7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8">
        <v>0.23</v>
      </c>
      <c r="E31" s="3"/>
      <c r="F31" s="7">
        <f t="shared" si="8"/>
        <v>0</v>
      </c>
      <c r="G31" s="3"/>
      <c r="H31" s="8"/>
      <c r="I31" s="3"/>
      <c r="J31" s="7">
        <f t="shared" si="9"/>
        <v>0</v>
      </c>
      <c r="K31" s="3"/>
      <c r="L31" s="8">
        <f t="shared" si="10"/>
        <v>0.23</v>
      </c>
      <c r="M31" s="3"/>
      <c r="N31" s="7">
        <f t="shared" si="11"/>
        <v>0</v>
      </c>
      <c r="O31" s="11"/>
      <c r="P31" s="8">
        <v>0.23</v>
      </c>
      <c r="Q31" s="3"/>
      <c r="R31" s="7">
        <f t="shared" si="12"/>
        <v>0</v>
      </c>
      <c r="S31" s="3"/>
      <c r="T31" s="8"/>
      <c r="U31" s="3"/>
      <c r="V31" s="7">
        <f t="shared" si="13"/>
        <v>0</v>
      </c>
      <c r="W31" s="3"/>
      <c r="X31" s="8">
        <f t="shared" si="14"/>
        <v>0.23</v>
      </c>
      <c r="Y31" s="3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8"/>
      <c r="E32" s="3"/>
      <c r="F32" s="7">
        <f t="shared" si="8"/>
        <v>0</v>
      </c>
      <c r="G32" s="3"/>
      <c r="H32" s="8">
        <v>2404.2800000000002</v>
      </c>
      <c r="I32" s="3"/>
      <c r="J32" s="7">
        <f t="shared" si="9"/>
        <v>0</v>
      </c>
      <c r="K32" s="3"/>
      <c r="L32" s="8">
        <f t="shared" si="10"/>
        <v>-2404.2800000000002</v>
      </c>
      <c r="M32" s="3"/>
      <c r="N32" s="7">
        <f t="shared" si="11"/>
        <v>-1</v>
      </c>
      <c r="O32" s="11"/>
      <c r="P32" s="8"/>
      <c r="Q32" s="3"/>
      <c r="R32" s="7">
        <f t="shared" si="12"/>
        <v>0</v>
      </c>
      <c r="S32" s="3"/>
      <c r="T32" s="8">
        <v>2404.2800000000002</v>
      </c>
      <c r="U32" s="3"/>
      <c r="V32" s="7">
        <f t="shared" si="13"/>
        <v>0</v>
      </c>
      <c r="W32" s="3"/>
      <c r="X32" s="8">
        <f t="shared" si="14"/>
        <v>-2404.2800000000002</v>
      </c>
      <c r="Y32" s="3"/>
      <c r="Z32" s="7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8"/>
      <c r="E33" s="3"/>
      <c r="F33" s="7">
        <f t="shared" si="8"/>
        <v>0</v>
      </c>
      <c r="G33" s="3"/>
      <c r="H33" s="8">
        <v>1785</v>
      </c>
      <c r="I33" s="3"/>
      <c r="J33" s="7">
        <f t="shared" si="9"/>
        <v>0</v>
      </c>
      <c r="K33" s="3"/>
      <c r="L33" s="8">
        <f t="shared" si="10"/>
        <v>-1785</v>
      </c>
      <c r="M33" s="3"/>
      <c r="N33" s="7">
        <f t="shared" si="11"/>
        <v>-1</v>
      </c>
      <c r="O33" s="11"/>
      <c r="P33" s="8"/>
      <c r="Q33" s="3"/>
      <c r="R33" s="7">
        <f t="shared" si="12"/>
        <v>0</v>
      </c>
      <c r="S33" s="3"/>
      <c r="T33" s="8">
        <v>1785</v>
      </c>
      <c r="U33" s="3"/>
      <c r="V33" s="7">
        <f t="shared" si="13"/>
        <v>0</v>
      </c>
      <c r="W33" s="3"/>
      <c r="X33" s="8">
        <f t="shared" si="14"/>
        <v>-1785</v>
      </c>
      <c r="Y33" s="3"/>
      <c r="Z33" s="7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8"/>
      <c r="E34" s="3"/>
      <c r="F34" s="7">
        <f t="shared" si="8"/>
        <v>0</v>
      </c>
      <c r="G34" s="3"/>
      <c r="H34" s="8">
        <v>24111.31</v>
      </c>
      <c r="I34" s="3"/>
      <c r="J34" s="7">
        <f t="shared" si="9"/>
        <v>0</v>
      </c>
      <c r="K34" s="3"/>
      <c r="L34" s="8">
        <f t="shared" si="10"/>
        <v>-24111.31</v>
      </c>
      <c r="M34" s="3"/>
      <c r="N34" s="7">
        <f t="shared" si="11"/>
        <v>-1</v>
      </c>
      <c r="O34" s="11"/>
      <c r="P34" s="8"/>
      <c r="Q34" s="3"/>
      <c r="R34" s="7">
        <f t="shared" si="12"/>
        <v>0</v>
      </c>
      <c r="S34" s="3"/>
      <c r="T34" s="8">
        <v>24111.31</v>
      </c>
      <c r="U34" s="3"/>
      <c r="V34" s="7">
        <f t="shared" si="13"/>
        <v>0</v>
      </c>
      <c r="W34" s="3"/>
      <c r="X34" s="8">
        <f t="shared" si="14"/>
        <v>-24111.31</v>
      </c>
      <c r="Y34" s="3"/>
      <c r="Z34" s="7">
        <f t="shared" si="15"/>
        <v>-1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8"/>
      <c r="E35" s="3"/>
      <c r="F35" s="7">
        <f t="shared" si="8"/>
        <v>0</v>
      </c>
      <c r="G35" s="3"/>
      <c r="H35" s="8">
        <v>315</v>
      </c>
      <c r="I35" s="3"/>
      <c r="J35" s="7">
        <f t="shared" si="9"/>
        <v>0</v>
      </c>
      <c r="K35" s="3"/>
      <c r="L35" s="8">
        <f t="shared" si="10"/>
        <v>-315</v>
      </c>
      <c r="M35" s="3"/>
      <c r="N35" s="7">
        <f t="shared" si="11"/>
        <v>-1</v>
      </c>
      <c r="O35" s="11"/>
      <c r="P35" s="8"/>
      <c r="Q35" s="3"/>
      <c r="R35" s="7">
        <f t="shared" si="12"/>
        <v>0</v>
      </c>
      <c r="S35" s="3"/>
      <c r="T35" s="8">
        <v>315</v>
      </c>
      <c r="U35" s="3"/>
      <c r="V35" s="7">
        <f t="shared" si="13"/>
        <v>0</v>
      </c>
      <c r="W35" s="3"/>
      <c r="X35" s="8">
        <f t="shared" si="14"/>
        <v>-315</v>
      </c>
      <c r="Y35" s="3"/>
      <c r="Z35" s="7">
        <f t="shared" si="15"/>
        <v>-1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1" si="16">IF(D$12=0,0,D36/D$12)</f>
        <v>0</v>
      </c>
      <c r="G36" s="1"/>
      <c r="H36" s="1">
        <f>SUM(OSRRefH22_2x_0)</f>
        <v>138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-138</v>
      </c>
      <c r="M36" s="1"/>
      <c r="N36" s="5">
        <f t="shared" ref="N36:N41" si="19">IF(H36=0,0,L36/H36)</f>
        <v>-1</v>
      </c>
      <c r="O36" s="14"/>
      <c r="P36" s="1">
        <f>SUM(OSRRefP22_2x_0)</f>
        <v>0</v>
      </c>
      <c r="Q36" s="1"/>
      <c r="R36" s="5">
        <f t="shared" ref="R36:R41" si="20">IF(P$12=0,0,P36/P$12)</f>
        <v>0</v>
      </c>
      <c r="S36" s="1"/>
      <c r="T36" s="1">
        <f>SUM(OSRRefT22_2x_0)</f>
        <v>138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-138</v>
      </c>
      <c r="Y36" s="1"/>
      <c r="Z36" s="5">
        <f t="shared" ref="Z36:Z41" si="23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8"/>
      <c r="E37" s="3"/>
      <c r="F37" s="7">
        <f t="shared" si="16"/>
        <v>0</v>
      </c>
      <c r="G37" s="3"/>
      <c r="H37" s="8">
        <v>138</v>
      </c>
      <c r="I37" s="3"/>
      <c r="J37" s="7">
        <f t="shared" si="17"/>
        <v>0</v>
      </c>
      <c r="K37" s="3"/>
      <c r="L37" s="8">
        <f t="shared" si="18"/>
        <v>-138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138</v>
      </c>
      <c r="U37" s="3"/>
      <c r="V37" s="7">
        <f t="shared" si="21"/>
        <v>0</v>
      </c>
      <c r="W37" s="3"/>
      <c r="X37" s="8">
        <f t="shared" si="22"/>
        <v>-138</v>
      </c>
      <c r="Y37" s="3"/>
      <c r="Z37" s="7">
        <f t="shared" si="23"/>
        <v>-1</v>
      </c>
    </row>
    <row r="38" spans="1:26" s="27" customFormat="1" outlineLevel="1" collapsed="1" x14ac:dyDescent="0.25">
      <c r="A38" s="28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74.97</v>
      </c>
      <c r="I38" s="1"/>
      <c r="J38" s="5">
        <f t="shared" si="17"/>
        <v>0</v>
      </c>
      <c r="K38" s="1"/>
      <c r="L38" s="1">
        <f t="shared" si="18"/>
        <v>-74.97</v>
      </c>
      <c r="M38" s="1"/>
      <c r="N38" s="5">
        <f t="shared" si="19"/>
        <v>-1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74.97</v>
      </c>
      <c r="U38" s="1"/>
      <c r="V38" s="5">
        <f t="shared" si="21"/>
        <v>0</v>
      </c>
      <c r="W38" s="1"/>
      <c r="X38" s="1">
        <f t="shared" si="22"/>
        <v>-74.97</v>
      </c>
      <c r="Y38" s="1"/>
      <c r="Z38" s="5">
        <f t="shared" si="23"/>
        <v>-1</v>
      </c>
    </row>
    <row r="39" spans="1:26" s="24" customFormat="1" hidden="1" outlineLevel="2" x14ac:dyDescent="0.25">
      <c r="A39" s="29"/>
      <c r="B39" s="11" t="str">
        <f>CONCATENATE("          ", "6241", " - ", "OFFICE EXPENSE")</f>
        <v xml:space="preserve">          6241 - OFFICE EXPENSE</v>
      </c>
      <c r="C39" s="11"/>
      <c r="D39" s="8"/>
      <c r="E39" s="3"/>
      <c r="F39" s="7">
        <f t="shared" si="16"/>
        <v>0</v>
      </c>
      <c r="G39" s="3"/>
      <c r="H39" s="8">
        <v>74.97</v>
      </c>
      <c r="I39" s="3"/>
      <c r="J39" s="7">
        <f t="shared" si="17"/>
        <v>0</v>
      </c>
      <c r="K39" s="3"/>
      <c r="L39" s="8">
        <f t="shared" si="18"/>
        <v>-74.97</v>
      </c>
      <c r="M39" s="3"/>
      <c r="N39" s="7">
        <f t="shared" si="19"/>
        <v>-1</v>
      </c>
      <c r="O39" s="11"/>
      <c r="P39" s="8"/>
      <c r="Q39" s="3"/>
      <c r="R39" s="7">
        <f t="shared" si="20"/>
        <v>0</v>
      </c>
      <c r="S39" s="3"/>
      <c r="T39" s="8">
        <v>74.97</v>
      </c>
      <c r="U39" s="3"/>
      <c r="V39" s="7">
        <f t="shared" si="21"/>
        <v>0</v>
      </c>
      <c r="W39" s="3"/>
      <c r="X39" s="8">
        <f t="shared" si="22"/>
        <v>-74.97</v>
      </c>
      <c r="Y39" s="3"/>
      <c r="Z39" s="7">
        <f t="shared" si="23"/>
        <v>-1</v>
      </c>
    </row>
    <row r="40" spans="1:26" s="27" customFormat="1" outlineLevel="1" collapsed="1" x14ac:dyDescent="0.25">
      <c r="A40" s="28"/>
      <c r="B40" s="14" t="str">
        <f>CONCATENATE("     ","Telephone/Data Lines                              ")</f>
        <v xml:space="preserve">     Telephone/Data Lines                              </v>
      </c>
      <c r="C40" s="14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83.2</v>
      </c>
      <c r="I40" s="1"/>
      <c r="J40" s="5">
        <f t="shared" si="17"/>
        <v>0</v>
      </c>
      <c r="K40" s="1"/>
      <c r="L40" s="1">
        <f t="shared" si="18"/>
        <v>-83.2</v>
      </c>
      <c r="M40" s="1"/>
      <c r="N40" s="5">
        <f t="shared" si="19"/>
        <v>-1</v>
      </c>
      <c r="O40" s="14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83.2</v>
      </c>
      <c r="U40" s="1"/>
      <c r="V40" s="5">
        <f t="shared" si="21"/>
        <v>0</v>
      </c>
      <c r="W40" s="1"/>
      <c r="X40" s="1">
        <f t="shared" si="22"/>
        <v>-83.2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"6309", " - ", "TELEPHONE")</f>
        <v xml:space="preserve">          6309 - TELEPHONE</v>
      </c>
      <c r="C41" s="11"/>
      <c r="D41" s="8"/>
      <c r="E41" s="3"/>
      <c r="F41" s="7">
        <f t="shared" si="16"/>
        <v>0</v>
      </c>
      <c r="G41" s="3"/>
      <c r="H41" s="8">
        <v>83.2</v>
      </c>
      <c r="I41" s="3"/>
      <c r="J41" s="7">
        <f t="shared" si="17"/>
        <v>0</v>
      </c>
      <c r="K41" s="3"/>
      <c r="L41" s="8">
        <f t="shared" si="18"/>
        <v>-83.2</v>
      </c>
      <c r="M41" s="3"/>
      <c r="N41" s="7">
        <f t="shared" si="19"/>
        <v>-1</v>
      </c>
      <c r="O41" s="11"/>
      <c r="P41" s="8"/>
      <c r="Q41" s="3"/>
      <c r="R41" s="7">
        <f t="shared" si="20"/>
        <v>0</v>
      </c>
      <c r="S41" s="3"/>
      <c r="T41" s="8">
        <v>83.2</v>
      </c>
      <c r="U41" s="3"/>
      <c r="V41" s="7">
        <f t="shared" si="21"/>
        <v>0</v>
      </c>
      <c r="W41" s="3"/>
      <c r="X41" s="8">
        <f t="shared" si="22"/>
        <v>-83.2</v>
      </c>
      <c r="Y41" s="3"/>
      <c r="Z41" s="7">
        <f t="shared" si="23"/>
        <v>-1</v>
      </c>
    </row>
    <row r="42" spans="1:26" s="61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5" t="s">
        <v>0</v>
      </c>
      <c r="C43" s="10"/>
      <c r="D43" s="4">
        <f>SUM(0)</f>
        <v>0</v>
      </c>
      <c r="E43" s="4"/>
      <c r="F43" s="12">
        <f>IF(D$12=0,0,D43/D$12)</f>
        <v>0</v>
      </c>
      <c r="G43" s="4"/>
      <c r="H43" s="4">
        <f>SUM(0)</f>
        <v>0</v>
      </c>
      <c r="I43" s="4"/>
      <c r="J43" s="12">
        <f>IF(H$12=0,0,H43/H$12)</f>
        <v>0</v>
      </c>
      <c r="K43" s="4"/>
      <c r="L43" s="4">
        <f>+D43-H43</f>
        <v>0</v>
      </c>
      <c r="M43" s="4"/>
      <c r="N43" s="12">
        <f>IF(H43=0,0,L43/H43)</f>
        <v>0</v>
      </c>
      <c r="O43" s="10"/>
      <c r="P43" s="4">
        <f>SUM(0)</f>
        <v>0</v>
      </c>
      <c r="Q43" s="4"/>
      <c r="R43" s="12">
        <f>IF(P$12=0,0,P43/P$12)</f>
        <v>0</v>
      </c>
      <c r="S43" s="4"/>
      <c r="T43" s="4">
        <f>SUM(0)</f>
        <v>0</v>
      </c>
      <c r="U43" s="4"/>
      <c r="V43" s="12">
        <f>IF(T$12=0,0,T43/T$12)</f>
        <v>0</v>
      </c>
      <c r="W43" s="4"/>
      <c r="X43" s="4">
        <f>+P43-T43</f>
        <v>0</v>
      </c>
      <c r="Y43" s="4"/>
      <c r="Z43" s="12">
        <f>IF(T43=0,0,X43/T43)</f>
        <v>0</v>
      </c>
    </row>
    <row r="44" spans="1:26" x14ac:dyDescent="0.25">
      <c r="A44" s="9"/>
      <c r="B44" s="10"/>
      <c r="C44" s="10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10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23" customFormat="1" x14ac:dyDescent="0.25">
      <c r="A45" s="10"/>
      <c r="B45" s="26" t="s">
        <v>3</v>
      </c>
      <c r="C45" s="26"/>
      <c r="D45" s="19">
        <f>+D16-D18+D43</f>
        <v>-0.23</v>
      </c>
      <c r="E45" s="13"/>
      <c r="F45" s="20">
        <f>IF(D$12=0,0,D45/D$12)</f>
        <v>0</v>
      </c>
      <c r="G45" s="13"/>
      <c r="H45" s="19">
        <f>+H16-H18+H43</f>
        <v>-45953.89</v>
      </c>
      <c r="I45" s="13"/>
      <c r="J45" s="20">
        <f>IF(H$12=0,0,H45/H$12)</f>
        <v>0</v>
      </c>
      <c r="K45" s="16"/>
      <c r="L45" s="19">
        <f>+D45-H45</f>
        <v>45953.659999999996</v>
      </c>
      <c r="M45" s="16"/>
      <c r="N45" s="20">
        <f>IF(H45=0,0,L45/H45)</f>
        <v>-0.99999499498301447</v>
      </c>
      <c r="O45" s="25"/>
      <c r="P45" s="19">
        <f>+P16-P18+P43</f>
        <v>-0.23</v>
      </c>
      <c r="Q45" s="13"/>
      <c r="R45" s="20">
        <f>IF(P$12=0,0,P45/P$12)</f>
        <v>0</v>
      </c>
      <c r="S45" s="13"/>
      <c r="T45" s="19">
        <f>+T16-T18+T43</f>
        <v>-45953.89</v>
      </c>
      <c r="U45" s="13"/>
      <c r="V45" s="20">
        <f>IF(T$12=0,0,T45/T$12)</f>
        <v>0</v>
      </c>
      <c r="W45" s="16"/>
      <c r="X45" s="19">
        <f>+P45-T45</f>
        <v>45953.659999999996</v>
      </c>
      <c r="Y45" s="16"/>
      <c r="Z45" s="20">
        <f>IF(T45=0,0,X45/T45)</f>
        <v>-0.99999499498301447</v>
      </c>
    </row>
    <row r="46" spans="1:26" x14ac:dyDescent="0.25">
      <c r="A46" s="9"/>
      <c r="B46" s="10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23" customFormat="1" x14ac:dyDescent="0.25">
      <c r="A47" s="51"/>
      <c r="B47" s="10" t="s">
        <v>13</v>
      </c>
      <c r="C47" s="10"/>
      <c r="D47" s="4"/>
      <c r="E47" s="4"/>
      <c r="F47" s="12">
        <f>IF(D$12=0,0,D47/D$12)</f>
        <v>0</v>
      </c>
      <c r="G47" s="4"/>
      <c r="H47" s="4"/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/>
      <c r="Q47" s="4"/>
      <c r="R47" s="12">
        <f>IF(P$12=0,0,P47/P$12)</f>
        <v>0</v>
      </c>
      <c r="S47" s="4"/>
      <c r="T47" s="4"/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O48" s="10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ht="15.75" thickBot="1" x14ac:dyDescent="0.3">
      <c r="A49" s="10"/>
      <c r="B49" s="26" t="s">
        <v>4</v>
      </c>
      <c r="C49" s="26"/>
      <c r="D49" s="35">
        <f>+D45-D47</f>
        <v>-0.23</v>
      </c>
      <c r="E49" s="13"/>
      <c r="F49" s="30">
        <f>IF(D$12=0,0,D49/D$12)</f>
        <v>0</v>
      </c>
      <c r="G49" s="13"/>
      <c r="H49" s="35">
        <f>+H45-H47</f>
        <v>-45953.89</v>
      </c>
      <c r="I49" s="13"/>
      <c r="J49" s="30">
        <f>IF(H$12=0,0,H49/H$12)</f>
        <v>0</v>
      </c>
      <c r="K49" s="16"/>
      <c r="L49" s="35">
        <f>D49-H49</f>
        <v>45953.659999999996</v>
      </c>
      <c r="M49" s="16"/>
      <c r="N49" s="30">
        <f>IF(H49=0,0,L49/H49)</f>
        <v>-0.99999499498301447</v>
      </c>
      <c r="O49" s="25"/>
      <c r="P49" s="35">
        <f>+P45-P47</f>
        <v>-0.23</v>
      </c>
      <c r="Q49" s="13"/>
      <c r="R49" s="30">
        <f>IF(P$12=0,0,P49/P$12)</f>
        <v>0</v>
      </c>
      <c r="S49" s="13"/>
      <c r="T49" s="35">
        <f>+T45-T47</f>
        <v>-45953.89</v>
      </c>
      <c r="U49" s="13"/>
      <c r="V49" s="30">
        <f>IF(T$12=0,0,T49/T$12)</f>
        <v>0</v>
      </c>
      <c r="W49" s="16"/>
      <c r="X49" s="35">
        <f>P49-T49</f>
        <v>45953.659999999996</v>
      </c>
      <c r="Y49" s="16"/>
      <c r="Z49" s="30">
        <f>IF(T49=0,0,X49/T49)</f>
        <v>-0.99999499498301447</v>
      </c>
    </row>
    <row r="50" spans="1:26" ht="15.75" thickTop="1" x14ac:dyDescent="0.25">
      <c r="A50" s="9"/>
      <c r="B50" s="9"/>
      <c r="C50" s="9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x14ac:dyDescent="0.25">
      <c r="A51" s="9"/>
      <c r="B51" s="9"/>
      <c r="C51" s="9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ht="15.75" thickBot="1" x14ac:dyDescent="0.3">
      <c r="A52" s="10"/>
      <c r="B52" s="26" t="s">
        <v>5</v>
      </c>
      <c r="C52" s="26"/>
      <c r="D52" s="31">
        <f>SUM(D49:D51)</f>
        <v>-0.23</v>
      </c>
      <c r="E52" s="13"/>
      <c r="F52" s="32">
        <f>IF(D$12=0,0,D52/D$12)</f>
        <v>0</v>
      </c>
      <c r="G52" s="13"/>
      <c r="H52" s="31">
        <f>SUM(H49:H51)</f>
        <v>-45953.89</v>
      </c>
      <c r="I52" s="13"/>
      <c r="J52" s="32">
        <f>IF(H$12=0,0,H52/H$12)</f>
        <v>0</v>
      </c>
      <c r="K52" s="16"/>
      <c r="L52" s="31">
        <f>+D52-H52</f>
        <v>45953.659999999996</v>
      </c>
      <c r="M52" s="16"/>
      <c r="N52" s="32">
        <f>IF(H52=0,0,L52/H52)</f>
        <v>-0.99999499498301447</v>
      </c>
      <c r="O52" s="25"/>
      <c r="P52" s="31">
        <f>SUM(P49:P51)</f>
        <v>-0.23</v>
      </c>
      <c r="Q52" s="13"/>
      <c r="R52" s="32">
        <f>IF(P$12=0,0,P52/P$12)</f>
        <v>0</v>
      </c>
      <c r="S52" s="13"/>
      <c r="T52" s="31">
        <f>SUM(T49:T51)</f>
        <v>-45953.89</v>
      </c>
      <c r="U52" s="13"/>
      <c r="V52" s="32">
        <f>IF(T$12=0,0,T52/T$12)</f>
        <v>0</v>
      </c>
      <c r="W52" s="16"/>
      <c r="X52" s="31">
        <f>+P52-T52</f>
        <v>45953.659999999996</v>
      </c>
      <c r="Y52" s="16"/>
      <c r="Z52" s="32">
        <f>IF(T52=0,0,X52/T52)</f>
        <v>-0.99999499498301447</v>
      </c>
    </row>
    <row r="53" spans="1:26" ht="15.75" thickTop="1" x14ac:dyDescent="0.25">
      <c r="A53" s="9"/>
      <c r="C53" s="9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59">
        <v>44109.414143483795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62" t="s">
        <v>313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6"/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18768.780000000006</v>
      </c>
      <c r="I12" s="4"/>
      <c r="J12" s="12"/>
      <c r="K12" s="4"/>
      <c r="L12" s="4">
        <f t="shared" ref="L12:L39" si="0">+D12-H12</f>
        <v>-18768.780000000006</v>
      </c>
      <c r="M12" s="4"/>
      <c r="N12" s="12">
        <f t="shared" ref="N12:N39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18768.780000000006</v>
      </c>
      <c r="U12" s="4"/>
      <c r="V12" s="12"/>
      <c r="W12" s="4"/>
      <c r="X12" s="4">
        <f t="shared" ref="X12:X39" si="2">+P12-T12</f>
        <v>-18768.780000000006</v>
      </c>
      <c r="Y12" s="4"/>
      <c r="Z12" s="12">
        <f t="shared" ref="Z12:Z39" si="3">IF(T12=0,0,X12/T12)</f>
        <v>-1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3">
        <f t="shared" ref="D13:D39" si="4">0</f>
        <v>0</v>
      </c>
      <c r="E13" s="3"/>
      <c r="F13" s="22"/>
      <c r="G13" s="3"/>
      <c r="H13" s="3">
        <f>--4.47</f>
        <v>4.47</v>
      </c>
      <c r="I13" s="3"/>
      <c r="J13" s="22"/>
      <c r="K13" s="3"/>
      <c r="L13" s="3">
        <f t="shared" si="0"/>
        <v>-4.47</v>
      </c>
      <c r="M13" s="3"/>
      <c r="N13" s="22">
        <f t="shared" si="1"/>
        <v>-1</v>
      </c>
      <c r="O13" s="11"/>
      <c r="P13" s="3">
        <f t="shared" ref="P13:P39" si="5">0</f>
        <v>0</v>
      </c>
      <c r="Q13" s="3"/>
      <c r="R13" s="22"/>
      <c r="S13" s="3"/>
      <c r="T13" s="3">
        <f>--4.47</f>
        <v>4.47</v>
      </c>
      <c r="U13" s="3"/>
      <c r="V13" s="22"/>
      <c r="W13" s="3"/>
      <c r="X13" s="3">
        <f t="shared" si="2"/>
        <v>-4.47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"4025", " - ", "TAXABLE SALES-TEST FORMS")</f>
        <v xml:space="preserve">          4025 - TAXABLE SALES-TEST FORMS</v>
      </c>
      <c r="C14" s="11"/>
      <c r="D14" s="3">
        <f t="shared" si="4"/>
        <v>0</v>
      </c>
      <c r="E14" s="3"/>
      <c r="F14" s="22"/>
      <c r="G14" s="3"/>
      <c r="H14" s="3">
        <f>--392.29</f>
        <v>392.29</v>
      </c>
      <c r="I14" s="3"/>
      <c r="J14" s="22"/>
      <c r="K14" s="3"/>
      <c r="L14" s="3">
        <f t="shared" si="0"/>
        <v>-392.29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--392.29</f>
        <v>392.29</v>
      </c>
      <c r="U14" s="3"/>
      <c r="V14" s="22"/>
      <c r="W14" s="3"/>
      <c r="X14" s="3">
        <f t="shared" si="2"/>
        <v>-392.29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"4026", " - ", "TAXABLE SALES-WRITING INSTRUME")</f>
        <v xml:space="preserve">          4026 - TAXABLE SALES-WRITING INSTRUME</v>
      </c>
      <c r="C15" s="11"/>
      <c r="D15" s="3">
        <f t="shared" si="4"/>
        <v>0</v>
      </c>
      <c r="E15" s="3"/>
      <c r="F15" s="22"/>
      <c r="G15" s="3"/>
      <c r="H15" s="3">
        <f>--1896.95</f>
        <v>1896.95</v>
      </c>
      <c r="I15" s="3"/>
      <c r="J15" s="22"/>
      <c r="K15" s="3"/>
      <c r="L15" s="3">
        <f t="shared" si="0"/>
        <v>-1896.95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--1896.95</f>
        <v>1896.95</v>
      </c>
      <c r="U15" s="3"/>
      <c r="V15" s="22"/>
      <c r="W15" s="3"/>
      <c r="X15" s="3">
        <f t="shared" si="2"/>
        <v>-1896.95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"4027", " - ", "TAXABLE SALES-SCHOOL SUPPLIES")</f>
        <v xml:space="preserve">          4027 - TAXABLE SALES-SCHOOL SUPPLIES</v>
      </c>
      <c r="C16" s="11"/>
      <c r="D16" s="3">
        <f t="shared" si="4"/>
        <v>0</v>
      </c>
      <c r="E16" s="3"/>
      <c r="F16" s="22"/>
      <c r="G16" s="3"/>
      <c r="H16" s="3">
        <f>--13150</f>
        <v>13150</v>
      </c>
      <c r="I16" s="3"/>
      <c r="J16" s="22"/>
      <c r="K16" s="3"/>
      <c r="L16" s="3">
        <f t="shared" si="0"/>
        <v>-13150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--13150</f>
        <v>13150</v>
      </c>
      <c r="U16" s="3"/>
      <c r="V16" s="22"/>
      <c r="W16" s="3"/>
      <c r="X16" s="3">
        <f t="shared" si="2"/>
        <v>-13150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"4028", " - ", "TAXABLE SALES-ART/TECH")</f>
        <v xml:space="preserve">          4028 - TAXABLE SALES-ART/TECH</v>
      </c>
      <c r="C17" s="11"/>
      <c r="D17" s="3">
        <f t="shared" si="4"/>
        <v>0</v>
      </c>
      <c r="E17" s="3"/>
      <c r="F17" s="22"/>
      <c r="G17" s="3"/>
      <c r="H17" s="3">
        <f>--2284.16</f>
        <v>2284.16</v>
      </c>
      <c r="I17" s="3"/>
      <c r="J17" s="22"/>
      <c r="K17" s="3"/>
      <c r="L17" s="3">
        <f t="shared" si="0"/>
        <v>-2284.16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--2284.16</f>
        <v>2284.16</v>
      </c>
      <c r="U17" s="3"/>
      <c r="V17" s="22"/>
      <c r="W17" s="3"/>
      <c r="X17" s="3">
        <f t="shared" si="2"/>
        <v>-2284.16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"4031", " - ", "TAXABLE SALES-FOOD")</f>
        <v xml:space="preserve">          4031 - TAXABLE SALES-FOOD</v>
      </c>
      <c r="C18" s="11"/>
      <c r="D18" s="3">
        <f t="shared" si="4"/>
        <v>0</v>
      </c>
      <c r="E18" s="3"/>
      <c r="F18" s="22"/>
      <c r="G18" s="3"/>
      <c r="H18" s="3">
        <f>--1.52</f>
        <v>1.52</v>
      </c>
      <c r="I18" s="3"/>
      <c r="J18" s="22"/>
      <c r="K18" s="3"/>
      <c r="L18" s="3">
        <f t="shared" si="0"/>
        <v>-1.52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--1.52</f>
        <v>1.52</v>
      </c>
      <c r="U18" s="3"/>
      <c r="V18" s="22"/>
      <c r="W18" s="3"/>
      <c r="X18" s="3">
        <f t="shared" si="2"/>
        <v>-1.52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"4032", " - ", "TAXABLE SALES-JUICE")</f>
        <v xml:space="preserve">          4032 - TAXABLE SALES-JUICE</v>
      </c>
      <c r="C19" s="11"/>
      <c r="D19" s="3">
        <f t="shared" si="4"/>
        <v>0</v>
      </c>
      <c r="E19" s="3"/>
      <c r="F19" s="22"/>
      <c r="G19" s="3"/>
      <c r="H19" s="3">
        <f>--1.47</f>
        <v>1.47</v>
      </c>
      <c r="I19" s="3"/>
      <c r="J19" s="22"/>
      <c r="K19" s="3"/>
      <c r="L19" s="3">
        <f t="shared" si="0"/>
        <v>-1.47</v>
      </c>
      <c r="M19" s="3"/>
      <c r="N19" s="22">
        <f t="shared" si="1"/>
        <v>-1</v>
      </c>
      <c r="O19" s="11"/>
      <c r="P19" s="3">
        <f t="shared" si="5"/>
        <v>0</v>
      </c>
      <c r="Q19" s="3"/>
      <c r="R19" s="22"/>
      <c r="S19" s="3"/>
      <c r="T19" s="3">
        <f>--1.47</f>
        <v>1.47</v>
      </c>
      <c r="U19" s="3"/>
      <c r="V19" s="22"/>
      <c r="W19" s="3"/>
      <c r="X19" s="3">
        <f t="shared" si="2"/>
        <v>-1.47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"4033", " - ", "TAXABLE SALES-CANDY")</f>
        <v xml:space="preserve">          4033 - TAXABLE SALES-CANDY</v>
      </c>
      <c r="C20" s="11"/>
      <c r="D20" s="3">
        <f t="shared" si="4"/>
        <v>0</v>
      </c>
      <c r="E20" s="3"/>
      <c r="F20" s="22"/>
      <c r="G20" s="3"/>
      <c r="H20" s="3">
        <f>--3.17</f>
        <v>3.17</v>
      </c>
      <c r="I20" s="3"/>
      <c r="J20" s="22"/>
      <c r="K20" s="3"/>
      <c r="L20" s="3">
        <f t="shared" si="0"/>
        <v>-3.17</v>
      </c>
      <c r="M20" s="3"/>
      <c r="N20" s="22">
        <f t="shared" si="1"/>
        <v>-1</v>
      </c>
      <c r="O20" s="11"/>
      <c r="P20" s="3">
        <f t="shared" si="5"/>
        <v>0</v>
      </c>
      <c r="Q20" s="3"/>
      <c r="R20" s="22"/>
      <c r="S20" s="3"/>
      <c r="T20" s="3">
        <f>--3.17</f>
        <v>3.17</v>
      </c>
      <c r="U20" s="3"/>
      <c r="V20" s="22"/>
      <c r="W20" s="3"/>
      <c r="X20" s="3">
        <f t="shared" si="2"/>
        <v>-3.17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"4034", " - ", "TAXABLE SALES-SODA")</f>
        <v xml:space="preserve">          4034 - TAXABLE SALES-SODA</v>
      </c>
      <c r="C21" s="11"/>
      <c r="D21" s="3">
        <f t="shared" si="4"/>
        <v>0</v>
      </c>
      <c r="E21" s="3"/>
      <c r="F21" s="22"/>
      <c r="G21" s="3"/>
      <c r="H21" s="3">
        <f>--34.74</f>
        <v>34.74</v>
      </c>
      <c r="I21" s="3"/>
      <c r="J21" s="22"/>
      <c r="K21" s="3"/>
      <c r="L21" s="3">
        <f t="shared" si="0"/>
        <v>-34.74</v>
      </c>
      <c r="M21" s="3"/>
      <c r="N21" s="22">
        <f t="shared" si="1"/>
        <v>-1</v>
      </c>
      <c r="O21" s="11"/>
      <c r="P21" s="3">
        <f t="shared" si="5"/>
        <v>0</v>
      </c>
      <c r="Q21" s="3"/>
      <c r="R21" s="22"/>
      <c r="S21" s="3"/>
      <c r="T21" s="3">
        <f>--34.74</f>
        <v>34.74</v>
      </c>
      <c r="U21" s="3"/>
      <c r="V21" s="22"/>
      <c r="W21" s="3"/>
      <c r="X21" s="3">
        <f t="shared" si="2"/>
        <v>-34.74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"4035", " - ", "TAXABLE SALES-HEALTH &amp; BEAUTY")</f>
        <v xml:space="preserve">          4035 - TAXABLE SALES-HEALTH &amp; BEAUTY</v>
      </c>
      <c r="C22" s="11"/>
      <c r="D22" s="3">
        <f t="shared" si="4"/>
        <v>0</v>
      </c>
      <c r="E22" s="3"/>
      <c r="F22" s="22"/>
      <c r="G22" s="3"/>
      <c r="H22" s="3">
        <f>--5.97</f>
        <v>5.97</v>
      </c>
      <c r="I22" s="3"/>
      <c r="J22" s="22"/>
      <c r="K22" s="3"/>
      <c r="L22" s="3">
        <f t="shared" si="0"/>
        <v>-5.97</v>
      </c>
      <c r="M22" s="3"/>
      <c r="N22" s="22">
        <f t="shared" si="1"/>
        <v>-1</v>
      </c>
      <c r="O22" s="11"/>
      <c r="P22" s="3">
        <f t="shared" si="5"/>
        <v>0</v>
      </c>
      <c r="Q22" s="3"/>
      <c r="R22" s="22"/>
      <c r="S22" s="3"/>
      <c r="T22" s="3">
        <f>--5.97</f>
        <v>5.97</v>
      </c>
      <c r="U22" s="3"/>
      <c r="V22" s="22"/>
      <c r="W22" s="3"/>
      <c r="X22" s="3">
        <f t="shared" si="2"/>
        <v>-5.97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"4037", " - ", "TAXABLE SALES-WATER")</f>
        <v xml:space="preserve">          4037 - TAXABLE SALES-WATER</v>
      </c>
      <c r="C23" s="11"/>
      <c r="D23" s="3">
        <f t="shared" si="4"/>
        <v>0</v>
      </c>
      <c r="E23" s="3"/>
      <c r="F23" s="22"/>
      <c r="G23" s="3"/>
      <c r="H23" s="3">
        <f>--5.29</f>
        <v>5.29</v>
      </c>
      <c r="I23" s="3"/>
      <c r="J23" s="22"/>
      <c r="K23" s="3"/>
      <c r="L23" s="3">
        <f t="shared" si="0"/>
        <v>-5.29</v>
      </c>
      <c r="M23" s="3"/>
      <c r="N23" s="22">
        <f t="shared" si="1"/>
        <v>-1</v>
      </c>
      <c r="O23" s="11"/>
      <c r="P23" s="3">
        <f t="shared" si="5"/>
        <v>0</v>
      </c>
      <c r="Q23" s="3"/>
      <c r="R23" s="22"/>
      <c r="S23" s="3"/>
      <c r="T23" s="3">
        <f>--5.29</f>
        <v>5.29</v>
      </c>
      <c r="U23" s="3"/>
      <c r="V23" s="22"/>
      <c r="W23" s="3"/>
      <c r="X23" s="3">
        <f t="shared" si="2"/>
        <v>-5.29</v>
      </c>
      <c r="Y23" s="3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"4081", " - ", "TAXABLE SALES-ELECTRONICS")</f>
        <v xml:space="preserve">          4081 - TAXABLE SALES-ELECTRONICS</v>
      </c>
      <c r="C24" s="11"/>
      <c r="D24" s="3">
        <f t="shared" si="4"/>
        <v>0</v>
      </c>
      <c r="E24" s="3"/>
      <c r="F24" s="22"/>
      <c r="G24" s="3"/>
      <c r="H24" s="3">
        <f>--7.98</f>
        <v>7.98</v>
      </c>
      <c r="I24" s="3"/>
      <c r="J24" s="22"/>
      <c r="K24" s="3"/>
      <c r="L24" s="3">
        <f t="shared" si="0"/>
        <v>-7.98</v>
      </c>
      <c r="M24" s="3"/>
      <c r="N24" s="22">
        <f t="shared" si="1"/>
        <v>-1</v>
      </c>
      <c r="O24" s="11"/>
      <c r="P24" s="3">
        <f t="shared" si="5"/>
        <v>0</v>
      </c>
      <c r="Q24" s="3"/>
      <c r="R24" s="22"/>
      <c r="S24" s="3"/>
      <c r="T24" s="3">
        <f>--7.98</f>
        <v>7.98</v>
      </c>
      <c r="U24" s="3"/>
      <c r="V24" s="22"/>
      <c r="W24" s="3"/>
      <c r="X24" s="3">
        <f t="shared" si="2"/>
        <v>-7.98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"4082", " - ", "TAXABLE SALES-COMPUTER HARDWAR")</f>
        <v xml:space="preserve">          4082 - TAXABLE SALES-COMPUTER HARDWAR</v>
      </c>
      <c r="C25" s="11"/>
      <c r="D25" s="3">
        <f t="shared" si="4"/>
        <v>0</v>
      </c>
      <c r="E25" s="3"/>
      <c r="F25" s="22"/>
      <c r="G25" s="3"/>
      <c r="H25" s="3">
        <f>--19</f>
        <v>19</v>
      </c>
      <c r="I25" s="3"/>
      <c r="J25" s="22"/>
      <c r="K25" s="3"/>
      <c r="L25" s="3">
        <f t="shared" si="0"/>
        <v>-19</v>
      </c>
      <c r="M25" s="3"/>
      <c r="N25" s="22">
        <f t="shared" si="1"/>
        <v>-1</v>
      </c>
      <c r="O25" s="11"/>
      <c r="P25" s="3">
        <f t="shared" si="5"/>
        <v>0</v>
      </c>
      <c r="Q25" s="3"/>
      <c r="R25" s="22"/>
      <c r="S25" s="3"/>
      <c r="T25" s="3">
        <f>--19</f>
        <v>19</v>
      </c>
      <c r="U25" s="3"/>
      <c r="V25" s="22"/>
      <c r="W25" s="3"/>
      <c r="X25" s="3">
        <f t="shared" si="2"/>
        <v>-19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"4086", " - ", "TAXABLE SALES-COMPUTER SUPPLIE")</f>
        <v xml:space="preserve">          4086 - TAXABLE SALES-COMPUTER SUPPLIE</v>
      </c>
      <c r="C26" s="11"/>
      <c r="D26" s="3">
        <f t="shared" si="4"/>
        <v>0</v>
      </c>
      <c r="E26" s="3"/>
      <c r="F26" s="22"/>
      <c r="G26" s="3"/>
      <c r="H26" s="3">
        <f>--14.99</f>
        <v>14.99</v>
      </c>
      <c r="I26" s="3"/>
      <c r="J26" s="22"/>
      <c r="K26" s="3"/>
      <c r="L26" s="3">
        <f t="shared" si="0"/>
        <v>-14.99</v>
      </c>
      <c r="M26" s="3"/>
      <c r="N26" s="22">
        <f t="shared" si="1"/>
        <v>-1</v>
      </c>
      <c r="O26" s="11"/>
      <c r="P26" s="3">
        <f t="shared" si="5"/>
        <v>0</v>
      </c>
      <c r="Q26" s="3"/>
      <c r="R26" s="22"/>
      <c r="S26" s="3"/>
      <c r="T26" s="3">
        <f>--14.99</f>
        <v>14.99</v>
      </c>
      <c r="U26" s="3"/>
      <c r="V26" s="22"/>
      <c r="W26" s="3"/>
      <c r="X26" s="3">
        <f t="shared" si="2"/>
        <v>-14.99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"4125", " - ", "NON-TAXABLE SALES-TEST FORMS")</f>
        <v xml:space="preserve">          4125 - NON-TAXABLE SALES-TEST FORMS</v>
      </c>
      <c r="C27" s="11"/>
      <c r="D27" s="3">
        <f t="shared" si="4"/>
        <v>0</v>
      </c>
      <c r="E27" s="3"/>
      <c r="F27" s="22"/>
      <c r="G27" s="3"/>
      <c r="H27" s="3">
        <f>--4.98</f>
        <v>4.9800000000000004</v>
      </c>
      <c r="I27" s="3"/>
      <c r="J27" s="22"/>
      <c r="K27" s="3"/>
      <c r="L27" s="3">
        <f t="shared" si="0"/>
        <v>-4.9800000000000004</v>
      </c>
      <c r="M27" s="3"/>
      <c r="N27" s="22">
        <f t="shared" si="1"/>
        <v>-1</v>
      </c>
      <c r="O27" s="11"/>
      <c r="P27" s="3">
        <f t="shared" si="5"/>
        <v>0</v>
      </c>
      <c r="Q27" s="3"/>
      <c r="R27" s="22"/>
      <c r="S27" s="3"/>
      <c r="T27" s="3">
        <f>--4.98</f>
        <v>4.9800000000000004</v>
      </c>
      <c r="U27" s="3"/>
      <c r="V27" s="22"/>
      <c r="W27" s="3"/>
      <c r="X27" s="3">
        <f t="shared" si="2"/>
        <v>-4.9800000000000004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"4126", " - ", "NON-TAXABLE SALES-WRITING INST")</f>
        <v xml:space="preserve">          4126 - NON-TAXABLE SALES-WRITING INST</v>
      </c>
      <c r="C28" s="11"/>
      <c r="D28" s="3">
        <f t="shared" si="4"/>
        <v>0</v>
      </c>
      <c r="E28" s="3"/>
      <c r="F28" s="22"/>
      <c r="G28" s="3"/>
      <c r="H28" s="3">
        <f>--167.03</f>
        <v>167.03</v>
      </c>
      <c r="I28" s="3"/>
      <c r="J28" s="22"/>
      <c r="K28" s="3"/>
      <c r="L28" s="3">
        <f t="shared" si="0"/>
        <v>-167.03</v>
      </c>
      <c r="M28" s="3"/>
      <c r="N28" s="22">
        <f t="shared" si="1"/>
        <v>-1</v>
      </c>
      <c r="O28" s="11"/>
      <c r="P28" s="3">
        <f t="shared" si="5"/>
        <v>0</v>
      </c>
      <c r="Q28" s="3"/>
      <c r="R28" s="22"/>
      <c r="S28" s="3"/>
      <c r="T28" s="3">
        <f>--167.03</f>
        <v>167.03</v>
      </c>
      <c r="U28" s="3"/>
      <c r="V28" s="22"/>
      <c r="W28" s="3"/>
      <c r="X28" s="3">
        <f t="shared" si="2"/>
        <v>-167.03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"4127", " - ", "NON-TAXABLE SALES-SCHOOL SUPPL")</f>
        <v xml:space="preserve">          4127 - NON-TAXABLE SALES-SCHOOL SUPPL</v>
      </c>
      <c r="C29" s="11"/>
      <c r="D29" s="3">
        <f t="shared" si="4"/>
        <v>0</v>
      </c>
      <c r="E29" s="3"/>
      <c r="F29" s="22"/>
      <c r="G29" s="3"/>
      <c r="H29" s="3">
        <f>--177.89</f>
        <v>177.89</v>
      </c>
      <c r="I29" s="3"/>
      <c r="J29" s="22"/>
      <c r="K29" s="3"/>
      <c r="L29" s="3">
        <f t="shared" si="0"/>
        <v>-177.89</v>
      </c>
      <c r="M29" s="3"/>
      <c r="N29" s="22">
        <f t="shared" si="1"/>
        <v>-1</v>
      </c>
      <c r="O29" s="11"/>
      <c r="P29" s="3">
        <f t="shared" si="5"/>
        <v>0</v>
      </c>
      <c r="Q29" s="3"/>
      <c r="R29" s="22"/>
      <c r="S29" s="3"/>
      <c r="T29" s="3">
        <f>--177.89</f>
        <v>177.89</v>
      </c>
      <c r="U29" s="3"/>
      <c r="V29" s="22"/>
      <c r="W29" s="3"/>
      <c r="X29" s="3">
        <f t="shared" si="2"/>
        <v>-177.89</v>
      </c>
      <c r="Y29" s="3"/>
      <c r="Z29" s="22">
        <f t="shared" si="3"/>
        <v>-1</v>
      </c>
    </row>
    <row r="30" spans="1:26" s="24" customFormat="1" hidden="1" outlineLevel="1" x14ac:dyDescent="0.25">
      <c r="A30" s="50"/>
      <c r="B30" s="11" t="str">
        <f>CONCATENATE("          ", "4128", " - ", "NON-TAXABLE SALES-ART/TECH")</f>
        <v xml:space="preserve">          4128 - NON-TAXABLE SALES-ART/TECH</v>
      </c>
      <c r="C30" s="11"/>
      <c r="D30" s="3">
        <f t="shared" si="4"/>
        <v>0</v>
      </c>
      <c r="E30" s="3"/>
      <c r="F30" s="22"/>
      <c r="G30" s="3"/>
      <c r="H30" s="3">
        <f>--1.49</f>
        <v>1.49</v>
      </c>
      <c r="I30" s="3"/>
      <c r="J30" s="22"/>
      <c r="K30" s="3"/>
      <c r="L30" s="3">
        <f t="shared" si="0"/>
        <v>-1.49</v>
      </c>
      <c r="M30" s="3"/>
      <c r="N30" s="22">
        <f t="shared" si="1"/>
        <v>-1</v>
      </c>
      <c r="O30" s="11"/>
      <c r="P30" s="3">
        <f t="shared" si="5"/>
        <v>0</v>
      </c>
      <c r="Q30" s="3"/>
      <c r="R30" s="22"/>
      <c r="S30" s="3"/>
      <c r="T30" s="3">
        <f>--1.49</f>
        <v>1.49</v>
      </c>
      <c r="U30" s="3"/>
      <c r="V30" s="22"/>
      <c r="W30" s="3"/>
      <c r="X30" s="3">
        <f t="shared" si="2"/>
        <v>-1.49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"4131", " - ", "NON-TAXABLE SALES-FOOD")</f>
        <v xml:space="preserve">          4131 - NON-TAXABLE SALES-FOOD</v>
      </c>
      <c r="C31" s="11"/>
      <c r="D31" s="3">
        <f t="shared" si="4"/>
        <v>0</v>
      </c>
      <c r="E31" s="3"/>
      <c r="F31" s="22"/>
      <c r="G31" s="3"/>
      <c r="H31" s="3">
        <f>--269.62</f>
        <v>269.62</v>
      </c>
      <c r="I31" s="3"/>
      <c r="J31" s="22"/>
      <c r="K31" s="3"/>
      <c r="L31" s="3">
        <f t="shared" si="0"/>
        <v>-269.62</v>
      </c>
      <c r="M31" s="3"/>
      <c r="N31" s="22">
        <f t="shared" si="1"/>
        <v>-1</v>
      </c>
      <c r="O31" s="11"/>
      <c r="P31" s="3">
        <f t="shared" si="5"/>
        <v>0</v>
      </c>
      <c r="Q31" s="3"/>
      <c r="R31" s="22"/>
      <c r="S31" s="3"/>
      <c r="T31" s="3">
        <f>--269.62</f>
        <v>269.62</v>
      </c>
      <c r="U31" s="3"/>
      <c r="V31" s="22"/>
      <c r="W31" s="3"/>
      <c r="X31" s="3">
        <f t="shared" si="2"/>
        <v>-269.62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"4132", " - ", "NON-TAXABLE SALES-JUICE")</f>
        <v xml:space="preserve">          4132 - NON-TAXABLE SALES-JUICE</v>
      </c>
      <c r="C32" s="11"/>
      <c r="D32" s="3">
        <f t="shared" si="4"/>
        <v>0</v>
      </c>
      <c r="E32" s="3"/>
      <c r="F32" s="22"/>
      <c r="G32" s="3"/>
      <c r="H32" s="3">
        <f>--45.31</f>
        <v>45.31</v>
      </c>
      <c r="I32" s="3"/>
      <c r="J32" s="22"/>
      <c r="K32" s="3"/>
      <c r="L32" s="3">
        <f t="shared" si="0"/>
        <v>-45.31</v>
      </c>
      <c r="M32" s="3"/>
      <c r="N32" s="22">
        <f t="shared" si="1"/>
        <v>-1</v>
      </c>
      <c r="O32" s="11"/>
      <c r="P32" s="3">
        <f t="shared" si="5"/>
        <v>0</v>
      </c>
      <c r="Q32" s="3"/>
      <c r="R32" s="22"/>
      <c r="S32" s="3"/>
      <c r="T32" s="3">
        <f>--45.31</f>
        <v>45.31</v>
      </c>
      <c r="U32" s="3"/>
      <c r="V32" s="22"/>
      <c r="W32" s="3"/>
      <c r="X32" s="3">
        <f t="shared" si="2"/>
        <v>-45.31</v>
      </c>
      <c r="Y32" s="3"/>
      <c r="Z32" s="22">
        <f t="shared" si="3"/>
        <v>-1</v>
      </c>
    </row>
    <row r="33" spans="1:26" s="24" customFormat="1" hidden="1" outlineLevel="1" x14ac:dyDescent="0.25">
      <c r="A33" s="50"/>
      <c r="B33" s="11" t="str">
        <f>CONCATENATE("          ", "4133", " - ", "NON-TAXABLE SALES-CANDY")</f>
        <v xml:space="preserve">          4133 - NON-TAXABLE SALES-CANDY</v>
      </c>
      <c r="C33" s="11"/>
      <c r="D33" s="3">
        <f t="shared" si="4"/>
        <v>0</v>
      </c>
      <c r="E33" s="3"/>
      <c r="F33" s="22"/>
      <c r="G33" s="3"/>
      <c r="H33" s="3">
        <f>--472.22</f>
        <v>472.22</v>
      </c>
      <c r="I33" s="3"/>
      <c r="J33" s="22"/>
      <c r="K33" s="3"/>
      <c r="L33" s="3">
        <f t="shared" si="0"/>
        <v>-472.22</v>
      </c>
      <c r="M33" s="3"/>
      <c r="N33" s="22">
        <f t="shared" si="1"/>
        <v>-1</v>
      </c>
      <c r="O33" s="11"/>
      <c r="P33" s="3">
        <f t="shared" si="5"/>
        <v>0</v>
      </c>
      <c r="Q33" s="3"/>
      <c r="R33" s="22"/>
      <c r="S33" s="3"/>
      <c r="T33" s="3">
        <f>--472.22</f>
        <v>472.22</v>
      </c>
      <c r="U33" s="3"/>
      <c r="V33" s="22"/>
      <c r="W33" s="3"/>
      <c r="X33" s="3">
        <f t="shared" si="2"/>
        <v>-472.22</v>
      </c>
      <c r="Y33" s="3"/>
      <c r="Z33" s="22">
        <f t="shared" si="3"/>
        <v>-1</v>
      </c>
    </row>
    <row r="34" spans="1:26" s="24" customFormat="1" hidden="1" outlineLevel="1" x14ac:dyDescent="0.25">
      <c r="A34" s="50"/>
      <c r="B34" s="11" t="str">
        <f>CONCATENATE("          ", "4135", " - ", "NON-TAXABLE SALES")</f>
        <v xml:space="preserve">          4135 - NON-TAXABLE SALES</v>
      </c>
      <c r="C34" s="11"/>
      <c r="D34" s="3">
        <f t="shared" si="4"/>
        <v>0</v>
      </c>
      <c r="E34" s="3"/>
      <c r="F34" s="22"/>
      <c r="G34" s="3"/>
      <c r="H34" s="3">
        <f>--21.54</f>
        <v>21.54</v>
      </c>
      <c r="I34" s="3"/>
      <c r="J34" s="22"/>
      <c r="K34" s="3"/>
      <c r="L34" s="3">
        <f t="shared" si="0"/>
        <v>-21.54</v>
      </c>
      <c r="M34" s="3"/>
      <c r="N34" s="22">
        <f t="shared" si="1"/>
        <v>-1</v>
      </c>
      <c r="O34" s="11"/>
      <c r="P34" s="3">
        <f t="shared" si="5"/>
        <v>0</v>
      </c>
      <c r="Q34" s="3"/>
      <c r="R34" s="22"/>
      <c r="S34" s="3"/>
      <c r="T34" s="3">
        <f>--21.54</f>
        <v>21.54</v>
      </c>
      <c r="U34" s="3"/>
      <c r="V34" s="22"/>
      <c r="W34" s="3"/>
      <c r="X34" s="3">
        <f t="shared" si="2"/>
        <v>-21.54</v>
      </c>
      <c r="Y34" s="3"/>
      <c r="Z34" s="22">
        <f t="shared" si="3"/>
        <v>-1</v>
      </c>
    </row>
    <row r="35" spans="1:26" s="24" customFormat="1" hidden="1" outlineLevel="1" x14ac:dyDescent="0.25">
      <c r="A35" s="50"/>
      <c r="B35" s="11" t="str">
        <f>CONCATENATE("          ", "4137", " - ", "NON-TAXABLE SALES-WATER")</f>
        <v xml:space="preserve">          4137 - NON-TAXABLE SALES-WATER</v>
      </c>
      <c r="C35" s="11"/>
      <c r="D35" s="3">
        <f t="shared" si="4"/>
        <v>0</v>
      </c>
      <c r="E35" s="3"/>
      <c r="F35" s="22"/>
      <c r="G35" s="3"/>
      <c r="H35" s="3">
        <f>--30.52</f>
        <v>30.52</v>
      </c>
      <c r="I35" s="3"/>
      <c r="J35" s="22"/>
      <c r="K35" s="3"/>
      <c r="L35" s="3">
        <f t="shared" si="0"/>
        <v>-30.52</v>
      </c>
      <c r="M35" s="3"/>
      <c r="N35" s="22">
        <f t="shared" si="1"/>
        <v>-1</v>
      </c>
      <c r="O35" s="11"/>
      <c r="P35" s="3">
        <f t="shared" si="5"/>
        <v>0</v>
      </c>
      <c r="Q35" s="3"/>
      <c r="R35" s="22"/>
      <c r="S35" s="3"/>
      <c r="T35" s="3">
        <f>--30.52</f>
        <v>30.52</v>
      </c>
      <c r="U35" s="3"/>
      <c r="V35" s="22"/>
      <c r="W35" s="3"/>
      <c r="X35" s="3">
        <f t="shared" si="2"/>
        <v>-30.52</v>
      </c>
      <c r="Y35" s="3"/>
      <c r="Z35" s="22">
        <f t="shared" si="3"/>
        <v>-1</v>
      </c>
    </row>
    <row r="36" spans="1:26" s="24" customFormat="1" hidden="1" outlineLevel="1" x14ac:dyDescent="0.25">
      <c r="A36" s="50"/>
      <c r="B36" s="11" t="str">
        <f>CONCATENATE("          ", "4225", " - ", "SALES RETURN TAXABLE-TEST FORM")</f>
        <v xml:space="preserve">          4225 - SALES RETURN TAXABLE-TEST FORM</v>
      </c>
      <c r="C36" s="11"/>
      <c r="D36" s="3">
        <f t="shared" si="4"/>
        <v>0</v>
      </c>
      <c r="E36" s="3"/>
      <c r="F36" s="22"/>
      <c r="G36" s="3"/>
      <c r="H36" s="3">
        <f>-4.08</f>
        <v>-4.08</v>
      </c>
      <c r="I36" s="3"/>
      <c r="J36" s="22"/>
      <c r="K36" s="3"/>
      <c r="L36" s="3">
        <f t="shared" si="0"/>
        <v>4.08</v>
      </c>
      <c r="M36" s="3"/>
      <c r="N36" s="22">
        <f t="shared" si="1"/>
        <v>-1</v>
      </c>
      <c r="O36" s="11"/>
      <c r="P36" s="3">
        <f t="shared" si="5"/>
        <v>0</v>
      </c>
      <c r="Q36" s="3"/>
      <c r="R36" s="22"/>
      <c r="S36" s="3"/>
      <c r="T36" s="3">
        <f>-4.08</f>
        <v>-4.08</v>
      </c>
      <c r="U36" s="3"/>
      <c r="V36" s="22"/>
      <c r="W36" s="3"/>
      <c r="X36" s="3">
        <f t="shared" si="2"/>
        <v>4.08</v>
      </c>
      <c r="Y36" s="3"/>
      <c r="Z36" s="22">
        <f t="shared" si="3"/>
        <v>-1</v>
      </c>
    </row>
    <row r="37" spans="1:26" s="24" customFormat="1" hidden="1" outlineLevel="1" x14ac:dyDescent="0.25">
      <c r="A37" s="50"/>
      <c r="B37" s="11" t="str">
        <f>CONCATENATE("          ", "4226", " - ", "SALES RETURN TAXABLE-WRITING I")</f>
        <v xml:space="preserve">          4226 - SALES RETURN TAXABLE-WRITING I</v>
      </c>
      <c r="C37" s="11"/>
      <c r="D37" s="3">
        <f t="shared" si="4"/>
        <v>0</v>
      </c>
      <c r="E37" s="3"/>
      <c r="F37" s="22"/>
      <c r="G37" s="3"/>
      <c r="H37" s="3">
        <f>-63.93</f>
        <v>-63.93</v>
      </c>
      <c r="I37" s="3"/>
      <c r="J37" s="22"/>
      <c r="K37" s="3"/>
      <c r="L37" s="3">
        <f t="shared" si="0"/>
        <v>63.93</v>
      </c>
      <c r="M37" s="3"/>
      <c r="N37" s="22">
        <f t="shared" si="1"/>
        <v>-1</v>
      </c>
      <c r="O37" s="11"/>
      <c r="P37" s="3">
        <f t="shared" si="5"/>
        <v>0</v>
      </c>
      <c r="Q37" s="3"/>
      <c r="R37" s="22"/>
      <c r="S37" s="3"/>
      <c r="T37" s="3">
        <f>-63.93</f>
        <v>-63.93</v>
      </c>
      <c r="U37" s="3"/>
      <c r="V37" s="22"/>
      <c r="W37" s="3"/>
      <c r="X37" s="3">
        <f t="shared" si="2"/>
        <v>63.93</v>
      </c>
      <c r="Y37" s="3"/>
      <c r="Z37" s="22">
        <f t="shared" si="3"/>
        <v>-1</v>
      </c>
    </row>
    <row r="38" spans="1:26" s="24" customFormat="1" hidden="1" outlineLevel="1" x14ac:dyDescent="0.25">
      <c r="A38" s="50"/>
      <c r="B38" s="11" t="str">
        <f>CONCATENATE("          ", "4227", " - ", "SALES RETURN TAXABLE-SCHOOL SU")</f>
        <v xml:space="preserve">          4227 - SALES RETURN TAXABLE-SCHOOL SU</v>
      </c>
      <c r="C38" s="11"/>
      <c r="D38" s="3">
        <f t="shared" si="4"/>
        <v>0</v>
      </c>
      <c r="E38" s="3"/>
      <c r="F38" s="22"/>
      <c r="G38" s="3"/>
      <c r="H38" s="3">
        <f>-165.44</f>
        <v>-165.44</v>
      </c>
      <c r="I38" s="3"/>
      <c r="J38" s="22"/>
      <c r="K38" s="3"/>
      <c r="L38" s="3">
        <f t="shared" si="0"/>
        <v>165.44</v>
      </c>
      <c r="M38" s="3"/>
      <c r="N38" s="22">
        <f t="shared" si="1"/>
        <v>-1</v>
      </c>
      <c r="O38" s="11"/>
      <c r="P38" s="3">
        <f t="shared" si="5"/>
        <v>0</v>
      </c>
      <c r="Q38" s="3"/>
      <c r="R38" s="22"/>
      <c r="S38" s="3"/>
      <c r="T38" s="3">
        <f>-165.44</f>
        <v>-165.44</v>
      </c>
      <c r="U38" s="3"/>
      <c r="V38" s="22"/>
      <c r="W38" s="3"/>
      <c r="X38" s="3">
        <f t="shared" si="2"/>
        <v>165.44</v>
      </c>
      <c r="Y38" s="3"/>
      <c r="Z38" s="22">
        <f t="shared" si="3"/>
        <v>-1</v>
      </c>
    </row>
    <row r="39" spans="1:26" s="24" customFormat="1" hidden="1" outlineLevel="1" x14ac:dyDescent="0.25">
      <c r="A39" s="50"/>
      <c r="B39" s="11" t="str">
        <f>CONCATENATE("          ", "4228", " - ", "SALES RETURN TAXABLE-ART/TECH")</f>
        <v xml:space="preserve">          4228 - SALES RETURN TAXABLE-ART/TECH</v>
      </c>
      <c r="C39" s="11"/>
      <c r="D39" s="3">
        <f t="shared" si="4"/>
        <v>0</v>
      </c>
      <c r="E39" s="3"/>
      <c r="F39" s="22"/>
      <c r="G39" s="3"/>
      <c r="H39" s="3">
        <f>-10.37</f>
        <v>-10.37</v>
      </c>
      <c r="I39" s="3"/>
      <c r="J39" s="22"/>
      <c r="K39" s="3"/>
      <c r="L39" s="3">
        <f t="shared" si="0"/>
        <v>10.37</v>
      </c>
      <c r="M39" s="3"/>
      <c r="N39" s="22">
        <f t="shared" si="1"/>
        <v>-1</v>
      </c>
      <c r="O39" s="11"/>
      <c r="P39" s="3">
        <f t="shared" si="5"/>
        <v>0</v>
      </c>
      <c r="Q39" s="3"/>
      <c r="R39" s="22"/>
      <c r="S39" s="3"/>
      <c r="T39" s="3">
        <f>-10.37</f>
        <v>-10.37</v>
      </c>
      <c r="U39" s="3"/>
      <c r="V39" s="22"/>
      <c r="W39" s="3"/>
      <c r="X39" s="3">
        <f t="shared" si="2"/>
        <v>10.37</v>
      </c>
      <c r="Y39" s="3"/>
      <c r="Z39" s="22">
        <f t="shared" si="3"/>
        <v>-1</v>
      </c>
    </row>
    <row r="40" spans="1:26" x14ac:dyDescent="0.25">
      <c r="A40" s="9"/>
      <c r="B40" s="10"/>
      <c r="C40" s="9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3" customFormat="1" collapsed="1" x14ac:dyDescent="0.25">
      <c r="A41" s="10"/>
      <c r="B41" s="25" t="s">
        <v>8</v>
      </c>
      <c r="C41" s="10"/>
      <c r="D41" s="4">
        <f>SUM(OSRRefD16x_0)</f>
        <v>38.049999999999997</v>
      </c>
      <c r="E41" s="4"/>
      <c r="F41" s="12">
        <f t="shared" ref="F41:F54" si="6">IF(D$12=0,0,D41/D$12)</f>
        <v>0</v>
      </c>
      <c r="G41" s="4"/>
      <c r="H41" s="4">
        <f>SUM(OSRRefH16x_0)</f>
        <v>9513.5799999999927</v>
      </c>
      <c r="I41" s="4"/>
      <c r="J41" s="12">
        <f t="shared" ref="J41:J54" si="7">IF(H$12=0,0,H41/H$12)</f>
        <v>0.50688323908106914</v>
      </c>
      <c r="K41" s="4"/>
      <c r="L41" s="4">
        <f t="shared" ref="L41:L54" si="8">+D41-H41</f>
        <v>-9475.5299999999934</v>
      </c>
      <c r="M41" s="4"/>
      <c r="N41" s="12">
        <f t="shared" ref="N41:N54" si="9">IF(H41=0,0,L41/H41)</f>
        <v>-0.99600045408773574</v>
      </c>
      <c r="O41" s="10"/>
      <c r="P41" s="4">
        <f>SUM(OSRRefP16x_0)</f>
        <v>38.049999999999997</v>
      </c>
      <c r="Q41" s="4"/>
      <c r="R41" s="12">
        <f t="shared" ref="R41:R54" si="10">IF(P$12=0,0,P41/P$12)</f>
        <v>0</v>
      </c>
      <c r="S41" s="4"/>
      <c r="T41" s="4">
        <f>SUM(OSRRefT16x_0)</f>
        <v>9513.5799999999927</v>
      </c>
      <c r="U41" s="4"/>
      <c r="V41" s="12">
        <f t="shared" ref="V41:V54" si="11">IF(T$12=0,0,T41/T$12)</f>
        <v>0.50688323908106914</v>
      </c>
      <c r="W41" s="4"/>
      <c r="X41" s="4">
        <f t="shared" ref="X41:X54" si="12">+P41-T41</f>
        <v>-9475.5299999999934</v>
      </c>
      <c r="Y41" s="4"/>
      <c r="Z41" s="12">
        <f t="shared" ref="Z41:Z54" si="13">IF(T41=0,0,X41/T41)</f>
        <v>-0.99600045408773574</v>
      </c>
    </row>
    <row r="42" spans="1:26" s="24" customFormat="1" hidden="1" outlineLevel="1" x14ac:dyDescent="0.25">
      <c r="A42" s="50"/>
      <c r="B42" s="11" t="str">
        <f>CONCATENATE("          ", "5025", " - ", "PURCHASES @ COST-TEST FORMS")</f>
        <v xml:space="preserve">          5025 - PURCHASES @ COST-TEST FORMS</v>
      </c>
      <c r="C42" s="11"/>
      <c r="D42" s="3"/>
      <c r="E42" s="3"/>
      <c r="F42" s="22">
        <f t="shared" si="6"/>
        <v>0</v>
      </c>
      <c r="G42" s="3"/>
      <c r="H42" s="3">
        <v>879.12</v>
      </c>
      <c r="I42" s="3"/>
      <c r="J42" s="22">
        <f t="shared" si="7"/>
        <v>4.6839485571251817E-2</v>
      </c>
      <c r="K42" s="3"/>
      <c r="L42" s="3">
        <f t="shared" si="8"/>
        <v>-879.12</v>
      </c>
      <c r="M42" s="3"/>
      <c r="N42" s="22">
        <f t="shared" si="9"/>
        <v>-1</v>
      </c>
      <c r="O42" s="11"/>
      <c r="P42" s="3"/>
      <c r="Q42" s="3"/>
      <c r="R42" s="22">
        <f t="shared" si="10"/>
        <v>0</v>
      </c>
      <c r="S42" s="3"/>
      <c r="T42" s="3">
        <v>879.12</v>
      </c>
      <c r="U42" s="3"/>
      <c r="V42" s="22">
        <f t="shared" si="11"/>
        <v>4.6839485571251817E-2</v>
      </c>
      <c r="W42" s="3"/>
      <c r="X42" s="3">
        <f t="shared" si="12"/>
        <v>-879.12</v>
      </c>
      <c r="Y42" s="3"/>
      <c r="Z42" s="22">
        <f t="shared" si="13"/>
        <v>-1</v>
      </c>
    </row>
    <row r="43" spans="1:26" s="24" customFormat="1" hidden="1" outlineLevel="1" x14ac:dyDescent="0.25">
      <c r="A43" s="50"/>
      <c r="B43" s="11" t="str">
        <f>CONCATENATE("          ", "5026", " - ", "PURCHASES @ COST-WRITING INSTR")</f>
        <v xml:space="preserve">          5026 - PURCHASES @ COST-WRITING INSTR</v>
      </c>
      <c r="C43" s="11"/>
      <c r="D43" s="3"/>
      <c r="E43" s="3"/>
      <c r="F43" s="22">
        <f t="shared" si="6"/>
        <v>0</v>
      </c>
      <c r="G43" s="3"/>
      <c r="H43" s="3">
        <v>10405.76</v>
      </c>
      <c r="I43" s="3"/>
      <c r="J43" s="22">
        <f t="shared" si="7"/>
        <v>0.5544185610359329</v>
      </c>
      <c r="K43" s="3"/>
      <c r="L43" s="3">
        <f t="shared" si="8"/>
        <v>-10405.76</v>
      </c>
      <c r="M43" s="3"/>
      <c r="N43" s="22">
        <f t="shared" si="9"/>
        <v>-1</v>
      </c>
      <c r="O43" s="11"/>
      <c r="P43" s="3"/>
      <c r="Q43" s="3"/>
      <c r="R43" s="22">
        <f t="shared" si="10"/>
        <v>0</v>
      </c>
      <c r="S43" s="3"/>
      <c r="T43" s="3">
        <v>10405.76</v>
      </c>
      <c r="U43" s="3"/>
      <c r="V43" s="22">
        <f t="shared" si="11"/>
        <v>0.5544185610359329</v>
      </c>
      <c r="W43" s="3"/>
      <c r="X43" s="3">
        <f t="shared" si="12"/>
        <v>-10405.76</v>
      </c>
      <c r="Y43" s="3"/>
      <c r="Z43" s="22">
        <f t="shared" si="13"/>
        <v>-1</v>
      </c>
    </row>
    <row r="44" spans="1:26" s="24" customFormat="1" hidden="1" outlineLevel="1" x14ac:dyDescent="0.25">
      <c r="A44" s="50"/>
      <c r="B44" s="11" t="str">
        <f>CONCATENATE("          ", "5027", " - ", "PURCHASES @ COST-SCHOOL SUPPLI")</f>
        <v xml:space="preserve">          5027 - PURCHASES @ COST-SCHOOL SUPPLI</v>
      </c>
      <c r="C44" s="11"/>
      <c r="D44" s="3"/>
      <c r="E44" s="3"/>
      <c r="F44" s="22">
        <f t="shared" si="6"/>
        <v>0</v>
      </c>
      <c r="G44" s="3"/>
      <c r="H44" s="3">
        <v>50114.15</v>
      </c>
      <c r="I44" s="3"/>
      <c r="J44" s="22">
        <f t="shared" si="7"/>
        <v>2.6700803142239393</v>
      </c>
      <c r="K44" s="3"/>
      <c r="L44" s="3">
        <f t="shared" si="8"/>
        <v>-50114.15</v>
      </c>
      <c r="M44" s="3"/>
      <c r="N44" s="22">
        <f t="shared" si="9"/>
        <v>-1</v>
      </c>
      <c r="O44" s="11"/>
      <c r="P44" s="3"/>
      <c r="Q44" s="3"/>
      <c r="R44" s="22">
        <f t="shared" si="10"/>
        <v>0</v>
      </c>
      <c r="S44" s="3"/>
      <c r="T44" s="3">
        <v>50114.15</v>
      </c>
      <c r="U44" s="3"/>
      <c r="V44" s="22">
        <f t="shared" si="11"/>
        <v>2.6700803142239393</v>
      </c>
      <c r="W44" s="3"/>
      <c r="X44" s="3">
        <f t="shared" si="12"/>
        <v>-50114.15</v>
      </c>
      <c r="Y44" s="3"/>
      <c r="Z44" s="22">
        <f t="shared" si="13"/>
        <v>-1</v>
      </c>
    </row>
    <row r="45" spans="1:26" s="24" customFormat="1" hidden="1" outlineLevel="1" x14ac:dyDescent="0.25">
      <c r="A45" s="50"/>
      <c r="B45" s="11" t="str">
        <f>CONCATENATE("          ", "5028", " - ", "PURCHASES @ COST-ART/TECH")</f>
        <v xml:space="preserve">          5028 - PURCHASES @ COST-ART/TECH</v>
      </c>
      <c r="C45" s="11"/>
      <c r="D45" s="3"/>
      <c r="E45" s="3"/>
      <c r="F45" s="22">
        <f t="shared" si="6"/>
        <v>0</v>
      </c>
      <c r="G45" s="3"/>
      <c r="H45" s="3">
        <v>28027.649999999998</v>
      </c>
      <c r="I45" s="3"/>
      <c r="J45" s="22">
        <f t="shared" si="7"/>
        <v>1.49331229840192</v>
      </c>
      <c r="K45" s="3"/>
      <c r="L45" s="3">
        <f t="shared" si="8"/>
        <v>-28027.649999999998</v>
      </c>
      <c r="M45" s="3"/>
      <c r="N45" s="22">
        <f t="shared" si="9"/>
        <v>-1</v>
      </c>
      <c r="O45" s="11"/>
      <c r="P45" s="3"/>
      <c r="Q45" s="3"/>
      <c r="R45" s="22">
        <f t="shared" si="10"/>
        <v>0</v>
      </c>
      <c r="S45" s="3"/>
      <c r="T45" s="3">
        <v>28027.649999999998</v>
      </c>
      <c r="U45" s="3"/>
      <c r="V45" s="22">
        <f t="shared" si="11"/>
        <v>1.49331229840192</v>
      </c>
      <c r="W45" s="3"/>
      <c r="X45" s="3">
        <f t="shared" si="12"/>
        <v>-28027.649999999998</v>
      </c>
      <c r="Y45" s="3"/>
      <c r="Z45" s="22">
        <f t="shared" si="13"/>
        <v>-1</v>
      </c>
    </row>
    <row r="46" spans="1:26" s="24" customFormat="1" hidden="1" outlineLevel="1" x14ac:dyDescent="0.25">
      <c r="A46" s="50"/>
      <c r="B46" s="11" t="str">
        <f>CONCATENATE("          ", "5032", " - ", "PURCHASES @ COST-JUICE")</f>
        <v xml:space="preserve">          5032 - PURCHASES @ COST-JUICE</v>
      </c>
      <c r="C46" s="11"/>
      <c r="D46" s="3"/>
      <c r="E46" s="3"/>
      <c r="F46" s="22">
        <f t="shared" si="6"/>
        <v>0</v>
      </c>
      <c r="G46" s="3"/>
      <c r="H46" s="3">
        <v>114.42</v>
      </c>
      <c r="I46" s="3"/>
      <c r="J46" s="22">
        <f t="shared" si="7"/>
        <v>6.0962939519776972E-3</v>
      </c>
      <c r="K46" s="3"/>
      <c r="L46" s="3">
        <f t="shared" si="8"/>
        <v>-114.42</v>
      </c>
      <c r="M46" s="3"/>
      <c r="N46" s="22">
        <f t="shared" si="9"/>
        <v>-1</v>
      </c>
      <c r="O46" s="11"/>
      <c r="P46" s="3"/>
      <c r="Q46" s="3"/>
      <c r="R46" s="22">
        <f t="shared" si="10"/>
        <v>0</v>
      </c>
      <c r="S46" s="3"/>
      <c r="T46" s="3">
        <v>114.42</v>
      </c>
      <c r="U46" s="3"/>
      <c r="V46" s="22">
        <f t="shared" si="11"/>
        <v>6.0962939519776972E-3</v>
      </c>
      <c r="W46" s="3"/>
      <c r="X46" s="3">
        <f t="shared" si="12"/>
        <v>-114.42</v>
      </c>
      <c r="Y46" s="3"/>
      <c r="Z46" s="22">
        <f t="shared" si="13"/>
        <v>-1</v>
      </c>
    </row>
    <row r="47" spans="1:26" s="24" customFormat="1" hidden="1" outlineLevel="1" x14ac:dyDescent="0.25">
      <c r="A47" s="50"/>
      <c r="B47" s="11" t="str">
        <f>CONCATENATE("          ", "5034", " - ", "PURCHASES @ COST-SODA")</f>
        <v xml:space="preserve">          5034 - PURCHASES @ COST-SODA</v>
      </c>
      <c r="C47" s="11"/>
      <c r="D47" s="3"/>
      <c r="E47" s="3"/>
      <c r="F47" s="22">
        <f t="shared" si="6"/>
        <v>0</v>
      </c>
      <c r="G47" s="3"/>
      <c r="H47" s="3">
        <v>-61.54</v>
      </c>
      <c r="I47" s="3"/>
      <c r="J47" s="22">
        <f t="shared" si="7"/>
        <v>-3.2788492379366148E-3</v>
      </c>
      <c r="K47" s="3"/>
      <c r="L47" s="3">
        <f t="shared" si="8"/>
        <v>61.54</v>
      </c>
      <c r="M47" s="3"/>
      <c r="N47" s="22">
        <f t="shared" si="9"/>
        <v>-1</v>
      </c>
      <c r="O47" s="11"/>
      <c r="P47" s="3"/>
      <c r="Q47" s="3"/>
      <c r="R47" s="22">
        <f t="shared" si="10"/>
        <v>0</v>
      </c>
      <c r="S47" s="3"/>
      <c r="T47" s="3">
        <v>-61.54</v>
      </c>
      <c r="U47" s="3"/>
      <c r="V47" s="22">
        <f t="shared" si="11"/>
        <v>-3.2788492379366148E-3</v>
      </c>
      <c r="W47" s="3"/>
      <c r="X47" s="3">
        <f t="shared" si="12"/>
        <v>61.54</v>
      </c>
      <c r="Y47" s="3"/>
      <c r="Z47" s="22">
        <f t="shared" si="13"/>
        <v>-1</v>
      </c>
    </row>
    <row r="48" spans="1:26" s="24" customFormat="1" hidden="1" outlineLevel="1" x14ac:dyDescent="0.25">
      <c r="A48" s="50"/>
      <c r="B48" s="11" t="str">
        <f>CONCATENATE("          ", "5037", " - ", "PURCHASES @ COST-WATER")</f>
        <v xml:space="preserve">          5037 - PURCHASES @ COST-WATER</v>
      </c>
      <c r="C48" s="11"/>
      <c r="D48" s="3"/>
      <c r="E48" s="3"/>
      <c r="F48" s="22">
        <f t="shared" si="6"/>
        <v>0</v>
      </c>
      <c r="G48" s="3"/>
      <c r="H48" s="3">
        <v>16.54</v>
      </c>
      <c r="I48" s="3"/>
      <c r="J48" s="22">
        <f t="shared" si="7"/>
        <v>8.8125067265959717E-4</v>
      </c>
      <c r="K48" s="3"/>
      <c r="L48" s="3">
        <f t="shared" si="8"/>
        <v>-16.54</v>
      </c>
      <c r="M48" s="3"/>
      <c r="N48" s="22">
        <f t="shared" si="9"/>
        <v>-1</v>
      </c>
      <c r="O48" s="11"/>
      <c r="P48" s="3"/>
      <c r="Q48" s="3"/>
      <c r="R48" s="22">
        <f t="shared" si="10"/>
        <v>0</v>
      </c>
      <c r="S48" s="3"/>
      <c r="T48" s="3">
        <v>16.54</v>
      </c>
      <c r="U48" s="3"/>
      <c r="V48" s="22">
        <f t="shared" si="11"/>
        <v>8.8125067265959717E-4</v>
      </c>
      <c r="W48" s="3"/>
      <c r="X48" s="3">
        <f t="shared" si="12"/>
        <v>-16.54</v>
      </c>
      <c r="Y48" s="3"/>
      <c r="Z48" s="22">
        <f t="shared" si="13"/>
        <v>-1</v>
      </c>
    </row>
    <row r="49" spans="1:26" s="24" customFormat="1" hidden="1" outlineLevel="1" x14ac:dyDescent="0.25">
      <c r="A49" s="50"/>
      <c r="B49" s="11" t="str">
        <f>CONCATENATE("          ", "5200", " - ", "PURCHASES OFFSET")</f>
        <v xml:space="preserve">          5200 - PURCHASES OFFSET</v>
      </c>
      <c r="C49" s="11"/>
      <c r="D49" s="3"/>
      <c r="E49" s="3"/>
      <c r="F49" s="22">
        <f t="shared" si="6"/>
        <v>0</v>
      </c>
      <c r="G49" s="3"/>
      <c r="H49" s="3">
        <v>-89829</v>
      </c>
      <c r="I49" s="3"/>
      <c r="J49" s="22">
        <f t="shared" si="7"/>
        <v>-4.7860862560059827</v>
      </c>
      <c r="K49" s="3"/>
      <c r="L49" s="3">
        <f t="shared" si="8"/>
        <v>89829</v>
      </c>
      <c r="M49" s="3"/>
      <c r="N49" s="22">
        <f t="shared" si="9"/>
        <v>-1</v>
      </c>
      <c r="O49" s="11"/>
      <c r="P49" s="3"/>
      <c r="Q49" s="3"/>
      <c r="R49" s="22">
        <f t="shared" si="10"/>
        <v>0</v>
      </c>
      <c r="S49" s="3"/>
      <c r="T49" s="3">
        <v>-89829</v>
      </c>
      <c r="U49" s="3"/>
      <c r="V49" s="22">
        <f t="shared" si="11"/>
        <v>-4.7860862560059827</v>
      </c>
      <c r="W49" s="3"/>
      <c r="X49" s="3">
        <f t="shared" si="12"/>
        <v>89829</v>
      </c>
      <c r="Y49" s="3"/>
      <c r="Z49" s="22">
        <f t="shared" si="13"/>
        <v>-1</v>
      </c>
    </row>
    <row r="50" spans="1:26" s="24" customFormat="1" hidden="1" outlineLevel="1" x14ac:dyDescent="0.25">
      <c r="A50" s="50"/>
      <c r="B50" s="11" t="str">
        <f>CONCATENATE("          ", "5300", " - ", "COG$ OFFSET")</f>
        <v xml:space="preserve">          5300 - COG$ OFFSET</v>
      </c>
      <c r="C50" s="11"/>
      <c r="D50" s="3"/>
      <c r="E50" s="3"/>
      <c r="F50" s="22">
        <f t="shared" si="6"/>
        <v>0</v>
      </c>
      <c r="G50" s="3"/>
      <c r="H50" s="3">
        <v>9464</v>
      </c>
      <c r="I50" s="3"/>
      <c r="J50" s="22">
        <f t="shared" si="7"/>
        <v>0.50424161826181546</v>
      </c>
      <c r="K50" s="3"/>
      <c r="L50" s="3">
        <f t="shared" si="8"/>
        <v>-9464</v>
      </c>
      <c r="M50" s="3"/>
      <c r="N50" s="22">
        <f t="shared" si="9"/>
        <v>-1</v>
      </c>
      <c r="O50" s="11"/>
      <c r="P50" s="3"/>
      <c r="Q50" s="3"/>
      <c r="R50" s="22">
        <f t="shared" si="10"/>
        <v>0</v>
      </c>
      <c r="S50" s="3"/>
      <c r="T50" s="3">
        <v>9464</v>
      </c>
      <c r="U50" s="3"/>
      <c r="V50" s="22">
        <f t="shared" si="11"/>
        <v>0.50424161826181546</v>
      </c>
      <c r="W50" s="3"/>
      <c r="X50" s="3">
        <f t="shared" si="12"/>
        <v>-9464</v>
      </c>
      <c r="Y50" s="3"/>
      <c r="Z50" s="22">
        <f t="shared" si="13"/>
        <v>-1</v>
      </c>
    </row>
    <row r="51" spans="1:26" s="24" customFormat="1" hidden="1" outlineLevel="1" x14ac:dyDescent="0.25">
      <c r="A51" s="50"/>
      <c r="B51" s="11" t="str">
        <f>CONCATENATE("          ", "5500", " - ", "FREIGHT-IN")</f>
        <v xml:space="preserve">          5500 - FREIGHT-IN</v>
      </c>
      <c r="C51" s="11"/>
      <c r="D51" s="3"/>
      <c r="E51" s="3"/>
      <c r="F51" s="22">
        <f t="shared" si="6"/>
        <v>0</v>
      </c>
      <c r="G51" s="3"/>
      <c r="H51" s="3">
        <v>49</v>
      </c>
      <c r="I51" s="3"/>
      <c r="J51" s="22">
        <f t="shared" si="7"/>
        <v>2.6107184377460861E-3</v>
      </c>
      <c r="K51" s="3"/>
      <c r="L51" s="3">
        <f t="shared" si="8"/>
        <v>-49</v>
      </c>
      <c r="M51" s="3"/>
      <c r="N51" s="22">
        <f t="shared" si="9"/>
        <v>-1</v>
      </c>
      <c r="O51" s="11"/>
      <c r="P51" s="3"/>
      <c r="Q51" s="3"/>
      <c r="R51" s="22">
        <f t="shared" si="10"/>
        <v>0</v>
      </c>
      <c r="S51" s="3"/>
      <c r="T51" s="3">
        <v>49</v>
      </c>
      <c r="U51" s="3"/>
      <c r="V51" s="22">
        <f t="shared" si="11"/>
        <v>2.6107184377460861E-3</v>
      </c>
      <c r="W51" s="3"/>
      <c r="X51" s="3">
        <f t="shared" si="12"/>
        <v>-49</v>
      </c>
      <c r="Y51" s="3"/>
      <c r="Z51" s="22">
        <f t="shared" si="13"/>
        <v>-1</v>
      </c>
    </row>
    <row r="52" spans="1:26" s="24" customFormat="1" hidden="1" outlineLevel="1" x14ac:dyDescent="0.25">
      <c r="A52" s="50"/>
      <c r="B52" s="11" t="str">
        <f>CONCATENATE("          ", "5526", " - ", "FREIGHT-IN-WRITING INSTRUMENTS")</f>
        <v xml:space="preserve">          5526 - FREIGHT-IN-WRITING INSTRUMENTS</v>
      </c>
      <c r="C52" s="11"/>
      <c r="D52" s="3"/>
      <c r="E52" s="3"/>
      <c r="F52" s="22">
        <f t="shared" si="6"/>
        <v>0</v>
      </c>
      <c r="G52" s="3"/>
      <c r="H52" s="3">
        <v>39.11</v>
      </c>
      <c r="I52" s="3"/>
      <c r="J52" s="22">
        <f t="shared" si="7"/>
        <v>2.0837795530663145E-3</v>
      </c>
      <c r="K52" s="3"/>
      <c r="L52" s="3">
        <f t="shared" si="8"/>
        <v>-39.11</v>
      </c>
      <c r="M52" s="3"/>
      <c r="N52" s="22">
        <f t="shared" si="9"/>
        <v>-1</v>
      </c>
      <c r="O52" s="11"/>
      <c r="P52" s="3"/>
      <c r="Q52" s="3"/>
      <c r="R52" s="22">
        <f t="shared" si="10"/>
        <v>0</v>
      </c>
      <c r="S52" s="3"/>
      <c r="T52" s="3">
        <v>39.11</v>
      </c>
      <c r="U52" s="3"/>
      <c r="V52" s="22">
        <f t="shared" si="11"/>
        <v>2.0837795530663145E-3</v>
      </c>
      <c r="W52" s="3"/>
      <c r="X52" s="3">
        <f t="shared" si="12"/>
        <v>-39.11</v>
      </c>
      <c r="Y52" s="3"/>
      <c r="Z52" s="22">
        <f t="shared" si="13"/>
        <v>-1</v>
      </c>
    </row>
    <row r="53" spans="1:26" s="24" customFormat="1" hidden="1" outlineLevel="1" x14ac:dyDescent="0.25">
      <c r="A53" s="50"/>
      <c r="B53" s="11" t="str">
        <f>CONCATENATE("          ", "5527", " - ", "FREIGHT-IN-SCHOOL SUPPLIES")</f>
        <v xml:space="preserve">          5527 - FREIGHT-IN-SCHOOL SUPPLIES</v>
      </c>
      <c r="C53" s="11"/>
      <c r="D53" s="3"/>
      <c r="E53" s="3"/>
      <c r="F53" s="22">
        <f t="shared" si="6"/>
        <v>0</v>
      </c>
      <c r="G53" s="3"/>
      <c r="H53" s="3">
        <v>250.02</v>
      </c>
      <c r="I53" s="3"/>
      <c r="J53" s="22">
        <f t="shared" si="7"/>
        <v>1.3321057628679111E-2</v>
      </c>
      <c r="K53" s="3"/>
      <c r="L53" s="3">
        <f t="shared" si="8"/>
        <v>-250.02</v>
      </c>
      <c r="M53" s="3"/>
      <c r="N53" s="22">
        <f t="shared" si="9"/>
        <v>-1</v>
      </c>
      <c r="O53" s="11"/>
      <c r="P53" s="3"/>
      <c r="Q53" s="3"/>
      <c r="R53" s="22">
        <f t="shared" si="10"/>
        <v>0</v>
      </c>
      <c r="S53" s="3"/>
      <c r="T53" s="3">
        <v>250.02</v>
      </c>
      <c r="U53" s="3"/>
      <c r="V53" s="22">
        <f t="shared" si="11"/>
        <v>1.3321057628679111E-2</v>
      </c>
      <c r="W53" s="3"/>
      <c r="X53" s="3">
        <f t="shared" si="12"/>
        <v>-250.02</v>
      </c>
      <c r="Y53" s="3"/>
      <c r="Z53" s="22">
        <f t="shared" si="13"/>
        <v>-1</v>
      </c>
    </row>
    <row r="54" spans="1:26" s="24" customFormat="1" hidden="1" outlineLevel="1" x14ac:dyDescent="0.25">
      <c r="A54" s="50"/>
      <c r="B54" s="11" t="str">
        <f>CONCATENATE("          ", "5528", " - ", "FREIGHT-IN-ART/TECH")</f>
        <v xml:space="preserve">          5528 - FREIGHT-IN-ART/TECH</v>
      </c>
      <c r="C54" s="11"/>
      <c r="D54" s="3">
        <v>38.049999999999997</v>
      </c>
      <c r="E54" s="3"/>
      <c r="F54" s="22">
        <f t="shared" si="6"/>
        <v>0</v>
      </c>
      <c r="G54" s="3"/>
      <c r="H54" s="3">
        <v>44.35</v>
      </c>
      <c r="I54" s="3"/>
      <c r="J54" s="22">
        <f t="shared" si="7"/>
        <v>2.3629665860007941E-3</v>
      </c>
      <c r="K54" s="3"/>
      <c r="L54" s="3">
        <f t="shared" si="8"/>
        <v>-6.3000000000000043</v>
      </c>
      <c r="M54" s="3"/>
      <c r="N54" s="22">
        <f t="shared" si="9"/>
        <v>-0.14205186020293131</v>
      </c>
      <c r="O54" s="11"/>
      <c r="P54" s="3">
        <v>38.049999999999997</v>
      </c>
      <c r="Q54" s="3"/>
      <c r="R54" s="22">
        <f t="shared" si="10"/>
        <v>0</v>
      </c>
      <c r="S54" s="3"/>
      <c r="T54" s="3">
        <v>44.35</v>
      </c>
      <c r="U54" s="3"/>
      <c r="V54" s="22">
        <f t="shared" si="11"/>
        <v>2.3629665860007941E-3</v>
      </c>
      <c r="W54" s="3"/>
      <c r="X54" s="3">
        <f t="shared" si="12"/>
        <v>-6.3000000000000043</v>
      </c>
      <c r="Y54" s="3"/>
      <c r="Z54" s="22">
        <f t="shared" si="13"/>
        <v>-0.14205186020293131</v>
      </c>
    </row>
    <row r="55" spans="1:26" x14ac:dyDescent="0.25">
      <c r="A55" s="9"/>
      <c r="B55" s="10"/>
      <c r="C55" s="10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10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3" customFormat="1" x14ac:dyDescent="0.25">
      <c r="A56" s="10"/>
      <c r="B56" s="26" t="s">
        <v>6</v>
      </c>
      <c r="C56" s="26"/>
      <c r="D56" s="19">
        <f>D12-D41</f>
        <v>-38.049999999999997</v>
      </c>
      <c r="E56" s="13"/>
      <c r="F56" s="20">
        <f>IF(D$12=0,0,D56/D$12)</f>
        <v>0</v>
      </c>
      <c r="G56" s="13"/>
      <c r="H56" s="19">
        <f>H12-H41</f>
        <v>9255.2000000000135</v>
      </c>
      <c r="I56" s="13"/>
      <c r="J56" s="20">
        <f>IF(H$12=0,0,H56/H$12)</f>
        <v>0.49311676091893081</v>
      </c>
      <c r="K56" s="16"/>
      <c r="L56" s="19">
        <f>+D56-H56</f>
        <v>-9293.2500000000127</v>
      </c>
      <c r="M56" s="16"/>
      <c r="N56" s="20">
        <f>IF(H56=0,0,L56/H56)</f>
        <v>-1.0041112023511107</v>
      </c>
      <c r="O56" s="25"/>
      <c r="P56" s="19">
        <f>P12-P41</f>
        <v>-38.049999999999997</v>
      </c>
      <c r="Q56" s="13"/>
      <c r="R56" s="20">
        <f>IF(P$12=0,0,P56/P$12)</f>
        <v>0</v>
      </c>
      <c r="S56" s="13"/>
      <c r="T56" s="19">
        <f>T12-T41</f>
        <v>9255.2000000000135</v>
      </c>
      <c r="U56" s="13"/>
      <c r="V56" s="20">
        <f>IF(T$12=0,0,T56/T$12)</f>
        <v>0.49311676091893081</v>
      </c>
      <c r="W56" s="16"/>
      <c r="X56" s="19">
        <f>+P56-T56</f>
        <v>-9293.2500000000127</v>
      </c>
      <c r="Y56" s="16"/>
      <c r="Z56" s="20">
        <f>IF(T56=0,0,X56/T56)</f>
        <v>-1.0041112023511107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9</v>
      </c>
      <c r="C58" s="10"/>
      <c r="D58" s="21">
        <f>SUM(OSRRefD22x_0)</f>
        <v>1103.3499999999999</v>
      </c>
      <c r="E58" s="21"/>
      <c r="F58" s="34">
        <f t="shared" ref="F58:F67" si="14">IF(D$12=0,0,D58/D$12)</f>
        <v>0</v>
      </c>
      <c r="G58" s="21"/>
      <c r="H58" s="21">
        <f>SUM(OSRRefH22x_0)</f>
        <v>23459.34</v>
      </c>
      <c r="I58" s="21"/>
      <c r="J58" s="34">
        <f t="shared" ref="J58:J67" si="15">IF(H$12=0,0,H58/H$12)</f>
        <v>1.2499128872521279</v>
      </c>
      <c r="K58" s="4"/>
      <c r="L58" s="21">
        <f t="shared" ref="L58:L67" si="16">+D58-H58</f>
        <v>-22355.99</v>
      </c>
      <c r="M58" s="4"/>
      <c r="N58" s="34">
        <f t="shared" ref="N58:N67" si="17">IF(H58=0,0,L58/H58)</f>
        <v>-0.95296756004218364</v>
      </c>
      <c r="O58" s="10"/>
      <c r="P58" s="21">
        <f>SUM(OSRRefP22x_0)</f>
        <v>1103.3499999999999</v>
      </c>
      <c r="Q58" s="21"/>
      <c r="R58" s="34">
        <f t="shared" ref="R58:R67" si="18">IF(P$12=0,0,P58/P$12)</f>
        <v>0</v>
      </c>
      <c r="S58" s="21"/>
      <c r="T58" s="21">
        <f>SUM(OSRRefT22x_0)</f>
        <v>23459.34</v>
      </c>
      <c r="U58" s="21"/>
      <c r="V58" s="34">
        <f t="shared" ref="V58:V67" si="19">IF(T$12=0,0,T58/T$12)</f>
        <v>1.2499128872521279</v>
      </c>
      <c r="W58" s="4"/>
      <c r="X58" s="21">
        <f t="shared" ref="X58:X67" si="20">+P58-T58</f>
        <v>-22355.99</v>
      </c>
      <c r="Y58" s="4"/>
      <c r="Z58" s="34">
        <f t="shared" ref="Z58:Z67" si="21">IF(T58=0,0,X58/T58)</f>
        <v>-0.95296756004218364</v>
      </c>
    </row>
    <row r="59" spans="1:26" s="27" customFormat="1" outlineLevel="1" collapsed="1" x14ac:dyDescent="0.25">
      <c r="A59" s="28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0</v>
      </c>
      <c r="E59" s="1"/>
      <c r="F59" s="5">
        <f t="shared" si="14"/>
        <v>0</v>
      </c>
      <c r="G59" s="1"/>
      <c r="H59" s="1">
        <f>SUM(OSRRefH22_0x_0)</f>
        <v>3962.03</v>
      </c>
      <c r="I59" s="1"/>
      <c r="J59" s="5">
        <f t="shared" si="15"/>
        <v>0.21109683207965563</v>
      </c>
      <c r="K59" s="1"/>
      <c r="L59" s="1">
        <f t="shared" si="16"/>
        <v>-3962.03</v>
      </c>
      <c r="M59" s="1"/>
      <c r="N59" s="5">
        <f t="shared" si="17"/>
        <v>-1</v>
      </c>
      <c r="O59" s="14"/>
      <c r="P59" s="1">
        <f>SUM(OSRRefP22_0x_0)</f>
        <v>0</v>
      </c>
      <c r="Q59" s="1"/>
      <c r="R59" s="5">
        <f t="shared" si="18"/>
        <v>0</v>
      </c>
      <c r="S59" s="1"/>
      <c r="T59" s="1">
        <f>SUM(OSRRefT22_0x_0)</f>
        <v>3962.03</v>
      </c>
      <c r="U59" s="1"/>
      <c r="V59" s="5">
        <f t="shared" si="19"/>
        <v>0.21109683207965563</v>
      </c>
      <c r="W59" s="1"/>
      <c r="X59" s="1">
        <f t="shared" si="20"/>
        <v>-3962.03</v>
      </c>
      <c r="Y59" s="1"/>
      <c r="Z59" s="5">
        <f t="shared" si="21"/>
        <v>-1</v>
      </c>
    </row>
    <row r="60" spans="1:26" s="24" customFormat="1" hidden="1" outlineLevel="2" x14ac:dyDescent="0.25">
      <c r="A60" s="29"/>
      <c r="B60" s="11" t="str">
        <f>CONCATENATE("          ", "6111", " - ", "F.I.C.A.")</f>
        <v xml:space="preserve">          6111 - F.I.C.A.</v>
      </c>
      <c r="C60" s="11"/>
      <c r="D60" s="8"/>
      <c r="E60" s="3"/>
      <c r="F60" s="7">
        <f t="shared" si="14"/>
        <v>0</v>
      </c>
      <c r="G60" s="3"/>
      <c r="H60" s="8">
        <v>838.94</v>
      </c>
      <c r="I60" s="3"/>
      <c r="J60" s="7">
        <f t="shared" si="15"/>
        <v>4.4698696452300034E-2</v>
      </c>
      <c r="K60" s="3"/>
      <c r="L60" s="8">
        <f t="shared" si="16"/>
        <v>-838.94</v>
      </c>
      <c r="M60" s="3"/>
      <c r="N60" s="7">
        <f t="shared" si="17"/>
        <v>-1</v>
      </c>
      <c r="O60" s="11"/>
      <c r="P60" s="8"/>
      <c r="Q60" s="3"/>
      <c r="R60" s="7">
        <f t="shared" si="18"/>
        <v>0</v>
      </c>
      <c r="S60" s="3"/>
      <c r="T60" s="8">
        <v>838.94</v>
      </c>
      <c r="U60" s="3"/>
      <c r="V60" s="7">
        <f t="shared" si="19"/>
        <v>4.4698696452300034E-2</v>
      </c>
      <c r="W60" s="3"/>
      <c r="X60" s="8">
        <f t="shared" si="20"/>
        <v>-838.94</v>
      </c>
      <c r="Y60" s="3"/>
      <c r="Z60" s="7">
        <f t="shared" si="21"/>
        <v>-1</v>
      </c>
    </row>
    <row r="61" spans="1:26" s="24" customFormat="1" hidden="1" outlineLevel="2" x14ac:dyDescent="0.25">
      <c r="A61" s="29"/>
      <c r="B61" s="11" t="str">
        <f>CONCATENATE("          ", "6112", " - ", "COMPENSATION INSURANCE")</f>
        <v xml:space="preserve">          6112 - COMPENSATION INSURANCE</v>
      </c>
      <c r="C61" s="11"/>
      <c r="D61" s="8"/>
      <c r="E61" s="3"/>
      <c r="F61" s="7">
        <f t="shared" si="14"/>
        <v>0</v>
      </c>
      <c r="G61" s="3"/>
      <c r="H61" s="8">
        <v>207.85</v>
      </c>
      <c r="I61" s="3"/>
      <c r="J61" s="7">
        <f t="shared" si="15"/>
        <v>1.1074241373173959E-2</v>
      </c>
      <c r="K61" s="3"/>
      <c r="L61" s="8">
        <f t="shared" si="16"/>
        <v>-207.85</v>
      </c>
      <c r="M61" s="3"/>
      <c r="N61" s="7">
        <f t="shared" si="17"/>
        <v>-1</v>
      </c>
      <c r="O61" s="11"/>
      <c r="P61" s="8"/>
      <c r="Q61" s="3"/>
      <c r="R61" s="7">
        <f t="shared" si="18"/>
        <v>0</v>
      </c>
      <c r="S61" s="3"/>
      <c r="T61" s="8">
        <v>207.85</v>
      </c>
      <c r="U61" s="3"/>
      <c r="V61" s="7">
        <f t="shared" si="19"/>
        <v>1.1074241373173959E-2</v>
      </c>
      <c r="W61" s="3"/>
      <c r="X61" s="8">
        <f t="shared" si="20"/>
        <v>-207.85</v>
      </c>
      <c r="Y61" s="3"/>
      <c r="Z61" s="7">
        <f t="shared" si="21"/>
        <v>-1</v>
      </c>
    </row>
    <row r="62" spans="1:26" s="24" customFormat="1" hidden="1" outlineLevel="2" x14ac:dyDescent="0.25">
      <c r="A62" s="29"/>
      <c r="B62" s="11" t="str">
        <f>CONCATENATE("          ", "6113", " - ", "GROUP INSURANCE")</f>
        <v xml:space="preserve">          6113 - GROUP INSURANCE</v>
      </c>
      <c r="C62" s="11"/>
      <c r="D62" s="8"/>
      <c r="E62" s="3"/>
      <c r="F62" s="7">
        <f t="shared" si="14"/>
        <v>0</v>
      </c>
      <c r="G62" s="3"/>
      <c r="H62" s="8">
        <v>1412.76</v>
      </c>
      <c r="I62" s="3"/>
      <c r="J62" s="7">
        <f t="shared" si="15"/>
        <v>7.5271807757350206E-2</v>
      </c>
      <c r="K62" s="3"/>
      <c r="L62" s="8">
        <f t="shared" si="16"/>
        <v>-1412.76</v>
      </c>
      <c r="M62" s="3"/>
      <c r="N62" s="7">
        <f t="shared" si="17"/>
        <v>-1</v>
      </c>
      <c r="O62" s="11"/>
      <c r="P62" s="8"/>
      <c r="Q62" s="3"/>
      <c r="R62" s="7">
        <f t="shared" si="18"/>
        <v>0</v>
      </c>
      <c r="S62" s="3"/>
      <c r="T62" s="8">
        <v>1412.76</v>
      </c>
      <c r="U62" s="3"/>
      <c r="V62" s="7">
        <f t="shared" si="19"/>
        <v>7.5271807757350206E-2</v>
      </c>
      <c r="W62" s="3"/>
      <c r="X62" s="8">
        <f t="shared" si="20"/>
        <v>-1412.76</v>
      </c>
      <c r="Y62" s="3"/>
      <c r="Z62" s="7">
        <f t="shared" si="21"/>
        <v>-1</v>
      </c>
    </row>
    <row r="63" spans="1:26" s="24" customFormat="1" hidden="1" outlineLevel="2" x14ac:dyDescent="0.25">
      <c r="A63" s="29"/>
      <c r="B63" s="11" t="str">
        <f>CONCATENATE("          ", "6114", " - ", "STATE UNEMPLOYMENT INSURANCE")</f>
        <v xml:space="preserve">          6114 - STATE UNEMPLOYMENT INSURANCE</v>
      </c>
      <c r="C63" s="11"/>
      <c r="D63" s="8"/>
      <c r="E63" s="3"/>
      <c r="F63" s="7">
        <f t="shared" si="14"/>
        <v>0</v>
      </c>
      <c r="G63" s="3"/>
      <c r="H63" s="8">
        <v>28.44</v>
      </c>
      <c r="I63" s="3"/>
      <c r="J63" s="7">
        <f t="shared" si="15"/>
        <v>1.5152822932550753E-3</v>
      </c>
      <c r="K63" s="3"/>
      <c r="L63" s="8">
        <f t="shared" si="16"/>
        <v>-28.44</v>
      </c>
      <c r="M63" s="3"/>
      <c r="N63" s="7">
        <f t="shared" si="17"/>
        <v>-1</v>
      </c>
      <c r="O63" s="11"/>
      <c r="P63" s="8"/>
      <c r="Q63" s="3"/>
      <c r="R63" s="7">
        <f t="shared" si="18"/>
        <v>0</v>
      </c>
      <c r="S63" s="3"/>
      <c r="T63" s="8">
        <v>28.44</v>
      </c>
      <c r="U63" s="3"/>
      <c r="V63" s="7">
        <f t="shared" si="19"/>
        <v>1.5152822932550753E-3</v>
      </c>
      <c r="W63" s="3"/>
      <c r="X63" s="8">
        <f t="shared" si="20"/>
        <v>-28.44</v>
      </c>
      <c r="Y63" s="3"/>
      <c r="Z63" s="7">
        <f t="shared" si="21"/>
        <v>-1</v>
      </c>
    </row>
    <row r="64" spans="1:26" s="24" customFormat="1" hidden="1" outlineLevel="2" x14ac:dyDescent="0.25">
      <c r="A64" s="29"/>
      <c r="B64" s="11" t="str">
        <f>CONCATENATE("          ", "6115", " - ", "P.E.R.S.")</f>
        <v xml:space="preserve">          6115 - P.E.R.S.</v>
      </c>
      <c r="C64" s="11"/>
      <c r="D64" s="8"/>
      <c r="E64" s="3"/>
      <c r="F64" s="7">
        <f t="shared" si="14"/>
        <v>0</v>
      </c>
      <c r="G64" s="3"/>
      <c r="H64" s="8">
        <v>384.57</v>
      </c>
      <c r="I64" s="3"/>
      <c r="J64" s="7">
        <f t="shared" si="15"/>
        <v>2.0489877338857394E-2</v>
      </c>
      <c r="K64" s="3"/>
      <c r="L64" s="8">
        <f t="shared" si="16"/>
        <v>-384.57</v>
      </c>
      <c r="M64" s="3"/>
      <c r="N64" s="7">
        <f t="shared" si="17"/>
        <v>-1</v>
      </c>
      <c r="O64" s="11"/>
      <c r="P64" s="8"/>
      <c r="Q64" s="3"/>
      <c r="R64" s="7">
        <f t="shared" si="18"/>
        <v>0</v>
      </c>
      <c r="S64" s="3"/>
      <c r="T64" s="8">
        <v>384.57</v>
      </c>
      <c r="U64" s="3"/>
      <c r="V64" s="7">
        <f t="shared" si="19"/>
        <v>2.0489877338857394E-2</v>
      </c>
      <c r="W64" s="3"/>
      <c r="X64" s="8">
        <f t="shared" si="20"/>
        <v>-384.57</v>
      </c>
      <c r="Y64" s="3"/>
      <c r="Z64" s="7">
        <f t="shared" si="21"/>
        <v>-1</v>
      </c>
    </row>
    <row r="65" spans="1:26" s="24" customFormat="1" hidden="1" outlineLevel="2" x14ac:dyDescent="0.25">
      <c r="A65" s="29"/>
      <c r="B65" s="11" t="str">
        <f>CONCATENATE("          ", "6118", " - ", "VACATION")</f>
        <v xml:space="preserve">          6118 - VACATION</v>
      </c>
      <c r="C65" s="11"/>
      <c r="D65" s="8"/>
      <c r="E65" s="3"/>
      <c r="F65" s="7">
        <f t="shared" si="14"/>
        <v>0</v>
      </c>
      <c r="G65" s="3"/>
      <c r="H65" s="8">
        <v>479.28</v>
      </c>
      <c r="I65" s="3"/>
      <c r="J65" s="7">
        <f t="shared" si="15"/>
        <v>2.5536023119243755E-2</v>
      </c>
      <c r="K65" s="3"/>
      <c r="L65" s="8">
        <f t="shared" si="16"/>
        <v>-479.28</v>
      </c>
      <c r="M65" s="3"/>
      <c r="N65" s="7">
        <f t="shared" si="17"/>
        <v>-1</v>
      </c>
      <c r="O65" s="11"/>
      <c r="P65" s="8"/>
      <c r="Q65" s="3"/>
      <c r="R65" s="7">
        <f t="shared" si="18"/>
        <v>0</v>
      </c>
      <c r="S65" s="3"/>
      <c r="T65" s="8">
        <v>479.28</v>
      </c>
      <c r="U65" s="3"/>
      <c r="V65" s="7">
        <f t="shared" si="19"/>
        <v>2.5536023119243755E-2</v>
      </c>
      <c r="W65" s="3"/>
      <c r="X65" s="8">
        <f t="shared" si="20"/>
        <v>-479.28</v>
      </c>
      <c r="Y65" s="3"/>
      <c r="Z65" s="7">
        <f t="shared" si="21"/>
        <v>-1</v>
      </c>
    </row>
    <row r="66" spans="1:26" s="24" customFormat="1" hidden="1" outlineLevel="2" x14ac:dyDescent="0.25">
      <c r="A66" s="29"/>
      <c r="B66" s="11" t="str">
        <f>CONCATENATE("          ", "6119", " - ", "SICK LEAVE")</f>
        <v xml:space="preserve">          6119 - SICK LEAVE</v>
      </c>
      <c r="C66" s="11"/>
      <c r="D66" s="8"/>
      <c r="E66" s="3"/>
      <c r="F66" s="7">
        <f t="shared" si="14"/>
        <v>0</v>
      </c>
      <c r="G66" s="3"/>
      <c r="H66" s="8">
        <v>461.46</v>
      </c>
      <c r="I66" s="3"/>
      <c r="J66" s="7">
        <f t="shared" si="15"/>
        <v>2.4586574087394057E-2</v>
      </c>
      <c r="K66" s="3"/>
      <c r="L66" s="8">
        <f t="shared" si="16"/>
        <v>-461.46</v>
      </c>
      <c r="M66" s="3"/>
      <c r="N66" s="7">
        <f t="shared" si="17"/>
        <v>-1</v>
      </c>
      <c r="O66" s="11"/>
      <c r="P66" s="8"/>
      <c r="Q66" s="3"/>
      <c r="R66" s="7">
        <f t="shared" si="18"/>
        <v>0</v>
      </c>
      <c r="S66" s="3"/>
      <c r="T66" s="8">
        <v>461.46</v>
      </c>
      <c r="U66" s="3"/>
      <c r="V66" s="7">
        <f t="shared" si="19"/>
        <v>2.4586574087394057E-2</v>
      </c>
      <c r="W66" s="3"/>
      <c r="X66" s="8">
        <f t="shared" si="20"/>
        <v>-461.46</v>
      </c>
      <c r="Y66" s="3"/>
      <c r="Z66" s="7">
        <f t="shared" si="21"/>
        <v>-1</v>
      </c>
    </row>
    <row r="67" spans="1:26" s="24" customFormat="1" hidden="1" outlineLevel="2" x14ac:dyDescent="0.25">
      <c r="A67" s="29"/>
      <c r="B67" s="11" t="str">
        <f>CONCATENATE("          ", "6156", " - ", "EMPLOYEE MEALS")</f>
        <v xml:space="preserve">          6156 - EMPLOYEE MEALS</v>
      </c>
      <c r="C67" s="11"/>
      <c r="D67" s="8"/>
      <c r="E67" s="3"/>
      <c r="F67" s="7">
        <f t="shared" si="14"/>
        <v>0</v>
      </c>
      <c r="G67" s="3"/>
      <c r="H67" s="8">
        <v>148.72999999999999</v>
      </c>
      <c r="I67" s="3"/>
      <c r="J67" s="7">
        <f t="shared" si="15"/>
        <v>7.9243296580811303E-3</v>
      </c>
      <c r="K67" s="3"/>
      <c r="L67" s="8">
        <f t="shared" si="16"/>
        <v>-148.72999999999999</v>
      </c>
      <c r="M67" s="3"/>
      <c r="N67" s="7">
        <f t="shared" si="17"/>
        <v>-1</v>
      </c>
      <c r="O67" s="11"/>
      <c r="P67" s="8"/>
      <c r="Q67" s="3"/>
      <c r="R67" s="7">
        <f t="shared" si="18"/>
        <v>0</v>
      </c>
      <c r="S67" s="3"/>
      <c r="T67" s="8">
        <v>148.72999999999999</v>
      </c>
      <c r="U67" s="3"/>
      <c r="V67" s="7">
        <f t="shared" si="19"/>
        <v>7.9243296580811303E-3</v>
      </c>
      <c r="W67" s="3"/>
      <c r="X67" s="8">
        <f t="shared" si="20"/>
        <v>-148.72999999999999</v>
      </c>
      <c r="Y67" s="3"/>
      <c r="Z67" s="7">
        <f t="shared" si="21"/>
        <v>-1</v>
      </c>
    </row>
    <row r="68" spans="1:26" s="27" customFormat="1" outlineLevel="1" collapsed="1" x14ac:dyDescent="0.25">
      <c r="A68" s="28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0</v>
      </c>
      <c r="E68" s="1"/>
      <c r="F68" s="5">
        <f t="shared" ref="F68:F71" si="22">IF(D$12=0,0,D68/D$12)</f>
        <v>0</v>
      </c>
      <c r="G68" s="1"/>
      <c r="H68" s="1">
        <f>SUM(OSRRefH22_1x_0)</f>
        <v>15323.98</v>
      </c>
      <c r="I68" s="1"/>
      <c r="J68" s="5">
        <f t="shared" ref="J68:J71" si="23">IF(H$12=0,0,H68/H$12)</f>
        <v>0.81646116582963812</v>
      </c>
      <c r="K68" s="1"/>
      <c r="L68" s="1">
        <f t="shared" ref="L68:L71" si="24">+D68-H68</f>
        <v>-15323.98</v>
      </c>
      <c r="M68" s="1"/>
      <c r="N68" s="5">
        <f t="shared" ref="N68:N71" si="25">IF(H68=0,0,L68/H68)</f>
        <v>-1</v>
      </c>
      <c r="O68" s="14"/>
      <c r="P68" s="1">
        <f>SUM(OSRRefP22_1x_0)</f>
        <v>0</v>
      </c>
      <c r="Q68" s="1"/>
      <c r="R68" s="5">
        <f t="shared" ref="R68:R71" si="26">IF(P$12=0,0,P68/P$12)</f>
        <v>0</v>
      </c>
      <c r="S68" s="1"/>
      <c r="T68" s="1">
        <f>SUM(OSRRefT22_1x_0)</f>
        <v>15323.98</v>
      </c>
      <c r="U68" s="1"/>
      <c r="V68" s="5">
        <f t="shared" ref="V68:V71" si="27">IF(T$12=0,0,T68/T$12)</f>
        <v>0.81646116582963812</v>
      </c>
      <c r="W68" s="1"/>
      <c r="X68" s="1">
        <f t="shared" ref="X68:X71" si="28">+P68-T68</f>
        <v>-15323.98</v>
      </c>
      <c r="Y68" s="1"/>
      <c r="Z68" s="5">
        <f t="shared" ref="Z68:Z71" si="29">IF(T68=0,0,X68/T68)</f>
        <v>-1</v>
      </c>
    </row>
    <row r="69" spans="1:26" s="24" customFormat="1" hidden="1" outlineLevel="2" x14ac:dyDescent="0.25">
      <c r="A69" s="29"/>
      <c r="B69" s="11" t="str">
        <f>CONCATENATE("          ", "6002", " - ", "STAFF SALARIES")</f>
        <v xml:space="preserve">          6002 - STAFF SALARIES</v>
      </c>
      <c r="C69" s="11"/>
      <c r="D69" s="8"/>
      <c r="E69" s="3"/>
      <c r="F69" s="7">
        <f t="shared" si="22"/>
        <v>0</v>
      </c>
      <c r="G69" s="3"/>
      <c r="H69" s="8">
        <v>8779.41</v>
      </c>
      <c r="I69" s="3"/>
      <c r="J69" s="7">
        <f t="shared" si="23"/>
        <v>0.46776668488841561</v>
      </c>
      <c r="K69" s="3"/>
      <c r="L69" s="8">
        <f t="shared" si="24"/>
        <v>-8779.41</v>
      </c>
      <c r="M69" s="3"/>
      <c r="N69" s="7">
        <f t="shared" si="25"/>
        <v>-1</v>
      </c>
      <c r="O69" s="11"/>
      <c r="P69" s="8"/>
      <c r="Q69" s="3"/>
      <c r="R69" s="7">
        <f t="shared" si="26"/>
        <v>0</v>
      </c>
      <c r="S69" s="3"/>
      <c r="T69" s="8">
        <v>8779.41</v>
      </c>
      <c r="U69" s="3"/>
      <c r="V69" s="7">
        <f t="shared" si="27"/>
        <v>0.46776668488841561</v>
      </c>
      <c r="W69" s="3"/>
      <c r="X69" s="8">
        <f t="shared" si="28"/>
        <v>-8779.41</v>
      </c>
      <c r="Y69" s="3"/>
      <c r="Z69" s="7">
        <f t="shared" si="29"/>
        <v>-1</v>
      </c>
    </row>
    <row r="70" spans="1:26" s="24" customFormat="1" hidden="1" outlineLevel="2" x14ac:dyDescent="0.25">
      <c r="A70" s="29"/>
      <c r="B70" s="11" t="str">
        <f>CONCATENATE("          ", "6006", " - ", "TEMPORARY PART TIME")</f>
        <v xml:space="preserve">          6006 - TEMPORARY PART TIME</v>
      </c>
      <c r="C70" s="11"/>
      <c r="D70" s="8"/>
      <c r="E70" s="3"/>
      <c r="F70" s="7">
        <f t="shared" si="22"/>
        <v>0</v>
      </c>
      <c r="G70" s="3"/>
      <c r="H70" s="8">
        <v>25.5</v>
      </c>
      <c r="I70" s="3"/>
      <c r="J70" s="7">
        <f t="shared" si="23"/>
        <v>1.35863918699031E-3</v>
      </c>
      <c r="K70" s="3"/>
      <c r="L70" s="8">
        <f t="shared" si="24"/>
        <v>-25.5</v>
      </c>
      <c r="M70" s="3"/>
      <c r="N70" s="7">
        <f t="shared" si="25"/>
        <v>-1</v>
      </c>
      <c r="O70" s="11"/>
      <c r="P70" s="8"/>
      <c r="Q70" s="3"/>
      <c r="R70" s="7">
        <f t="shared" si="26"/>
        <v>0</v>
      </c>
      <c r="S70" s="3"/>
      <c r="T70" s="8">
        <v>25.5</v>
      </c>
      <c r="U70" s="3"/>
      <c r="V70" s="7">
        <f t="shared" si="27"/>
        <v>1.35863918699031E-3</v>
      </c>
      <c r="W70" s="3"/>
      <c r="X70" s="8">
        <f t="shared" si="28"/>
        <v>-25.5</v>
      </c>
      <c r="Y70" s="3"/>
      <c r="Z70" s="7">
        <f t="shared" si="29"/>
        <v>-1</v>
      </c>
    </row>
    <row r="71" spans="1:26" s="24" customFormat="1" hidden="1" outlineLevel="2" x14ac:dyDescent="0.25">
      <c r="A71" s="29"/>
      <c r="B71" s="11" t="str">
        <f>CONCATENATE("          ", "6007", " - ", "STUDENT HOURLY")</f>
        <v xml:space="preserve">          6007 - STUDENT HOURLY</v>
      </c>
      <c r="C71" s="11"/>
      <c r="D71" s="8"/>
      <c r="E71" s="3"/>
      <c r="F71" s="7">
        <f t="shared" si="22"/>
        <v>0</v>
      </c>
      <c r="G71" s="3"/>
      <c r="H71" s="8">
        <v>6519.07</v>
      </c>
      <c r="I71" s="3"/>
      <c r="J71" s="7">
        <f t="shared" si="23"/>
        <v>0.34733584175423216</v>
      </c>
      <c r="K71" s="3"/>
      <c r="L71" s="8">
        <f t="shared" si="24"/>
        <v>-6519.07</v>
      </c>
      <c r="M71" s="3"/>
      <c r="N71" s="7">
        <f t="shared" si="25"/>
        <v>-1</v>
      </c>
      <c r="O71" s="11"/>
      <c r="P71" s="8"/>
      <c r="Q71" s="3"/>
      <c r="R71" s="7">
        <f t="shared" si="26"/>
        <v>0</v>
      </c>
      <c r="S71" s="3"/>
      <c r="T71" s="8">
        <v>6519.07</v>
      </c>
      <c r="U71" s="3"/>
      <c r="V71" s="7">
        <f t="shared" si="27"/>
        <v>0.34733584175423216</v>
      </c>
      <c r="W71" s="3"/>
      <c r="X71" s="8">
        <f t="shared" si="28"/>
        <v>-6519.07</v>
      </c>
      <c r="Y71" s="3"/>
      <c r="Z71" s="7">
        <f t="shared" si="29"/>
        <v>-1</v>
      </c>
    </row>
    <row r="72" spans="1:26" s="27" customFormat="1" outlineLevel="1" collapsed="1" x14ac:dyDescent="0.25">
      <c r="A72" s="28"/>
      <c r="B72" s="14" t="str">
        <f>CONCATENATE("     ","Bad Debts/Over/Short                              ")</f>
        <v xml:space="preserve">     Bad Debts/Over/Short                              </v>
      </c>
      <c r="C72" s="14"/>
      <c r="D72" s="1">
        <f>SUM(OSRRefD22_2x_0)</f>
        <v>0</v>
      </c>
      <c r="E72" s="1"/>
      <c r="F72" s="5">
        <f t="shared" ref="F72:F82" si="30">IF(D$12=0,0,D72/D$12)</f>
        <v>0</v>
      </c>
      <c r="G72" s="1"/>
      <c r="H72" s="1">
        <f>SUM(OSRRefH22_2x_0)</f>
        <v>0.38</v>
      </c>
      <c r="I72" s="1"/>
      <c r="J72" s="5">
        <f t="shared" ref="J72:J82" si="31">IF(H$12=0,0,H72/H$12)</f>
        <v>2.0246387884561485E-5</v>
      </c>
      <c r="K72" s="1"/>
      <c r="L72" s="1">
        <f t="shared" ref="L72:L82" si="32">+D72-H72</f>
        <v>-0.38</v>
      </c>
      <c r="M72" s="1"/>
      <c r="N72" s="5">
        <f t="shared" ref="N72:N82" si="33">IF(H72=0,0,L72/H72)</f>
        <v>-1</v>
      </c>
      <c r="O72" s="14"/>
      <c r="P72" s="1">
        <f>SUM(OSRRefP22_2x_0)</f>
        <v>0</v>
      </c>
      <c r="Q72" s="1"/>
      <c r="R72" s="5">
        <f t="shared" ref="R72:R82" si="34">IF(P$12=0,0,P72/P$12)</f>
        <v>0</v>
      </c>
      <c r="S72" s="1"/>
      <c r="T72" s="1">
        <f>SUM(OSRRefT22_2x_0)</f>
        <v>0.38</v>
      </c>
      <c r="U72" s="1"/>
      <c r="V72" s="5">
        <f t="shared" ref="V72:V82" si="35">IF(T$12=0,0,T72/T$12)</f>
        <v>2.0246387884561485E-5</v>
      </c>
      <c r="W72" s="1"/>
      <c r="X72" s="1">
        <f t="shared" ref="X72:X82" si="36">+P72-T72</f>
        <v>-0.38</v>
      </c>
      <c r="Y72" s="1"/>
      <c r="Z72" s="5">
        <f t="shared" ref="Z72:Z82" si="37">IF(T72=0,0,X72/T72)</f>
        <v>-1</v>
      </c>
    </row>
    <row r="73" spans="1:26" s="24" customFormat="1" hidden="1" outlineLevel="2" x14ac:dyDescent="0.25">
      <c r="A73" s="29"/>
      <c r="B73" s="11" t="str">
        <f>CONCATENATE("          ", "6272", " - ", "CASH (OVER/SHORT)")</f>
        <v xml:space="preserve">          6272 - CASH (OVER/SHORT)</v>
      </c>
      <c r="C73" s="11"/>
      <c r="D73" s="8"/>
      <c r="E73" s="3"/>
      <c r="F73" s="7">
        <f t="shared" si="30"/>
        <v>0</v>
      </c>
      <c r="G73" s="3"/>
      <c r="H73" s="8">
        <v>0.38</v>
      </c>
      <c r="I73" s="3"/>
      <c r="J73" s="7">
        <f t="shared" si="31"/>
        <v>2.0246387884561485E-5</v>
      </c>
      <c r="K73" s="3"/>
      <c r="L73" s="8">
        <f t="shared" si="32"/>
        <v>-0.38</v>
      </c>
      <c r="M73" s="3"/>
      <c r="N73" s="7">
        <f t="shared" si="33"/>
        <v>-1</v>
      </c>
      <c r="O73" s="11"/>
      <c r="P73" s="8"/>
      <c r="Q73" s="3"/>
      <c r="R73" s="7">
        <f t="shared" si="34"/>
        <v>0</v>
      </c>
      <c r="S73" s="3"/>
      <c r="T73" s="8">
        <v>0.38</v>
      </c>
      <c r="U73" s="3"/>
      <c r="V73" s="7">
        <f t="shared" si="35"/>
        <v>2.0246387884561485E-5</v>
      </c>
      <c r="W73" s="3"/>
      <c r="X73" s="8">
        <f t="shared" si="36"/>
        <v>-0.38</v>
      </c>
      <c r="Y73" s="3"/>
      <c r="Z73" s="7">
        <f t="shared" si="37"/>
        <v>-1</v>
      </c>
    </row>
    <row r="74" spans="1:26" s="27" customFormat="1" outlineLevel="1" collapsed="1" x14ac:dyDescent="0.25">
      <c r="A74" s="28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SUM(OSRRefD22_3x_0)</f>
        <v>0</v>
      </c>
      <c r="E74" s="1"/>
      <c r="F74" s="5">
        <f t="shared" si="30"/>
        <v>0</v>
      </c>
      <c r="G74" s="1"/>
      <c r="H74" s="1">
        <f>SUM(OSRRefH22_3x_0)</f>
        <v>2285.6</v>
      </c>
      <c r="I74" s="1"/>
      <c r="J74" s="5">
        <f t="shared" si="31"/>
        <v>0.12177669512882559</v>
      </c>
      <c r="K74" s="1"/>
      <c r="L74" s="1">
        <f t="shared" si="32"/>
        <v>-2285.6</v>
      </c>
      <c r="M74" s="1"/>
      <c r="N74" s="5">
        <f t="shared" si="33"/>
        <v>-1</v>
      </c>
      <c r="O74" s="14"/>
      <c r="P74" s="1">
        <f>SUM(OSRRefP22_3x_0)</f>
        <v>0</v>
      </c>
      <c r="Q74" s="1"/>
      <c r="R74" s="5">
        <f t="shared" si="34"/>
        <v>0</v>
      </c>
      <c r="S74" s="1"/>
      <c r="T74" s="1">
        <f>SUM(OSRRefT22_3x_0)</f>
        <v>2285.6</v>
      </c>
      <c r="U74" s="1"/>
      <c r="V74" s="5">
        <f t="shared" si="35"/>
        <v>0.12177669512882559</v>
      </c>
      <c r="W74" s="1"/>
      <c r="X74" s="1">
        <f t="shared" si="36"/>
        <v>-2285.6</v>
      </c>
      <c r="Y74" s="1"/>
      <c r="Z74" s="5">
        <f t="shared" si="37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8"/>
      <c r="E75" s="3"/>
      <c r="F75" s="7">
        <f t="shared" si="30"/>
        <v>0</v>
      </c>
      <c r="G75" s="3"/>
      <c r="H75" s="8">
        <v>2285.6</v>
      </c>
      <c r="I75" s="3"/>
      <c r="J75" s="7">
        <f t="shared" si="31"/>
        <v>0.12177669512882559</v>
      </c>
      <c r="K75" s="3"/>
      <c r="L75" s="8">
        <f t="shared" si="32"/>
        <v>-2285.6</v>
      </c>
      <c r="M75" s="3"/>
      <c r="N75" s="7">
        <f t="shared" si="33"/>
        <v>-1</v>
      </c>
      <c r="O75" s="11"/>
      <c r="P75" s="8"/>
      <c r="Q75" s="3"/>
      <c r="R75" s="7">
        <f t="shared" si="34"/>
        <v>0</v>
      </c>
      <c r="S75" s="3"/>
      <c r="T75" s="8">
        <v>2285.6</v>
      </c>
      <c r="U75" s="3"/>
      <c r="V75" s="7">
        <f t="shared" si="35"/>
        <v>0.12177669512882559</v>
      </c>
      <c r="W75" s="3"/>
      <c r="X75" s="8">
        <f t="shared" si="36"/>
        <v>-2285.6</v>
      </c>
      <c r="Y75" s="3"/>
      <c r="Z75" s="7">
        <f t="shared" si="37"/>
        <v>-1</v>
      </c>
    </row>
    <row r="76" spans="1:26" s="27" customFormat="1" outlineLevel="1" collapsed="1" x14ac:dyDescent="0.25">
      <c r="A76" s="28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SUM(OSRRefD22_4x_0)</f>
        <v>719.55</v>
      </c>
      <c r="E76" s="1"/>
      <c r="F76" s="5">
        <f t="shared" si="30"/>
        <v>0</v>
      </c>
      <c r="G76" s="1"/>
      <c r="H76" s="1">
        <f>SUM(OSRRefH22_4x_0)</f>
        <v>694.55</v>
      </c>
      <c r="I76" s="1"/>
      <c r="J76" s="5">
        <f t="shared" si="31"/>
        <v>3.7005601855847836E-2</v>
      </c>
      <c r="K76" s="1"/>
      <c r="L76" s="1">
        <f t="shared" si="32"/>
        <v>25</v>
      </c>
      <c r="M76" s="1"/>
      <c r="N76" s="5">
        <f t="shared" si="33"/>
        <v>3.5994528831617599E-2</v>
      </c>
      <c r="O76" s="14"/>
      <c r="P76" s="1">
        <f>SUM(OSRRefP22_4x_0)</f>
        <v>719.55</v>
      </c>
      <c r="Q76" s="1"/>
      <c r="R76" s="5">
        <f t="shared" si="34"/>
        <v>0</v>
      </c>
      <c r="S76" s="1"/>
      <c r="T76" s="1">
        <f>SUM(OSRRefT22_4x_0)</f>
        <v>694.55</v>
      </c>
      <c r="U76" s="1"/>
      <c r="V76" s="5">
        <f t="shared" si="35"/>
        <v>3.7005601855847836E-2</v>
      </c>
      <c r="W76" s="1"/>
      <c r="X76" s="1">
        <f t="shared" si="36"/>
        <v>25</v>
      </c>
      <c r="Y76" s="1"/>
      <c r="Z76" s="5">
        <f t="shared" si="37"/>
        <v>3.5994528831617599E-2</v>
      </c>
    </row>
    <row r="77" spans="1:26" s="24" customFormat="1" hidden="1" outlineLevel="2" x14ac:dyDescent="0.25">
      <c r="A77" s="29"/>
      <c r="B77" s="11" t="str">
        <f>CONCATENATE("          ", "6279", " - ", "GENERAL EXPENSE")</f>
        <v xml:space="preserve">          6279 - GENERAL EXPENSE</v>
      </c>
      <c r="C77" s="11"/>
      <c r="D77" s="8">
        <v>719.55</v>
      </c>
      <c r="E77" s="3"/>
      <c r="F77" s="7">
        <f t="shared" si="30"/>
        <v>0</v>
      </c>
      <c r="G77" s="3"/>
      <c r="H77" s="8">
        <v>694.55</v>
      </c>
      <c r="I77" s="3"/>
      <c r="J77" s="7">
        <f t="shared" si="31"/>
        <v>3.7005601855847836E-2</v>
      </c>
      <c r="K77" s="3"/>
      <c r="L77" s="8">
        <f t="shared" si="32"/>
        <v>25</v>
      </c>
      <c r="M77" s="3"/>
      <c r="N77" s="7">
        <f t="shared" si="33"/>
        <v>3.5994528831617599E-2</v>
      </c>
      <c r="O77" s="11"/>
      <c r="P77" s="8">
        <v>719.55</v>
      </c>
      <c r="Q77" s="3"/>
      <c r="R77" s="7">
        <f t="shared" si="34"/>
        <v>0</v>
      </c>
      <c r="S77" s="3"/>
      <c r="T77" s="8">
        <v>694.55</v>
      </c>
      <c r="U77" s="3"/>
      <c r="V77" s="7">
        <f t="shared" si="35"/>
        <v>3.7005601855847836E-2</v>
      </c>
      <c r="W77" s="3"/>
      <c r="X77" s="8">
        <f t="shared" si="36"/>
        <v>25</v>
      </c>
      <c r="Y77" s="3"/>
      <c r="Z77" s="7">
        <f t="shared" si="37"/>
        <v>3.5994528831617599E-2</v>
      </c>
    </row>
    <row r="78" spans="1:26" s="27" customFormat="1" outlineLevel="1" collapsed="1" x14ac:dyDescent="0.25">
      <c r="A78" s="28"/>
      <c r="B78" s="14" t="str">
        <f>CONCATENATE("     ","Professional Services                             ")</f>
        <v xml:space="preserve">     Professional Services                             </v>
      </c>
      <c r="C78" s="14"/>
      <c r="D78" s="1">
        <f>SUM(OSRRefD22_5x_0)</f>
        <v>0</v>
      </c>
      <c r="E78" s="1"/>
      <c r="F78" s="5">
        <f t="shared" si="30"/>
        <v>0</v>
      </c>
      <c r="G78" s="1"/>
      <c r="H78" s="1">
        <f>SUM(OSRRefH22_5x_0)</f>
        <v>750</v>
      </c>
      <c r="I78" s="1"/>
      <c r="J78" s="5">
        <f t="shared" si="31"/>
        <v>3.9959976087950294E-2</v>
      </c>
      <c r="K78" s="1"/>
      <c r="L78" s="1">
        <f t="shared" si="32"/>
        <v>-750</v>
      </c>
      <c r="M78" s="1"/>
      <c r="N78" s="5">
        <f t="shared" si="33"/>
        <v>-1</v>
      </c>
      <c r="O78" s="14"/>
      <c r="P78" s="1">
        <f>SUM(OSRRefP22_5x_0)</f>
        <v>0</v>
      </c>
      <c r="Q78" s="1"/>
      <c r="R78" s="5">
        <f t="shared" si="34"/>
        <v>0</v>
      </c>
      <c r="S78" s="1"/>
      <c r="T78" s="1">
        <f>SUM(OSRRefT22_5x_0)</f>
        <v>750</v>
      </c>
      <c r="U78" s="1"/>
      <c r="V78" s="5">
        <f t="shared" si="35"/>
        <v>3.9959976087950294E-2</v>
      </c>
      <c r="W78" s="1"/>
      <c r="X78" s="1">
        <f t="shared" si="36"/>
        <v>-750</v>
      </c>
      <c r="Y78" s="1"/>
      <c r="Z78" s="5">
        <f t="shared" si="37"/>
        <v>-1</v>
      </c>
    </row>
    <row r="79" spans="1:26" s="24" customFormat="1" hidden="1" outlineLevel="2" x14ac:dyDescent="0.25">
      <c r="A79" s="29"/>
      <c r="B79" s="11" t="str">
        <f>CONCATENATE("          ", "6336", " - ", "PROFESSIONAL SERVICES")</f>
        <v xml:space="preserve">          6336 - PROFESSIONAL SERVICES</v>
      </c>
      <c r="C79" s="11"/>
      <c r="D79" s="8"/>
      <c r="E79" s="3"/>
      <c r="F79" s="7">
        <f t="shared" si="30"/>
        <v>0</v>
      </c>
      <c r="G79" s="3"/>
      <c r="H79" s="8">
        <v>750</v>
      </c>
      <c r="I79" s="3"/>
      <c r="J79" s="7">
        <f t="shared" si="31"/>
        <v>3.9959976087950294E-2</v>
      </c>
      <c r="K79" s="3"/>
      <c r="L79" s="8">
        <f t="shared" si="32"/>
        <v>-750</v>
      </c>
      <c r="M79" s="3"/>
      <c r="N79" s="7">
        <f t="shared" si="33"/>
        <v>-1</v>
      </c>
      <c r="O79" s="11"/>
      <c r="P79" s="8"/>
      <c r="Q79" s="3"/>
      <c r="R79" s="7">
        <f t="shared" si="34"/>
        <v>0</v>
      </c>
      <c r="S79" s="3"/>
      <c r="T79" s="8">
        <v>750</v>
      </c>
      <c r="U79" s="3"/>
      <c r="V79" s="7">
        <f t="shared" si="35"/>
        <v>3.9959976087950294E-2</v>
      </c>
      <c r="W79" s="3"/>
      <c r="X79" s="8">
        <f t="shared" si="36"/>
        <v>-750</v>
      </c>
      <c r="Y79" s="3"/>
      <c r="Z79" s="7">
        <f t="shared" si="37"/>
        <v>-1</v>
      </c>
    </row>
    <row r="80" spans="1:26" s="27" customFormat="1" outlineLevel="1" collapsed="1" x14ac:dyDescent="0.25">
      <c r="A80" s="28"/>
      <c r="B80" s="14" t="str">
        <f>CONCATENATE("     ","Services                                          ")</f>
        <v xml:space="preserve">     Services                                          </v>
      </c>
      <c r="C80" s="14"/>
      <c r="D80" s="1">
        <f>SUM(OSRRefD22_6x_0)</f>
        <v>-113.5</v>
      </c>
      <c r="E80" s="1"/>
      <c r="F80" s="5">
        <f t="shared" si="30"/>
        <v>0</v>
      </c>
      <c r="G80" s="1"/>
      <c r="H80" s="1">
        <f>SUM(OSRRefH22_6x_0)</f>
        <v>207.67</v>
      </c>
      <c r="I80" s="1"/>
      <c r="J80" s="5">
        <f t="shared" si="31"/>
        <v>1.1064650978912851E-2</v>
      </c>
      <c r="K80" s="1"/>
      <c r="L80" s="1">
        <f t="shared" si="32"/>
        <v>-321.16999999999996</v>
      </c>
      <c r="M80" s="1"/>
      <c r="N80" s="5">
        <f t="shared" si="33"/>
        <v>-1.5465401839456829</v>
      </c>
      <c r="O80" s="14"/>
      <c r="P80" s="1">
        <f>SUM(OSRRefP22_6x_0)</f>
        <v>-113.5</v>
      </c>
      <c r="Q80" s="1"/>
      <c r="R80" s="5">
        <f t="shared" si="34"/>
        <v>0</v>
      </c>
      <c r="S80" s="1"/>
      <c r="T80" s="1">
        <f>SUM(OSRRefT22_6x_0)</f>
        <v>207.67</v>
      </c>
      <c r="U80" s="1"/>
      <c r="V80" s="5">
        <f t="shared" si="35"/>
        <v>1.1064650978912851E-2</v>
      </c>
      <c r="W80" s="1"/>
      <c r="X80" s="1">
        <f t="shared" si="36"/>
        <v>-321.16999999999996</v>
      </c>
      <c r="Y80" s="1"/>
      <c r="Z80" s="5">
        <f t="shared" si="37"/>
        <v>-1.5465401839456829</v>
      </c>
    </row>
    <row r="81" spans="1:26" s="24" customFormat="1" hidden="1" outlineLevel="2" x14ac:dyDescent="0.25">
      <c r="A81" s="29"/>
      <c r="B81" s="11" t="str">
        <f>CONCATENATE("          ", "6282", " - ", "JANITORIAL/EXTERMINATOR EXPENS")</f>
        <v xml:space="preserve">          6282 - JANITORIAL/EXTERMINATOR EXPENS</v>
      </c>
      <c r="C81" s="11"/>
      <c r="D81" s="8">
        <v>44</v>
      </c>
      <c r="E81" s="3"/>
      <c r="F81" s="7">
        <f t="shared" si="30"/>
        <v>0</v>
      </c>
      <c r="G81" s="3"/>
      <c r="H81" s="8">
        <v>44</v>
      </c>
      <c r="I81" s="3"/>
      <c r="J81" s="7">
        <f t="shared" si="31"/>
        <v>2.3443185971597507E-3</v>
      </c>
      <c r="K81" s="3"/>
      <c r="L81" s="8">
        <f t="shared" si="32"/>
        <v>0</v>
      </c>
      <c r="M81" s="3"/>
      <c r="N81" s="7">
        <f t="shared" si="33"/>
        <v>0</v>
      </c>
      <c r="O81" s="11"/>
      <c r="P81" s="8">
        <v>44</v>
      </c>
      <c r="Q81" s="3"/>
      <c r="R81" s="7">
        <f t="shared" si="34"/>
        <v>0</v>
      </c>
      <c r="S81" s="3"/>
      <c r="T81" s="8">
        <v>44</v>
      </c>
      <c r="U81" s="3"/>
      <c r="V81" s="7">
        <f t="shared" si="35"/>
        <v>2.3443185971597507E-3</v>
      </c>
      <c r="W81" s="3"/>
      <c r="X81" s="8">
        <f t="shared" si="36"/>
        <v>0</v>
      </c>
      <c r="Y81" s="3"/>
      <c r="Z81" s="7">
        <f t="shared" si="37"/>
        <v>0</v>
      </c>
    </row>
    <row r="82" spans="1:26" s="24" customFormat="1" hidden="1" outlineLevel="2" x14ac:dyDescent="0.25">
      <c r="A82" s="29"/>
      <c r="B82" s="11" t="str">
        <f>CONCATENATE("          ", "6285", " - ", "JANITORIAL SERVICES")</f>
        <v xml:space="preserve">          6285 - JANITORIAL SERVICES</v>
      </c>
      <c r="C82" s="11"/>
      <c r="D82" s="8">
        <v>-157.5</v>
      </c>
      <c r="E82" s="3"/>
      <c r="F82" s="7">
        <f t="shared" si="30"/>
        <v>0</v>
      </c>
      <c r="G82" s="3"/>
      <c r="H82" s="8">
        <v>163.66999999999999</v>
      </c>
      <c r="I82" s="3"/>
      <c r="J82" s="7">
        <f t="shared" si="31"/>
        <v>8.7203323817530987E-3</v>
      </c>
      <c r="K82" s="3"/>
      <c r="L82" s="8">
        <f t="shared" si="32"/>
        <v>-321.16999999999996</v>
      </c>
      <c r="M82" s="3"/>
      <c r="N82" s="7">
        <f t="shared" si="33"/>
        <v>-1.9623021934380154</v>
      </c>
      <c r="O82" s="11"/>
      <c r="P82" s="8">
        <v>-157.5</v>
      </c>
      <c r="Q82" s="3"/>
      <c r="R82" s="7">
        <f t="shared" si="34"/>
        <v>0</v>
      </c>
      <c r="S82" s="3"/>
      <c r="T82" s="8">
        <v>163.66999999999999</v>
      </c>
      <c r="U82" s="3"/>
      <c r="V82" s="7">
        <f t="shared" si="35"/>
        <v>8.7203323817530987E-3</v>
      </c>
      <c r="W82" s="3"/>
      <c r="X82" s="8">
        <f t="shared" si="36"/>
        <v>-321.16999999999996</v>
      </c>
      <c r="Y82" s="3"/>
      <c r="Z82" s="7">
        <f t="shared" si="37"/>
        <v>-1.9623021934380154</v>
      </c>
    </row>
    <row r="83" spans="1:26" s="27" customFormat="1" outlineLevel="1" collapsed="1" x14ac:dyDescent="0.25">
      <c r="A83" s="28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SUM(OSRRefD22_7x_0)</f>
        <v>444.3</v>
      </c>
      <c r="E83" s="1"/>
      <c r="F83" s="5">
        <f t="shared" ref="F83:F85" si="38">IF(D$12=0,0,D83/D$12)</f>
        <v>0</v>
      </c>
      <c r="G83" s="1"/>
      <c r="H83" s="1">
        <f>SUM(OSRRefH22_7x_0)</f>
        <v>161.13</v>
      </c>
      <c r="I83" s="1"/>
      <c r="J83" s="5">
        <f t="shared" ref="J83:J85" si="39">IF(H$12=0,0,H83/H$12)</f>
        <v>8.5850012627352416E-3</v>
      </c>
      <c r="K83" s="1"/>
      <c r="L83" s="1">
        <f t="shared" ref="L83:L85" si="40">+D83-H83</f>
        <v>283.17</v>
      </c>
      <c r="M83" s="1"/>
      <c r="N83" s="5">
        <f t="shared" ref="N83:N85" si="41">IF(H83=0,0,L83/H83)</f>
        <v>1.7574008564513128</v>
      </c>
      <c r="O83" s="14"/>
      <c r="P83" s="1">
        <f>SUM(OSRRefP22_7x_0)</f>
        <v>444.3</v>
      </c>
      <c r="Q83" s="1"/>
      <c r="R83" s="5">
        <f t="shared" ref="R83:R85" si="42">IF(P$12=0,0,P83/P$12)</f>
        <v>0</v>
      </c>
      <c r="S83" s="1"/>
      <c r="T83" s="1">
        <f>SUM(OSRRefT22_7x_0)</f>
        <v>161.13</v>
      </c>
      <c r="U83" s="1"/>
      <c r="V83" s="5">
        <f t="shared" ref="V83:V85" si="43">IF(T$12=0,0,T83/T$12)</f>
        <v>8.5850012627352416E-3</v>
      </c>
      <c r="W83" s="1"/>
      <c r="X83" s="1">
        <f t="shared" ref="X83:X85" si="44">+P83-T83</f>
        <v>283.17</v>
      </c>
      <c r="Y83" s="1"/>
      <c r="Z83" s="5">
        <f t="shared" ref="Z83:Z85" si="45">IF(T83=0,0,X83/T83)</f>
        <v>1.7574008564513128</v>
      </c>
    </row>
    <row r="84" spans="1:26" s="24" customFormat="1" hidden="1" outlineLevel="2" x14ac:dyDescent="0.25">
      <c r="A84" s="29"/>
      <c r="B84" s="11" t="str">
        <f>CONCATENATE("          ", "6235", " - ", "COVID-19 EXPENSES")</f>
        <v xml:space="preserve">          6235 - COVID-19 EXPENSES</v>
      </c>
      <c r="C84" s="11"/>
      <c r="D84" s="8">
        <v>444.3</v>
      </c>
      <c r="E84" s="3"/>
      <c r="F84" s="7">
        <f t="shared" si="38"/>
        <v>0</v>
      </c>
      <c r="G84" s="3"/>
      <c r="H84" s="8"/>
      <c r="I84" s="3"/>
      <c r="J84" s="7">
        <f t="shared" si="39"/>
        <v>0</v>
      </c>
      <c r="K84" s="3"/>
      <c r="L84" s="8">
        <f t="shared" si="40"/>
        <v>444.3</v>
      </c>
      <c r="M84" s="3"/>
      <c r="N84" s="7">
        <f t="shared" si="41"/>
        <v>0</v>
      </c>
      <c r="O84" s="11"/>
      <c r="P84" s="8">
        <v>444.3</v>
      </c>
      <c r="Q84" s="3"/>
      <c r="R84" s="7">
        <f t="shared" si="42"/>
        <v>0</v>
      </c>
      <c r="S84" s="3"/>
      <c r="T84" s="8"/>
      <c r="U84" s="3"/>
      <c r="V84" s="7">
        <f t="shared" si="43"/>
        <v>0</v>
      </c>
      <c r="W84" s="3"/>
      <c r="X84" s="8">
        <f t="shared" si="44"/>
        <v>444.3</v>
      </c>
      <c r="Y84" s="3"/>
      <c r="Z84" s="7">
        <f t="shared" si="45"/>
        <v>0</v>
      </c>
    </row>
    <row r="85" spans="1:26" s="24" customFormat="1" hidden="1" outlineLevel="2" x14ac:dyDescent="0.25">
      <c r="A85" s="29"/>
      <c r="B85" s="11" t="str">
        <f>CONCATENATE("          ", "6241", " - ", "OFFICE EXPENSE")</f>
        <v xml:space="preserve">          6241 - OFFICE EXPENSE</v>
      </c>
      <c r="C85" s="11"/>
      <c r="D85" s="8"/>
      <c r="E85" s="3"/>
      <c r="F85" s="7">
        <f t="shared" si="38"/>
        <v>0</v>
      </c>
      <c r="G85" s="3"/>
      <c r="H85" s="8">
        <v>161.13</v>
      </c>
      <c r="I85" s="3"/>
      <c r="J85" s="7">
        <f t="shared" si="39"/>
        <v>8.5850012627352416E-3</v>
      </c>
      <c r="K85" s="3"/>
      <c r="L85" s="8">
        <f t="shared" si="40"/>
        <v>-161.13</v>
      </c>
      <c r="M85" s="3"/>
      <c r="N85" s="7">
        <f t="shared" si="41"/>
        <v>-1</v>
      </c>
      <c r="O85" s="11"/>
      <c r="P85" s="8"/>
      <c r="Q85" s="3"/>
      <c r="R85" s="7">
        <f t="shared" si="42"/>
        <v>0</v>
      </c>
      <c r="S85" s="3"/>
      <c r="T85" s="8">
        <v>161.13</v>
      </c>
      <c r="U85" s="3"/>
      <c r="V85" s="7">
        <f t="shared" si="43"/>
        <v>8.5850012627352416E-3</v>
      </c>
      <c r="W85" s="3"/>
      <c r="X85" s="8">
        <f t="shared" si="44"/>
        <v>-161.13</v>
      </c>
      <c r="Y85" s="3"/>
      <c r="Z85" s="7">
        <f t="shared" si="45"/>
        <v>-1</v>
      </c>
    </row>
    <row r="86" spans="1:26" s="27" customFormat="1" outlineLevel="1" collapsed="1" x14ac:dyDescent="0.25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SUM(OSRRefD22_8x_0)</f>
        <v>53</v>
      </c>
      <c r="E86" s="1"/>
      <c r="F86" s="5">
        <f t="shared" ref="F86:F87" si="46">IF(D$12=0,0,D86/D$12)</f>
        <v>0</v>
      </c>
      <c r="G86" s="1"/>
      <c r="H86" s="1">
        <f>SUM(OSRRefH22_8x_0)</f>
        <v>74</v>
      </c>
      <c r="I86" s="1"/>
      <c r="J86" s="5">
        <f t="shared" ref="J86:J87" si="47">IF(H$12=0,0,H86/H$12)</f>
        <v>3.9427176406777627E-3</v>
      </c>
      <c r="K86" s="1"/>
      <c r="L86" s="1">
        <f t="shared" ref="L86:L87" si="48">+D86-H86</f>
        <v>-21</v>
      </c>
      <c r="M86" s="1"/>
      <c r="N86" s="5">
        <f t="shared" ref="N86:N87" si="49">IF(H86=0,0,L86/H86)</f>
        <v>-0.28378378378378377</v>
      </c>
      <c r="O86" s="14"/>
      <c r="P86" s="1">
        <f>SUM(OSRRefP22_8x_0)</f>
        <v>53</v>
      </c>
      <c r="Q86" s="1"/>
      <c r="R86" s="5">
        <f t="shared" ref="R86:R87" si="50">IF(P$12=0,0,P86/P$12)</f>
        <v>0</v>
      </c>
      <c r="S86" s="1"/>
      <c r="T86" s="1">
        <f>SUM(OSRRefT22_8x_0)</f>
        <v>74</v>
      </c>
      <c r="U86" s="1"/>
      <c r="V86" s="5">
        <f t="shared" ref="V86:V87" si="51">IF(T$12=0,0,T86/T$12)</f>
        <v>3.9427176406777627E-3</v>
      </c>
      <c r="W86" s="1"/>
      <c r="X86" s="1">
        <f t="shared" ref="X86:X87" si="52">+P86-T86</f>
        <v>-21</v>
      </c>
      <c r="Y86" s="1"/>
      <c r="Z86" s="5">
        <f t="shared" ref="Z86:Z87" si="53">IF(T86=0,0,X86/T86)</f>
        <v>-0.28378378378378377</v>
      </c>
    </row>
    <row r="87" spans="1:26" s="24" customFormat="1" hidden="1" outlineLevel="2" x14ac:dyDescent="0.25">
      <c r="A87" s="29"/>
      <c r="B87" s="11" t="str">
        <f>CONCATENATE("          ", "6309", " - ", "TELEPHONE")</f>
        <v xml:space="preserve">          6309 - TELEPHONE</v>
      </c>
      <c r="C87" s="11"/>
      <c r="D87" s="8">
        <v>53</v>
      </c>
      <c r="E87" s="3"/>
      <c r="F87" s="7">
        <f t="shared" si="46"/>
        <v>0</v>
      </c>
      <c r="G87" s="3"/>
      <c r="H87" s="8">
        <v>74</v>
      </c>
      <c r="I87" s="3"/>
      <c r="J87" s="7">
        <f t="shared" si="47"/>
        <v>3.9427176406777627E-3</v>
      </c>
      <c r="K87" s="3"/>
      <c r="L87" s="8">
        <f t="shared" si="48"/>
        <v>-21</v>
      </c>
      <c r="M87" s="3"/>
      <c r="N87" s="7">
        <f t="shared" si="49"/>
        <v>-0.28378378378378377</v>
      </c>
      <c r="O87" s="11"/>
      <c r="P87" s="8">
        <v>53</v>
      </c>
      <c r="Q87" s="3"/>
      <c r="R87" s="7">
        <f t="shared" si="50"/>
        <v>0</v>
      </c>
      <c r="S87" s="3"/>
      <c r="T87" s="8">
        <v>74</v>
      </c>
      <c r="U87" s="3"/>
      <c r="V87" s="7">
        <f t="shared" si="51"/>
        <v>3.9427176406777627E-3</v>
      </c>
      <c r="W87" s="3"/>
      <c r="X87" s="8">
        <f t="shared" si="52"/>
        <v>-21</v>
      </c>
      <c r="Y87" s="3"/>
      <c r="Z87" s="7">
        <f t="shared" si="53"/>
        <v>-0.28378378378378377</v>
      </c>
    </row>
    <row r="88" spans="1:26" s="61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10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3" customFormat="1" x14ac:dyDescent="0.25">
      <c r="A91" s="10"/>
      <c r="B91" s="26" t="s">
        <v>3</v>
      </c>
      <c r="C91" s="26"/>
      <c r="D91" s="19">
        <f>+D56-D58+D89</f>
        <v>-1141.3999999999999</v>
      </c>
      <c r="E91" s="13"/>
      <c r="F91" s="20">
        <f>IF(D$12=0,0,D91/D$12)</f>
        <v>0</v>
      </c>
      <c r="G91" s="13"/>
      <c r="H91" s="19">
        <f>+H56-H58+H89</f>
        <v>-14204.139999999987</v>
      </c>
      <c r="I91" s="13"/>
      <c r="J91" s="20">
        <f>IF(H$12=0,0,H91/H$12)</f>
        <v>-0.75679612633319704</v>
      </c>
      <c r="K91" s="16"/>
      <c r="L91" s="19">
        <f>+D91-H91</f>
        <v>13062.739999999987</v>
      </c>
      <c r="M91" s="16"/>
      <c r="N91" s="20">
        <f>IF(H91=0,0,L91/H91)</f>
        <v>-0.91964314629396782</v>
      </c>
      <c r="O91" s="25"/>
      <c r="P91" s="19">
        <f>+P56-P58+P89</f>
        <v>-1141.3999999999999</v>
      </c>
      <c r="Q91" s="13"/>
      <c r="R91" s="20">
        <f>IF(P$12=0,0,P91/P$12)</f>
        <v>0</v>
      </c>
      <c r="S91" s="13"/>
      <c r="T91" s="19">
        <f>+T56-T58+T89</f>
        <v>-14204.139999999987</v>
      </c>
      <c r="U91" s="13"/>
      <c r="V91" s="20">
        <f>IF(T$12=0,0,T91/T$12)</f>
        <v>-0.75679612633319704</v>
      </c>
      <c r="W91" s="16"/>
      <c r="X91" s="19">
        <f>+P91-T91</f>
        <v>13062.739999999987</v>
      </c>
      <c r="Y91" s="16"/>
      <c r="Z91" s="20">
        <f>IF(T91=0,0,X91/T91)</f>
        <v>-0.91964314629396782</v>
      </c>
    </row>
    <row r="92" spans="1:26" x14ac:dyDescent="0.25">
      <c r="A92" s="9"/>
      <c r="B92" s="10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>
        <v>3902.58</v>
      </c>
      <c r="I93" s="4"/>
      <c r="J93" s="12">
        <f>IF(H$12=0,0,H93/H$12)</f>
        <v>0.20792933797508409</v>
      </c>
      <c r="K93" s="4"/>
      <c r="L93" s="4">
        <f>+D93-H93</f>
        <v>-3902.58</v>
      </c>
      <c r="M93" s="4"/>
      <c r="N93" s="12">
        <f>IF(H93=0,0,L93/H93)</f>
        <v>-1</v>
      </c>
      <c r="O93" s="10"/>
      <c r="P93" s="4"/>
      <c r="Q93" s="4"/>
      <c r="R93" s="12">
        <f>IF(P$12=0,0,P93/P$12)</f>
        <v>0</v>
      </c>
      <c r="S93" s="4"/>
      <c r="T93" s="4">
        <v>3902.58</v>
      </c>
      <c r="U93" s="4"/>
      <c r="V93" s="12">
        <f>IF(T$12=0,0,T93/T$12)</f>
        <v>0.20792933797508409</v>
      </c>
      <c r="W93" s="4"/>
      <c r="X93" s="4">
        <f>+P93-T93</f>
        <v>-3902.58</v>
      </c>
      <c r="Y93" s="4"/>
      <c r="Z93" s="12">
        <f>IF(T93=0,0,X93/T93)</f>
        <v>-1</v>
      </c>
    </row>
    <row r="94" spans="1:26" x14ac:dyDescent="0.25">
      <c r="A94" s="9"/>
      <c r="B94" s="10"/>
      <c r="C94" s="10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10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3" customFormat="1" ht="15.75" thickBot="1" x14ac:dyDescent="0.3">
      <c r="A95" s="10"/>
      <c r="B95" s="26" t="s">
        <v>4</v>
      </c>
      <c r="C95" s="26"/>
      <c r="D95" s="35">
        <f>+D91-D93</f>
        <v>-1141.3999999999999</v>
      </c>
      <c r="E95" s="13"/>
      <c r="F95" s="30">
        <f>IF(D$12=0,0,D95/D$12)</f>
        <v>0</v>
      </c>
      <c r="G95" s="13"/>
      <c r="H95" s="35">
        <f>+H91-H93</f>
        <v>-18106.719999999987</v>
      </c>
      <c r="I95" s="13"/>
      <c r="J95" s="30">
        <f>IF(H$12=0,0,H95/H$12)</f>
        <v>-0.9647254643082811</v>
      </c>
      <c r="K95" s="16"/>
      <c r="L95" s="35">
        <f>D95-H95</f>
        <v>16965.319999999985</v>
      </c>
      <c r="M95" s="16"/>
      <c r="N95" s="30">
        <f>IF(H95=0,0,L95/H95)</f>
        <v>-0.93696263044880557</v>
      </c>
      <c r="O95" s="25"/>
      <c r="P95" s="35">
        <f>+P91-P93</f>
        <v>-1141.3999999999999</v>
      </c>
      <c r="Q95" s="13"/>
      <c r="R95" s="30">
        <f>IF(P$12=0,0,P95/P$12)</f>
        <v>0</v>
      </c>
      <c r="S95" s="13"/>
      <c r="T95" s="35">
        <f>+T91-T93</f>
        <v>-18106.719999999987</v>
      </c>
      <c r="U95" s="13"/>
      <c r="V95" s="30">
        <f>IF(T$12=0,0,T95/T$12)</f>
        <v>-0.9647254643082811</v>
      </c>
      <c r="W95" s="16"/>
      <c r="X95" s="35">
        <f>P95-T95</f>
        <v>16965.319999999985</v>
      </c>
      <c r="Y95" s="16"/>
      <c r="Z95" s="30">
        <f>IF(T95=0,0,X95/T95)</f>
        <v>-0.93696263044880557</v>
      </c>
    </row>
    <row r="96" spans="1:26" ht="15.75" thickTop="1" x14ac:dyDescent="0.25">
      <c r="A96" s="9"/>
      <c r="B96" s="9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x14ac:dyDescent="0.25">
      <c r="A97" s="9"/>
      <c r="B97" s="9"/>
      <c r="C97" s="9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23" customFormat="1" ht="15.75" thickBot="1" x14ac:dyDescent="0.3">
      <c r="A98" s="10"/>
      <c r="B98" s="26" t="s">
        <v>5</v>
      </c>
      <c r="C98" s="26"/>
      <c r="D98" s="31">
        <f>SUM(D95:D97)</f>
        <v>-1141.3999999999999</v>
      </c>
      <c r="E98" s="13"/>
      <c r="F98" s="32">
        <f>IF(D$12=0,0,D98/D$12)</f>
        <v>0</v>
      </c>
      <c r="G98" s="13"/>
      <c r="H98" s="31">
        <f>SUM(H95:H97)</f>
        <v>-18106.719999999987</v>
      </c>
      <c r="I98" s="13"/>
      <c r="J98" s="32">
        <f>IF(H$12=0,0,H98/H$12)</f>
        <v>-0.9647254643082811</v>
      </c>
      <c r="K98" s="16"/>
      <c r="L98" s="31">
        <f>+D98-H98</f>
        <v>16965.319999999985</v>
      </c>
      <c r="M98" s="16"/>
      <c r="N98" s="32">
        <f>IF(H98=0,0,L98/H98)</f>
        <v>-0.93696263044880557</v>
      </c>
      <c r="O98" s="25"/>
      <c r="P98" s="31">
        <f>SUM(P95:P97)</f>
        <v>-1141.3999999999999</v>
      </c>
      <c r="Q98" s="13"/>
      <c r="R98" s="32">
        <f>IF(P$12=0,0,P98/P$12)</f>
        <v>0</v>
      </c>
      <c r="S98" s="13"/>
      <c r="T98" s="31">
        <f>SUM(T95:T97)</f>
        <v>-18106.719999999987</v>
      </c>
      <c r="U98" s="13"/>
      <c r="V98" s="32">
        <f>IF(T$12=0,0,T98/T$12)</f>
        <v>-0.9647254643082811</v>
      </c>
      <c r="W98" s="16"/>
      <c r="X98" s="31">
        <f>+P98-T98</f>
        <v>16965.319999999985</v>
      </c>
      <c r="Y98" s="16"/>
      <c r="Z98" s="32">
        <f>IF(T98=0,0,X98/T98)</f>
        <v>-0.93696263044880557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9">
        <v>44109.413677743054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2" t="s">
        <v>313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6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2425.96</v>
      </c>
      <c r="I12" s="4"/>
      <c r="J12" s="12"/>
      <c r="K12" s="4"/>
      <c r="L12" s="4">
        <f t="shared" ref="L12:L31" si="0">+D12-H12</f>
        <v>-2425.96</v>
      </c>
      <c r="M12" s="4"/>
      <c r="N12" s="12">
        <f t="shared" ref="N12:N31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2425.96</v>
      </c>
      <c r="U12" s="4"/>
      <c r="V12" s="12"/>
      <c r="W12" s="4"/>
      <c r="X12" s="4">
        <f t="shared" ref="X12:X31" si="2">+P12-T12</f>
        <v>-2425.96</v>
      </c>
      <c r="Y12" s="4"/>
      <c r="Z12" s="12">
        <f t="shared" ref="Z12:Z31" si="3">IF(T12=0,0,X12/T12)</f>
        <v>-1</v>
      </c>
    </row>
    <row r="13" spans="1:26" s="24" customFormat="1" hidden="1" outlineLevel="1" x14ac:dyDescent="0.25">
      <c r="A13" s="50"/>
      <c r="B13" s="11" t="str">
        <f>CONCATENATE("          ", "4025", " - ", "TAXABLE SALES-TEST FORMS")</f>
        <v xml:space="preserve">          4025 - TAXABLE SALES-TEST FORMS</v>
      </c>
      <c r="C13" s="11"/>
      <c r="D13" s="3">
        <f t="shared" ref="D13:D31" si="4">0</f>
        <v>0</v>
      </c>
      <c r="E13" s="3"/>
      <c r="F13" s="22"/>
      <c r="G13" s="3"/>
      <c r="H13" s="3">
        <f>--1.47</f>
        <v>1.47</v>
      </c>
      <c r="I13" s="3"/>
      <c r="J13" s="22"/>
      <c r="K13" s="3"/>
      <c r="L13" s="3">
        <f t="shared" si="0"/>
        <v>-1.47</v>
      </c>
      <c r="M13" s="3"/>
      <c r="N13" s="22">
        <f t="shared" si="1"/>
        <v>-1</v>
      </c>
      <c r="O13" s="11"/>
      <c r="P13" s="3">
        <f t="shared" ref="P13:P31" si="5">0</f>
        <v>0</v>
      </c>
      <c r="Q13" s="3"/>
      <c r="R13" s="22"/>
      <c r="S13" s="3"/>
      <c r="T13" s="3">
        <f>--1.47</f>
        <v>1.47</v>
      </c>
      <c r="U13" s="3"/>
      <c r="V13" s="22"/>
      <c r="W13" s="3"/>
      <c r="X13" s="3">
        <f t="shared" si="2"/>
        <v>-1.47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3">
        <f t="shared" si="4"/>
        <v>0</v>
      </c>
      <c r="E14" s="3"/>
      <c r="F14" s="22"/>
      <c r="G14" s="3"/>
      <c r="H14" s="3">
        <f>--22.8</f>
        <v>22.8</v>
      </c>
      <c r="I14" s="3"/>
      <c r="J14" s="22"/>
      <c r="K14" s="3"/>
      <c r="L14" s="3">
        <f t="shared" si="0"/>
        <v>-22.8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--22.8</f>
        <v>22.8</v>
      </c>
      <c r="U14" s="3"/>
      <c r="V14" s="22"/>
      <c r="W14" s="3"/>
      <c r="X14" s="3">
        <f t="shared" si="2"/>
        <v>-22.8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"4027", " - ", "TAXABLE SALES-SCHOOL SUPPLIES")</f>
        <v xml:space="preserve">          4027 - TAXABLE SALES-SCHOOL SUPPLIES</v>
      </c>
      <c r="C15" s="11"/>
      <c r="D15" s="3">
        <f t="shared" si="4"/>
        <v>0</v>
      </c>
      <c r="E15" s="3"/>
      <c r="F15" s="22"/>
      <c r="G15" s="3"/>
      <c r="H15" s="3">
        <f>--72.11</f>
        <v>72.11</v>
      </c>
      <c r="I15" s="3"/>
      <c r="J15" s="22"/>
      <c r="K15" s="3"/>
      <c r="L15" s="3">
        <f t="shared" si="0"/>
        <v>-72.11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--72.11</f>
        <v>72.11</v>
      </c>
      <c r="U15" s="3"/>
      <c r="V15" s="22"/>
      <c r="W15" s="3"/>
      <c r="X15" s="3">
        <f t="shared" si="2"/>
        <v>-72.11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"4028", " - ", "TAXABLE SALES-ART/TECH")</f>
        <v xml:space="preserve">          4028 - TAXABLE SALES-ART/TECH</v>
      </c>
      <c r="C16" s="11"/>
      <c r="D16" s="3">
        <f t="shared" si="4"/>
        <v>0</v>
      </c>
      <c r="E16" s="3"/>
      <c r="F16" s="22"/>
      <c r="G16" s="3"/>
      <c r="H16" s="3">
        <f>--1856.37</f>
        <v>1856.37</v>
      </c>
      <c r="I16" s="3"/>
      <c r="J16" s="22"/>
      <c r="K16" s="3"/>
      <c r="L16" s="3">
        <f t="shared" si="0"/>
        <v>-1856.37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--1856.37</f>
        <v>1856.37</v>
      </c>
      <c r="U16" s="3"/>
      <c r="V16" s="22"/>
      <c r="W16" s="3"/>
      <c r="X16" s="3">
        <f t="shared" si="2"/>
        <v>-1856.37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"4031", " - ", "TAXABLE SALES-FOOD")</f>
        <v xml:space="preserve">          4031 - TAXABLE SALES-FOOD</v>
      </c>
      <c r="C17" s="11"/>
      <c r="D17" s="3">
        <f t="shared" si="4"/>
        <v>0</v>
      </c>
      <c r="E17" s="3"/>
      <c r="F17" s="22"/>
      <c r="G17" s="3"/>
      <c r="H17" s="3">
        <f>--1.52</f>
        <v>1.52</v>
      </c>
      <c r="I17" s="3"/>
      <c r="J17" s="22"/>
      <c r="K17" s="3"/>
      <c r="L17" s="3">
        <f t="shared" si="0"/>
        <v>-1.52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--1.52</f>
        <v>1.52</v>
      </c>
      <c r="U17" s="3"/>
      <c r="V17" s="22"/>
      <c r="W17" s="3"/>
      <c r="X17" s="3">
        <f t="shared" si="2"/>
        <v>-1.52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"4032", " - ", "TAXABLE SALES-JUICE")</f>
        <v xml:space="preserve">          4032 - TAXABLE SALES-JUICE</v>
      </c>
      <c r="C18" s="11"/>
      <c r="D18" s="3">
        <f t="shared" si="4"/>
        <v>0</v>
      </c>
      <c r="E18" s="3"/>
      <c r="F18" s="22"/>
      <c r="G18" s="3"/>
      <c r="H18" s="3">
        <f>--1.47</f>
        <v>1.47</v>
      </c>
      <c r="I18" s="3"/>
      <c r="J18" s="22"/>
      <c r="K18" s="3"/>
      <c r="L18" s="3">
        <f t="shared" si="0"/>
        <v>-1.47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--1.47</f>
        <v>1.47</v>
      </c>
      <c r="U18" s="3"/>
      <c r="V18" s="22"/>
      <c r="W18" s="3"/>
      <c r="X18" s="3">
        <f t="shared" si="2"/>
        <v>-1.47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"4033", " - ", "TAXABLE SALES-CANDY")</f>
        <v xml:space="preserve">          4033 - TAXABLE SALES-CANDY</v>
      </c>
      <c r="C19" s="11"/>
      <c r="D19" s="3">
        <f t="shared" si="4"/>
        <v>0</v>
      </c>
      <c r="E19" s="3"/>
      <c r="F19" s="22"/>
      <c r="G19" s="3"/>
      <c r="H19" s="3">
        <f>--3.17</f>
        <v>3.17</v>
      </c>
      <c r="I19" s="3"/>
      <c r="J19" s="22"/>
      <c r="K19" s="3"/>
      <c r="L19" s="3">
        <f t="shared" si="0"/>
        <v>-3.17</v>
      </c>
      <c r="M19" s="3"/>
      <c r="N19" s="22">
        <f t="shared" si="1"/>
        <v>-1</v>
      </c>
      <c r="O19" s="11"/>
      <c r="P19" s="3">
        <f t="shared" si="5"/>
        <v>0</v>
      </c>
      <c r="Q19" s="3"/>
      <c r="R19" s="22"/>
      <c r="S19" s="3"/>
      <c r="T19" s="3">
        <f>--3.17</f>
        <v>3.17</v>
      </c>
      <c r="U19" s="3"/>
      <c r="V19" s="22"/>
      <c r="W19" s="3"/>
      <c r="X19" s="3">
        <f t="shared" si="2"/>
        <v>-3.17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"4034", " - ", "TAXABLE SALES-SODA")</f>
        <v xml:space="preserve">          4034 - TAXABLE SALES-SODA</v>
      </c>
      <c r="C20" s="11"/>
      <c r="D20" s="3">
        <f t="shared" si="4"/>
        <v>0</v>
      </c>
      <c r="E20" s="3"/>
      <c r="F20" s="22"/>
      <c r="G20" s="3"/>
      <c r="H20" s="3">
        <f>--34.74</f>
        <v>34.74</v>
      </c>
      <c r="I20" s="3"/>
      <c r="J20" s="22"/>
      <c r="K20" s="3"/>
      <c r="L20" s="3">
        <f t="shared" si="0"/>
        <v>-34.74</v>
      </c>
      <c r="M20" s="3"/>
      <c r="N20" s="22">
        <f t="shared" si="1"/>
        <v>-1</v>
      </c>
      <c r="O20" s="11"/>
      <c r="P20" s="3">
        <f t="shared" si="5"/>
        <v>0</v>
      </c>
      <c r="Q20" s="3"/>
      <c r="R20" s="22"/>
      <c r="S20" s="3"/>
      <c r="T20" s="3">
        <f>--34.74</f>
        <v>34.74</v>
      </c>
      <c r="U20" s="3"/>
      <c r="V20" s="22"/>
      <c r="W20" s="3"/>
      <c r="X20" s="3">
        <f t="shared" si="2"/>
        <v>-34.74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"4035", " - ", "TAXABLE SALES-HEALTH &amp; BEAUTY")</f>
        <v xml:space="preserve">          4035 - TAXABLE SALES-HEALTH &amp; BEAUTY</v>
      </c>
      <c r="C21" s="11"/>
      <c r="D21" s="3">
        <f t="shared" si="4"/>
        <v>0</v>
      </c>
      <c r="E21" s="3"/>
      <c r="F21" s="22"/>
      <c r="G21" s="3"/>
      <c r="H21" s="3">
        <f>--2.99</f>
        <v>2.99</v>
      </c>
      <c r="I21" s="3"/>
      <c r="J21" s="22"/>
      <c r="K21" s="3"/>
      <c r="L21" s="3">
        <f t="shared" si="0"/>
        <v>-2.99</v>
      </c>
      <c r="M21" s="3"/>
      <c r="N21" s="22">
        <f t="shared" si="1"/>
        <v>-1</v>
      </c>
      <c r="O21" s="11"/>
      <c r="P21" s="3">
        <f t="shared" si="5"/>
        <v>0</v>
      </c>
      <c r="Q21" s="3"/>
      <c r="R21" s="22"/>
      <c r="S21" s="3"/>
      <c r="T21" s="3">
        <f>--2.99</f>
        <v>2.99</v>
      </c>
      <c r="U21" s="3"/>
      <c r="V21" s="22"/>
      <c r="W21" s="3"/>
      <c r="X21" s="3">
        <f t="shared" si="2"/>
        <v>-2.99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"4037", " - ", "TAXABLE SALES-WATER")</f>
        <v xml:space="preserve">          4037 - TAXABLE SALES-WATER</v>
      </c>
      <c r="C22" s="11"/>
      <c r="D22" s="3">
        <f t="shared" si="4"/>
        <v>0</v>
      </c>
      <c r="E22" s="3"/>
      <c r="F22" s="22"/>
      <c r="G22" s="3"/>
      <c r="H22" s="3">
        <f>--5.29</f>
        <v>5.29</v>
      </c>
      <c r="I22" s="3"/>
      <c r="J22" s="22"/>
      <c r="K22" s="3"/>
      <c r="L22" s="3">
        <f t="shared" si="0"/>
        <v>-5.29</v>
      </c>
      <c r="M22" s="3"/>
      <c r="N22" s="22">
        <f t="shared" si="1"/>
        <v>-1</v>
      </c>
      <c r="O22" s="11"/>
      <c r="P22" s="3">
        <f t="shared" si="5"/>
        <v>0</v>
      </c>
      <c r="Q22" s="3"/>
      <c r="R22" s="22"/>
      <c r="S22" s="3"/>
      <c r="T22" s="3">
        <f>--5.29</f>
        <v>5.29</v>
      </c>
      <c r="U22" s="3"/>
      <c r="V22" s="22"/>
      <c r="W22" s="3"/>
      <c r="X22" s="3">
        <f t="shared" si="2"/>
        <v>-5.29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"4081", " - ", "TAXABLE SALES-ELECTRONICS")</f>
        <v xml:space="preserve">          4081 - TAXABLE SALES-ELECTRONICS</v>
      </c>
      <c r="C23" s="11"/>
      <c r="D23" s="3">
        <f t="shared" si="4"/>
        <v>0</v>
      </c>
      <c r="E23" s="3"/>
      <c r="F23" s="22"/>
      <c r="G23" s="3"/>
      <c r="H23" s="3">
        <f>--7.98</f>
        <v>7.98</v>
      </c>
      <c r="I23" s="3"/>
      <c r="J23" s="22"/>
      <c r="K23" s="3"/>
      <c r="L23" s="3">
        <f t="shared" si="0"/>
        <v>-7.98</v>
      </c>
      <c r="M23" s="3"/>
      <c r="N23" s="22">
        <f t="shared" si="1"/>
        <v>-1</v>
      </c>
      <c r="O23" s="11"/>
      <c r="P23" s="3">
        <f t="shared" si="5"/>
        <v>0</v>
      </c>
      <c r="Q23" s="3"/>
      <c r="R23" s="22"/>
      <c r="S23" s="3"/>
      <c r="T23" s="3">
        <f>--7.98</f>
        <v>7.98</v>
      </c>
      <c r="U23" s="3"/>
      <c r="V23" s="22"/>
      <c r="W23" s="3"/>
      <c r="X23" s="3">
        <f t="shared" si="2"/>
        <v>-7.98</v>
      </c>
      <c r="Y23" s="3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"4082", " - ", "TAXABLE SALES-COMPUTER HARDWAR")</f>
        <v xml:space="preserve">          4082 - TAXABLE SALES-COMPUTER HARDWAR</v>
      </c>
      <c r="C24" s="11"/>
      <c r="D24" s="3">
        <f t="shared" si="4"/>
        <v>0</v>
      </c>
      <c r="E24" s="3"/>
      <c r="F24" s="22"/>
      <c r="G24" s="3"/>
      <c r="H24" s="3">
        <f>--19</f>
        <v>19</v>
      </c>
      <c r="I24" s="3"/>
      <c r="J24" s="22"/>
      <c r="K24" s="3"/>
      <c r="L24" s="3">
        <f t="shared" si="0"/>
        <v>-19</v>
      </c>
      <c r="M24" s="3"/>
      <c r="N24" s="22">
        <f t="shared" si="1"/>
        <v>-1</v>
      </c>
      <c r="O24" s="11"/>
      <c r="P24" s="3">
        <f t="shared" si="5"/>
        <v>0</v>
      </c>
      <c r="Q24" s="3"/>
      <c r="R24" s="22"/>
      <c r="S24" s="3"/>
      <c r="T24" s="3">
        <f>--19</f>
        <v>19</v>
      </c>
      <c r="U24" s="3"/>
      <c r="V24" s="22"/>
      <c r="W24" s="3"/>
      <c r="X24" s="3">
        <f t="shared" si="2"/>
        <v>-19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"4086", " - ", "TAXABLE SALES-COMPUTER SUPPLIE")</f>
        <v xml:space="preserve">          4086 - TAXABLE SALES-COMPUTER SUPPLIE</v>
      </c>
      <c r="C25" s="11"/>
      <c r="D25" s="3">
        <f t="shared" si="4"/>
        <v>0</v>
      </c>
      <c r="E25" s="3"/>
      <c r="F25" s="22"/>
      <c r="G25" s="3"/>
      <c r="H25" s="3">
        <f>--14.99</f>
        <v>14.99</v>
      </c>
      <c r="I25" s="3"/>
      <c r="J25" s="22"/>
      <c r="K25" s="3"/>
      <c r="L25" s="3">
        <f t="shared" si="0"/>
        <v>-14.99</v>
      </c>
      <c r="M25" s="3"/>
      <c r="N25" s="22">
        <f t="shared" si="1"/>
        <v>-1</v>
      </c>
      <c r="O25" s="11"/>
      <c r="P25" s="3">
        <f t="shared" si="5"/>
        <v>0</v>
      </c>
      <c r="Q25" s="3"/>
      <c r="R25" s="22"/>
      <c r="S25" s="3"/>
      <c r="T25" s="3">
        <f>--14.99</f>
        <v>14.99</v>
      </c>
      <c r="U25" s="3"/>
      <c r="V25" s="22"/>
      <c r="W25" s="3"/>
      <c r="X25" s="3">
        <f t="shared" si="2"/>
        <v>-14.99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"4131", " - ", "NON-TAXABLE SALES-FOOD")</f>
        <v xml:space="preserve">          4131 - NON-TAXABLE SALES-FOOD</v>
      </c>
      <c r="C26" s="11"/>
      <c r="D26" s="3">
        <f t="shared" si="4"/>
        <v>0</v>
      </c>
      <c r="E26" s="3"/>
      <c r="F26" s="22"/>
      <c r="G26" s="3"/>
      <c r="H26" s="3">
        <f>--142.2</f>
        <v>142.19999999999999</v>
      </c>
      <c r="I26" s="3"/>
      <c r="J26" s="22"/>
      <c r="K26" s="3"/>
      <c r="L26" s="3">
        <f t="shared" si="0"/>
        <v>-142.19999999999999</v>
      </c>
      <c r="M26" s="3"/>
      <c r="N26" s="22">
        <f t="shared" si="1"/>
        <v>-1</v>
      </c>
      <c r="O26" s="11"/>
      <c r="P26" s="3">
        <f t="shared" si="5"/>
        <v>0</v>
      </c>
      <c r="Q26" s="3"/>
      <c r="R26" s="22"/>
      <c r="S26" s="3"/>
      <c r="T26" s="3">
        <f>--142.2</f>
        <v>142.19999999999999</v>
      </c>
      <c r="U26" s="3"/>
      <c r="V26" s="22"/>
      <c r="W26" s="3"/>
      <c r="X26" s="3">
        <f t="shared" si="2"/>
        <v>-142.19999999999999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"4132", " - ", "NON-TAXABLE SALES-JUICE")</f>
        <v xml:space="preserve">          4132 - NON-TAXABLE SALES-JUICE</v>
      </c>
      <c r="C27" s="11"/>
      <c r="D27" s="3">
        <f t="shared" si="4"/>
        <v>0</v>
      </c>
      <c r="E27" s="3"/>
      <c r="F27" s="22"/>
      <c r="G27" s="3"/>
      <c r="H27" s="3">
        <f>--45.31</f>
        <v>45.31</v>
      </c>
      <c r="I27" s="3"/>
      <c r="J27" s="22"/>
      <c r="K27" s="3"/>
      <c r="L27" s="3">
        <f t="shared" si="0"/>
        <v>-45.31</v>
      </c>
      <c r="M27" s="3"/>
      <c r="N27" s="22">
        <f t="shared" si="1"/>
        <v>-1</v>
      </c>
      <c r="O27" s="11"/>
      <c r="P27" s="3">
        <f t="shared" si="5"/>
        <v>0</v>
      </c>
      <c r="Q27" s="3"/>
      <c r="R27" s="22"/>
      <c r="S27" s="3"/>
      <c r="T27" s="3">
        <f>--45.31</f>
        <v>45.31</v>
      </c>
      <c r="U27" s="3"/>
      <c r="V27" s="22"/>
      <c r="W27" s="3"/>
      <c r="X27" s="3">
        <f t="shared" si="2"/>
        <v>-45.31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"4133", " - ", "NON-TAXABLE SALES-CANDY")</f>
        <v xml:space="preserve">          4133 - NON-TAXABLE SALES-CANDY</v>
      </c>
      <c r="C28" s="11"/>
      <c r="D28" s="3">
        <f t="shared" si="4"/>
        <v>0</v>
      </c>
      <c r="E28" s="3"/>
      <c r="F28" s="22"/>
      <c r="G28" s="3"/>
      <c r="H28" s="3">
        <f>--183.37</f>
        <v>183.37</v>
      </c>
      <c r="I28" s="3"/>
      <c r="J28" s="22"/>
      <c r="K28" s="3"/>
      <c r="L28" s="3">
        <f t="shared" si="0"/>
        <v>-183.37</v>
      </c>
      <c r="M28" s="3"/>
      <c r="N28" s="22">
        <f t="shared" si="1"/>
        <v>-1</v>
      </c>
      <c r="O28" s="11"/>
      <c r="P28" s="3">
        <f t="shared" si="5"/>
        <v>0</v>
      </c>
      <c r="Q28" s="3"/>
      <c r="R28" s="22"/>
      <c r="S28" s="3"/>
      <c r="T28" s="3">
        <f>--183.37</f>
        <v>183.37</v>
      </c>
      <c r="U28" s="3"/>
      <c r="V28" s="22"/>
      <c r="W28" s="3"/>
      <c r="X28" s="3">
        <f t="shared" si="2"/>
        <v>-183.37</v>
      </c>
      <c r="Y28" s="3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"4137", " - ", "NON-TAXABLE SALES-WATER")</f>
        <v xml:space="preserve">          4137 - NON-TAXABLE SALES-WATER</v>
      </c>
      <c r="C29" s="11"/>
      <c r="D29" s="3">
        <f t="shared" si="4"/>
        <v>0</v>
      </c>
      <c r="E29" s="3"/>
      <c r="F29" s="22"/>
      <c r="G29" s="3"/>
      <c r="H29" s="3">
        <f>--30.52</f>
        <v>30.52</v>
      </c>
      <c r="I29" s="3"/>
      <c r="J29" s="22"/>
      <c r="K29" s="3"/>
      <c r="L29" s="3">
        <f t="shared" si="0"/>
        <v>-30.52</v>
      </c>
      <c r="M29" s="3"/>
      <c r="N29" s="22">
        <f t="shared" si="1"/>
        <v>-1</v>
      </c>
      <c r="O29" s="11"/>
      <c r="P29" s="3">
        <f t="shared" si="5"/>
        <v>0</v>
      </c>
      <c r="Q29" s="3"/>
      <c r="R29" s="22"/>
      <c r="S29" s="3"/>
      <c r="T29" s="3">
        <f>--30.52</f>
        <v>30.52</v>
      </c>
      <c r="U29" s="3"/>
      <c r="V29" s="22"/>
      <c r="W29" s="3"/>
      <c r="X29" s="3">
        <f t="shared" si="2"/>
        <v>-30.52</v>
      </c>
      <c r="Y29" s="3"/>
      <c r="Z29" s="22">
        <f t="shared" si="3"/>
        <v>-1</v>
      </c>
    </row>
    <row r="30" spans="1:26" s="24" customFormat="1" hidden="1" outlineLevel="1" x14ac:dyDescent="0.25">
      <c r="A30" s="50"/>
      <c r="B30" s="11" t="str">
        <f>CONCATENATE("          ", "4227", " - ", "SALES RETURN TAXABLE-SCHOOL SU")</f>
        <v xml:space="preserve">          4227 - SALES RETURN TAXABLE-SCHOOL SU</v>
      </c>
      <c r="C30" s="11"/>
      <c r="D30" s="3">
        <f t="shared" si="4"/>
        <v>0</v>
      </c>
      <c r="E30" s="3"/>
      <c r="F30" s="22"/>
      <c r="G30" s="3"/>
      <c r="H30" s="3">
        <f>-8.97</f>
        <v>-8.9700000000000006</v>
      </c>
      <c r="I30" s="3"/>
      <c r="J30" s="22"/>
      <c r="K30" s="3"/>
      <c r="L30" s="3">
        <f t="shared" si="0"/>
        <v>8.9700000000000006</v>
      </c>
      <c r="M30" s="3"/>
      <c r="N30" s="22">
        <f t="shared" si="1"/>
        <v>-1</v>
      </c>
      <c r="O30" s="11"/>
      <c r="P30" s="3">
        <f t="shared" si="5"/>
        <v>0</v>
      </c>
      <c r="Q30" s="3"/>
      <c r="R30" s="22"/>
      <c r="S30" s="3"/>
      <c r="T30" s="3">
        <f>-8.97</f>
        <v>-8.9700000000000006</v>
      </c>
      <c r="U30" s="3"/>
      <c r="V30" s="22"/>
      <c r="W30" s="3"/>
      <c r="X30" s="3">
        <f t="shared" si="2"/>
        <v>8.9700000000000006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"4228", " - ", "SALES RETURN TAXABLE-ART/TECH")</f>
        <v xml:space="preserve">          4228 - SALES RETURN TAXABLE-ART/TECH</v>
      </c>
      <c r="C31" s="11"/>
      <c r="D31" s="3">
        <f t="shared" si="4"/>
        <v>0</v>
      </c>
      <c r="E31" s="3"/>
      <c r="F31" s="22"/>
      <c r="G31" s="3"/>
      <c r="H31" s="3">
        <f>-10.37</f>
        <v>-10.37</v>
      </c>
      <c r="I31" s="3"/>
      <c r="J31" s="22"/>
      <c r="K31" s="3"/>
      <c r="L31" s="3">
        <f t="shared" si="0"/>
        <v>10.37</v>
      </c>
      <c r="M31" s="3"/>
      <c r="N31" s="22">
        <f t="shared" si="1"/>
        <v>-1</v>
      </c>
      <c r="O31" s="11"/>
      <c r="P31" s="3">
        <f t="shared" si="5"/>
        <v>0</v>
      </c>
      <c r="Q31" s="3"/>
      <c r="R31" s="22"/>
      <c r="S31" s="3"/>
      <c r="T31" s="3">
        <f>-10.37</f>
        <v>-10.37</v>
      </c>
      <c r="U31" s="3"/>
      <c r="V31" s="22"/>
      <c r="W31" s="3"/>
      <c r="X31" s="3">
        <f t="shared" si="2"/>
        <v>10.37</v>
      </c>
      <c r="Y31" s="3"/>
      <c r="Z31" s="22">
        <f t="shared" si="3"/>
        <v>-1</v>
      </c>
    </row>
    <row r="32" spans="1:26" x14ac:dyDescent="0.25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38.049999999999997</v>
      </c>
      <c r="E33" s="4"/>
      <c r="F33" s="12">
        <f t="shared" ref="F33:F42" si="6">IF(D$12=0,0,D33/D$12)</f>
        <v>0</v>
      </c>
      <c r="G33" s="4"/>
      <c r="H33" s="4">
        <f>SUM(OSRRefH16x_0)</f>
        <v>1364.8799999999987</v>
      </c>
      <c r="I33" s="4"/>
      <c r="J33" s="12">
        <f t="shared" ref="J33:J42" si="7">IF(H$12=0,0,H33/H$12)</f>
        <v>0.56261438770630956</v>
      </c>
      <c r="K33" s="4"/>
      <c r="L33" s="4">
        <f t="shared" ref="L33:L42" si="8">+D33-H33</f>
        <v>-1326.8299999999988</v>
      </c>
      <c r="M33" s="4"/>
      <c r="N33" s="12">
        <f t="shared" ref="N33:N42" si="9">IF(H33=0,0,L33/H33)</f>
        <v>-0.97212209131938343</v>
      </c>
      <c r="O33" s="10"/>
      <c r="P33" s="4">
        <f>SUM(OSRRefP16x_0)</f>
        <v>38.049999999999997</v>
      </c>
      <c r="Q33" s="4"/>
      <c r="R33" s="12">
        <f t="shared" ref="R33:R42" si="10">IF(P$12=0,0,P33/P$12)</f>
        <v>0</v>
      </c>
      <c r="S33" s="4"/>
      <c r="T33" s="4">
        <f>SUM(OSRRefT16x_0)</f>
        <v>1364.8799999999987</v>
      </c>
      <c r="U33" s="4"/>
      <c r="V33" s="12">
        <f t="shared" ref="V33:V42" si="11">IF(T$12=0,0,T33/T$12)</f>
        <v>0.56261438770630956</v>
      </c>
      <c r="W33" s="4"/>
      <c r="X33" s="4">
        <f t="shared" ref="X33:X42" si="12">+P33-T33</f>
        <v>-1326.8299999999988</v>
      </c>
      <c r="Y33" s="4"/>
      <c r="Z33" s="12">
        <f t="shared" ref="Z33:Z42" si="13">IF(T33=0,0,X33/T33)</f>
        <v>-0.97212209131938343</v>
      </c>
    </row>
    <row r="34" spans="1:26" s="24" customFormat="1" hidden="1" outlineLevel="1" x14ac:dyDescent="0.25">
      <c r="A34" s="50"/>
      <c r="B34" s="11" t="str">
        <f>CONCATENATE("          ", "5026", " - ", "PURCHASES @ COST-WRITING INSTR")</f>
        <v xml:space="preserve">          5026 - PURCHASES @ COST-WRITING INSTR</v>
      </c>
      <c r="C34" s="11"/>
      <c r="D34" s="3"/>
      <c r="E34" s="3"/>
      <c r="F34" s="22">
        <f t="shared" si="6"/>
        <v>0</v>
      </c>
      <c r="G34" s="3"/>
      <c r="H34" s="3">
        <v>875.53</v>
      </c>
      <c r="I34" s="3"/>
      <c r="J34" s="22">
        <f t="shared" si="7"/>
        <v>0.36090042704743686</v>
      </c>
      <c r="K34" s="3"/>
      <c r="L34" s="3">
        <f t="shared" si="8"/>
        <v>-875.53</v>
      </c>
      <c r="M34" s="3"/>
      <c r="N34" s="22">
        <f t="shared" si="9"/>
        <v>-1</v>
      </c>
      <c r="O34" s="11"/>
      <c r="P34" s="3"/>
      <c r="Q34" s="3"/>
      <c r="R34" s="22">
        <f t="shared" si="10"/>
        <v>0</v>
      </c>
      <c r="S34" s="3"/>
      <c r="T34" s="3">
        <v>875.53</v>
      </c>
      <c r="U34" s="3"/>
      <c r="V34" s="22">
        <f t="shared" si="11"/>
        <v>0.36090042704743686</v>
      </c>
      <c r="W34" s="3"/>
      <c r="X34" s="3">
        <f t="shared" si="12"/>
        <v>-875.53</v>
      </c>
      <c r="Y34" s="3"/>
      <c r="Z34" s="22">
        <f t="shared" si="13"/>
        <v>-1</v>
      </c>
    </row>
    <row r="35" spans="1:26" s="24" customFormat="1" hidden="1" outlineLevel="1" x14ac:dyDescent="0.25">
      <c r="A35" s="50"/>
      <c r="B35" s="11" t="str">
        <f>CONCATENATE("          ", "5027", " - ", "PURCHASES @ COST-SCHOOL SUPPLI")</f>
        <v xml:space="preserve">          5027 - PURCHASES @ COST-SCHOOL SUPPLI</v>
      </c>
      <c r="C35" s="11"/>
      <c r="D35" s="3"/>
      <c r="E35" s="3"/>
      <c r="F35" s="22">
        <f t="shared" si="6"/>
        <v>0</v>
      </c>
      <c r="G35" s="3"/>
      <c r="H35" s="3">
        <v>857.49</v>
      </c>
      <c r="I35" s="3"/>
      <c r="J35" s="22">
        <f t="shared" si="7"/>
        <v>0.35346419561740505</v>
      </c>
      <c r="K35" s="3"/>
      <c r="L35" s="3">
        <f t="shared" si="8"/>
        <v>-857.49</v>
      </c>
      <c r="M35" s="3"/>
      <c r="N35" s="22">
        <f t="shared" si="9"/>
        <v>-1</v>
      </c>
      <c r="O35" s="11"/>
      <c r="P35" s="3"/>
      <c r="Q35" s="3"/>
      <c r="R35" s="22">
        <f t="shared" si="10"/>
        <v>0</v>
      </c>
      <c r="S35" s="3"/>
      <c r="T35" s="3">
        <v>857.49</v>
      </c>
      <c r="U35" s="3"/>
      <c r="V35" s="22">
        <f t="shared" si="11"/>
        <v>0.35346419561740505</v>
      </c>
      <c r="W35" s="3"/>
      <c r="X35" s="3">
        <f t="shared" si="12"/>
        <v>-857.49</v>
      </c>
      <c r="Y35" s="3"/>
      <c r="Z35" s="22">
        <f t="shared" si="13"/>
        <v>-1</v>
      </c>
    </row>
    <row r="36" spans="1:26" s="24" customFormat="1" hidden="1" outlineLevel="1" x14ac:dyDescent="0.25">
      <c r="A36" s="50"/>
      <c r="B36" s="11" t="str">
        <f>CONCATENATE("          ", "5028", " - ", "PURCHASES @ COST-ART/TECH")</f>
        <v xml:space="preserve">          5028 - PURCHASES @ COST-ART/TECH</v>
      </c>
      <c r="C36" s="11"/>
      <c r="D36" s="3"/>
      <c r="E36" s="3"/>
      <c r="F36" s="22">
        <f t="shared" si="6"/>
        <v>0</v>
      </c>
      <c r="G36" s="3"/>
      <c r="H36" s="3">
        <v>25883.09</v>
      </c>
      <c r="I36" s="3"/>
      <c r="J36" s="22">
        <f t="shared" si="7"/>
        <v>10.669215485828291</v>
      </c>
      <c r="K36" s="3"/>
      <c r="L36" s="3">
        <f t="shared" si="8"/>
        <v>-25883.09</v>
      </c>
      <c r="M36" s="3"/>
      <c r="N36" s="22">
        <f t="shared" si="9"/>
        <v>-1</v>
      </c>
      <c r="O36" s="11"/>
      <c r="P36" s="3"/>
      <c r="Q36" s="3"/>
      <c r="R36" s="22">
        <f t="shared" si="10"/>
        <v>0</v>
      </c>
      <c r="S36" s="3"/>
      <c r="T36" s="3">
        <v>25883.09</v>
      </c>
      <c r="U36" s="3"/>
      <c r="V36" s="22">
        <f t="shared" si="11"/>
        <v>10.669215485828291</v>
      </c>
      <c r="W36" s="3"/>
      <c r="X36" s="3">
        <f t="shared" si="12"/>
        <v>-25883.09</v>
      </c>
      <c r="Y36" s="3"/>
      <c r="Z36" s="22">
        <f t="shared" si="13"/>
        <v>-1</v>
      </c>
    </row>
    <row r="37" spans="1:26" s="24" customFormat="1" hidden="1" outlineLevel="1" x14ac:dyDescent="0.25">
      <c r="A37" s="50"/>
      <c r="B37" s="11" t="str">
        <f>CONCATENATE("          ", "5032", " - ", "PURCHASES @ COST-JUICE")</f>
        <v xml:space="preserve">          5032 - PURCHASES @ COST-JUICE</v>
      </c>
      <c r="C37" s="11"/>
      <c r="D37" s="3"/>
      <c r="E37" s="3"/>
      <c r="F37" s="22">
        <f t="shared" si="6"/>
        <v>0</v>
      </c>
      <c r="G37" s="3"/>
      <c r="H37" s="3">
        <v>114.42</v>
      </c>
      <c r="I37" s="3"/>
      <c r="J37" s="22">
        <f t="shared" si="7"/>
        <v>4.7164833715312701E-2</v>
      </c>
      <c r="K37" s="3"/>
      <c r="L37" s="3">
        <f t="shared" si="8"/>
        <v>-114.42</v>
      </c>
      <c r="M37" s="3"/>
      <c r="N37" s="22">
        <f t="shared" si="9"/>
        <v>-1</v>
      </c>
      <c r="O37" s="11"/>
      <c r="P37" s="3"/>
      <c r="Q37" s="3"/>
      <c r="R37" s="22">
        <f t="shared" si="10"/>
        <v>0</v>
      </c>
      <c r="S37" s="3"/>
      <c r="T37" s="3">
        <v>114.42</v>
      </c>
      <c r="U37" s="3"/>
      <c r="V37" s="22">
        <f t="shared" si="11"/>
        <v>4.7164833715312701E-2</v>
      </c>
      <c r="W37" s="3"/>
      <c r="X37" s="3">
        <f t="shared" si="12"/>
        <v>-114.42</v>
      </c>
      <c r="Y37" s="3"/>
      <c r="Z37" s="22">
        <f t="shared" si="13"/>
        <v>-1</v>
      </c>
    </row>
    <row r="38" spans="1:26" s="24" customFormat="1" hidden="1" outlineLevel="1" x14ac:dyDescent="0.25">
      <c r="A38" s="50"/>
      <c r="B38" s="11" t="str">
        <f>CONCATENATE("          ", "5034", " - ", "PURCHASES @ COST-SODA")</f>
        <v xml:space="preserve">          5034 - PURCHASES @ COST-SODA</v>
      </c>
      <c r="C38" s="11"/>
      <c r="D38" s="3"/>
      <c r="E38" s="3"/>
      <c r="F38" s="22">
        <f t="shared" si="6"/>
        <v>0</v>
      </c>
      <c r="G38" s="3"/>
      <c r="H38" s="3">
        <v>-61.54</v>
      </c>
      <c r="I38" s="3"/>
      <c r="J38" s="22">
        <f t="shared" si="7"/>
        <v>-2.5367277284044254E-2</v>
      </c>
      <c r="K38" s="3"/>
      <c r="L38" s="3">
        <f t="shared" si="8"/>
        <v>61.54</v>
      </c>
      <c r="M38" s="3"/>
      <c r="N38" s="22">
        <f t="shared" si="9"/>
        <v>-1</v>
      </c>
      <c r="O38" s="11"/>
      <c r="P38" s="3"/>
      <c r="Q38" s="3"/>
      <c r="R38" s="22">
        <f t="shared" si="10"/>
        <v>0</v>
      </c>
      <c r="S38" s="3"/>
      <c r="T38" s="3">
        <v>-61.54</v>
      </c>
      <c r="U38" s="3"/>
      <c r="V38" s="22">
        <f t="shared" si="11"/>
        <v>-2.5367277284044254E-2</v>
      </c>
      <c r="W38" s="3"/>
      <c r="X38" s="3">
        <f t="shared" si="12"/>
        <v>61.54</v>
      </c>
      <c r="Y38" s="3"/>
      <c r="Z38" s="22">
        <f t="shared" si="13"/>
        <v>-1</v>
      </c>
    </row>
    <row r="39" spans="1:26" s="24" customFormat="1" hidden="1" outlineLevel="1" x14ac:dyDescent="0.25">
      <c r="A39" s="50"/>
      <c r="B39" s="11" t="str">
        <f>CONCATENATE("          ", "5037", " - ", "PURCHASES @ COST-WATER")</f>
        <v xml:space="preserve">          5037 - PURCHASES @ COST-WATER</v>
      </c>
      <c r="C39" s="11"/>
      <c r="D39" s="3"/>
      <c r="E39" s="3"/>
      <c r="F39" s="22">
        <f t="shared" si="6"/>
        <v>0</v>
      </c>
      <c r="G39" s="3"/>
      <c r="H39" s="3">
        <v>16.54</v>
      </c>
      <c r="I39" s="3"/>
      <c r="J39" s="22">
        <f t="shared" si="7"/>
        <v>6.8179195040313934E-3</v>
      </c>
      <c r="K39" s="3"/>
      <c r="L39" s="3">
        <f t="shared" si="8"/>
        <v>-16.54</v>
      </c>
      <c r="M39" s="3"/>
      <c r="N39" s="22">
        <f t="shared" si="9"/>
        <v>-1</v>
      </c>
      <c r="O39" s="11"/>
      <c r="P39" s="3"/>
      <c r="Q39" s="3"/>
      <c r="R39" s="22">
        <f t="shared" si="10"/>
        <v>0</v>
      </c>
      <c r="S39" s="3"/>
      <c r="T39" s="3">
        <v>16.54</v>
      </c>
      <c r="U39" s="3"/>
      <c r="V39" s="22">
        <f t="shared" si="11"/>
        <v>6.8179195040313934E-3</v>
      </c>
      <c r="W39" s="3"/>
      <c r="X39" s="3">
        <f t="shared" si="12"/>
        <v>-16.54</v>
      </c>
      <c r="Y39" s="3"/>
      <c r="Z39" s="22">
        <f t="shared" si="13"/>
        <v>-1</v>
      </c>
    </row>
    <row r="40" spans="1:26" s="24" customFormat="1" hidden="1" outlineLevel="1" x14ac:dyDescent="0.25">
      <c r="A40" s="50"/>
      <c r="B40" s="11" t="str">
        <f>CONCATENATE("          ", "5200", " - ", "PURCHASES OFFSET")</f>
        <v xml:space="preserve">          5200 - PURCHASES OFFSET</v>
      </c>
      <c r="C40" s="11"/>
      <c r="D40" s="3"/>
      <c r="E40" s="3"/>
      <c r="F40" s="22">
        <f t="shared" si="6"/>
        <v>0</v>
      </c>
      <c r="G40" s="3"/>
      <c r="H40" s="3">
        <v>-27685</v>
      </c>
      <c r="I40" s="3"/>
      <c r="J40" s="22">
        <f t="shared" si="7"/>
        <v>-11.411977114214579</v>
      </c>
      <c r="K40" s="3"/>
      <c r="L40" s="3">
        <f t="shared" si="8"/>
        <v>27685</v>
      </c>
      <c r="M40" s="3"/>
      <c r="N40" s="22">
        <f t="shared" si="9"/>
        <v>-1</v>
      </c>
      <c r="O40" s="11"/>
      <c r="P40" s="3"/>
      <c r="Q40" s="3"/>
      <c r="R40" s="22">
        <f t="shared" si="10"/>
        <v>0</v>
      </c>
      <c r="S40" s="3"/>
      <c r="T40" s="3">
        <v>-27685</v>
      </c>
      <c r="U40" s="3"/>
      <c r="V40" s="22">
        <f t="shared" si="11"/>
        <v>-11.411977114214579</v>
      </c>
      <c r="W40" s="3"/>
      <c r="X40" s="3">
        <f t="shared" si="12"/>
        <v>27685</v>
      </c>
      <c r="Y40" s="3"/>
      <c r="Z40" s="22">
        <f t="shared" si="13"/>
        <v>-1</v>
      </c>
    </row>
    <row r="41" spans="1:26" s="24" customFormat="1" hidden="1" outlineLevel="1" x14ac:dyDescent="0.25">
      <c r="A41" s="50"/>
      <c r="B41" s="11" t="str">
        <f>CONCATENATE("          ", "5300", " - ", "COG$ OFFSET")</f>
        <v xml:space="preserve">          5300 - COG$ OFFSET</v>
      </c>
      <c r="C41" s="11"/>
      <c r="D41" s="3"/>
      <c r="E41" s="3"/>
      <c r="F41" s="22">
        <f t="shared" si="6"/>
        <v>0</v>
      </c>
      <c r="G41" s="3"/>
      <c r="H41" s="3">
        <v>1364</v>
      </c>
      <c r="I41" s="3"/>
      <c r="J41" s="22">
        <f t="shared" si="7"/>
        <v>0.56225164470972311</v>
      </c>
      <c r="K41" s="3"/>
      <c r="L41" s="3">
        <f t="shared" si="8"/>
        <v>-1364</v>
      </c>
      <c r="M41" s="3"/>
      <c r="N41" s="22">
        <f t="shared" si="9"/>
        <v>-1</v>
      </c>
      <c r="O41" s="11"/>
      <c r="P41" s="3"/>
      <c r="Q41" s="3"/>
      <c r="R41" s="22">
        <f t="shared" si="10"/>
        <v>0</v>
      </c>
      <c r="S41" s="3"/>
      <c r="T41" s="3">
        <v>1364</v>
      </c>
      <c r="U41" s="3"/>
      <c r="V41" s="22">
        <f t="shared" si="11"/>
        <v>0.56225164470972311</v>
      </c>
      <c r="W41" s="3"/>
      <c r="X41" s="3">
        <f t="shared" si="12"/>
        <v>-1364</v>
      </c>
      <c r="Y41" s="3"/>
      <c r="Z41" s="22">
        <f t="shared" si="13"/>
        <v>-1</v>
      </c>
    </row>
    <row r="42" spans="1:26" s="24" customFormat="1" hidden="1" outlineLevel="1" x14ac:dyDescent="0.25">
      <c r="A42" s="50"/>
      <c r="B42" s="11" t="str">
        <f>CONCATENATE("          ", "5528", " - ", "FREIGHT-IN-ART/TECH")</f>
        <v xml:space="preserve">          5528 - FREIGHT-IN-ART/TECH</v>
      </c>
      <c r="C42" s="11"/>
      <c r="D42" s="3">
        <v>38.049999999999997</v>
      </c>
      <c r="E42" s="3"/>
      <c r="F42" s="22">
        <f t="shared" si="6"/>
        <v>0</v>
      </c>
      <c r="G42" s="3"/>
      <c r="H42" s="3">
        <v>0.35</v>
      </c>
      <c r="I42" s="3"/>
      <c r="J42" s="22">
        <f t="shared" si="7"/>
        <v>1.4427278273343336E-4</v>
      </c>
      <c r="K42" s="3"/>
      <c r="L42" s="3">
        <f t="shared" si="8"/>
        <v>37.699999999999996</v>
      </c>
      <c r="M42" s="3"/>
      <c r="N42" s="22">
        <f t="shared" si="9"/>
        <v>107.71428571428571</v>
      </c>
      <c r="O42" s="11"/>
      <c r="P42" s="3">
        <v>38.049999999999997</v>
      </c>
      <c r="Q42" s="3"/>
      <c r="R42" s="22">
        <f t="shared" si="10"/>
        <v>0</v>
      </c>
      <c r="S42" s="3"/>
      <c r="T42" s="3">
        <v>0.35</v>
      </c>
      <c r="U42" s="3"/>
      <c r="V42" s="22">
        <f t="shared" si="11"/>
        <v>1.4427278273343336E-4</v>
      </c>
      <c r="W42" s="3"/>
      <c r="X42" s="3">
        <f t="shared" si="12"/>
        <v>37.699999999999996</v>
      </c>
      <c r="Y42" s="3"/>
      <c r="Z42" s="22">
        <f t="shared" si="13"/>
        <v>107.71428571428571</v>
      </c>
    </row>
    <row r="43" spans="1:26" x14ac:dyDescent="0.25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10"/>
      <c r="B44" s="26" t="s">
        <v>6</v>
      </c>
      <c r="C44" s="26"/>
      <c r="D44" s="19">
        <f>D12-D33</f>
        <v>-38.049999999999997</v>
      </c>
      <c r="E44" s="13"/>
      <c r="F44" s="20">
        <f>IF(D$12=0,0,D44/D$12)</f>
        <v>0</v>
      </c>
      <c r="G44" s="13"/>
      <c r="H44" s="19">
        <f>H12-H33</f>
        <v>1061.0800000000013</v>
      </c>
      <c r="I44" s="13"/>
      <c r="J44" s="20">
        <f>IF(H$12=0,0,H44/H$12)</f>
        <v>0.43738561229369044</v>
      </c>
      <c r="K44" s="16"/>
      <c r="L44" s="19">
        <f>+D44-H44</f>
        <v>-1099.1300000000012</v>
      </c>
      <c r="M44" s="16"/>
      <c r="N44" s="20">
        <f>IF(H44=0,0,L44/H44)</f>
        <v>-1.0358596901270403</v>
      </c>
      <c r="O44" s="25"/>
      <c r="P44" s="19">
        <f>P12-P33</f>
        <v>-38.049999999999997</v>
      </c>
      <c r="Q44" s="13"/>
      <c r="R44" s="20">
        <f>IF(P$12=0,0,P44/P$12)</f>
        <v>0</v>
      </c>
      <c r="S44" s="13"/>
      <c r="T44" s="19">
        <f>T12-T33</f>
        <v>1061.0800000000013</v>
      </c>
      <c r="U44" s="13"/>
      <c r="V44" s="20">
        <f>IF(T$12=0,0,T44/T$12)</f>
        <v>0.43738561229369044</v>
      </c>
      <c r="W44" s="16"/>
      <c r="X44" s="19">
        <f>+P44-T44</f>
        <v>-1099.1300000000012</v>
      </c>
      <c r="Y44" s="16"/>
      <c r="Z44" s="20">
        <f>IF(T44=0,0,X44/T44)</f>
        <v>-1.0358596901270403</v>
      </c>
    </row>
    <row r="45" spans="1:26" x14ac:dyDescent="0.25">
      <c r="A45" s="9"/>
      <c r="B45" s="10"/>
      <c r="C45" s="9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5" t="s">
        <v>9</v>
      </c>
      <c r="C46" s="10"/>
      <c r="D46" s="21">
        <f>SUM(OSRRefD22x_0)</f>
        <v>1103.3499999999999</v>
      </c>
      <c r="E46" s="21"/>
      <c r="F46" s="34">
        <f t="shared" ref="F46:F55" si="14">IF(D$12=0,0,D46/D$12)</f>
        <v>0</v>
      </c>
      <c r="G46" s="21"/>
      <c r="H46" s="21">
        <f>SUM(OSRRefH22x_0)</f>
        <v>11283.699999999999</v>
      </c>
      <c r="I46" s="21"/>
      <c r="J46" s="34">
        <f t="shared" ref="J46:J55" si="15">IF(H$12=0,0,H46/H$12)</f>
        <v>4.6512308529406914</v>
      </c>
      <c r="K46" s="4"/>
      <c r="L46" s="21">
        <f t="shared" ref="L46:L55" si="16">+D46-H46</f>
        <v>-10180.349999999999</v>
      </c>
      <c r="M46" s="4"/>
      <c r="N46" s="34">
        <f t="shared" ref="N46:N55" si="17">IF(H46=0,0,L46/H46)</f>
        <v>-0.90221735778157874</v>
      </c>
      <c r="O46" s="10"/>
      <c r="P46" s="21">
        <f>SUM(OSRRefP22x_0)</f>
        <v>1103.3499999999999</v>
      </c>
      <c r="Q46" s="21"/>
      <c r="R46" s="34">
        <f t="shared" ref="R46:R55" si="18">IF(P$12=0,0,P46/P$12)</f>
        <v>0</v>
      </c>
      <c r="S46" s="21"/>
      <c r="T46" s="21">
        <f>SUM(OSRRefT22x_0)</f>
        <v>11283.699999999999</v>
      </c>
      <c r="U46" s="21"/>
      <c r="V46" s="34">
        <f t="shared" ref="V46:V55" si="19">IF(T$12=0,0,T46/T$12)</f>
        <v>4.6512308529406914</v>
      </c>
      <c r="W46" s="4"/>
      <c r="X46" s="21">
        <f t="shared" ref="X46:X55" si="20">+P46-T46</f>
        <v>-10180.349999999999</v>
      </c>
      <c r="Y46" s="4"/>
      <c r="Z46" s="34">
        <f t="shared" ref="Z46:Z55" si="21">IF(T46=0,0,X46/T46)</f>
        <v>-0.90221735778157874</v>
      </c>
    </row>
    <row r="47" spans="1:26" s="27" customFormat="1" outlineLevel="1" collapsed="1" x14ac:dyDescent="0.25">
      <c r="A47" s="28"/>
      <c r="B47" s="14" t="str">
        <f>CONCATENATE("     ","*Benefits                                         ")</f>
        <v xml:space="preserve">     *Benefits                                         </v>
      </c>
      <c r="C47" s="14"/>
      <c r="D47" s="1">
        <f>SUM(OSRRefD22_0x_0)</f>
        <v>0</v>
      </c>
      <c r="E47" s="1"/>
      <c r="F47" s="5">
        <f t="shared" si="14"/>
        <v>0</v>
      </c>
      <c r="G47" s="1"/>
      <c r="H47" s="1">
        <f>SUM(OSRRefH22_0x_0)</f>
        <v>1603.75</v>
      </c>
      <c r="I47" s="1"/>
      <c r="J47" s="5">
        <f t="shared" si="15"/>
        <v>0.66107850088212505</v>
      </c>
      <c r="K47" s="1"/>
      <c r="L47" s="1">
        <f t="shared" si="16"/>
        <v>-1603.75</v>
      </c>
      <c r="M47" s="1"/>
      <c r="N47" s="5">
        <f t="shared" si="17"/>
        <v>-1</v>
      </c>
      <c r="O47" s="14"/>
      <c r="P47" s="1">
        <f>SUM(OSRRefP22_0x_0)</f>
        <v>0</v>
      </c>
      <c r="Q47" s="1"/>
      <c r="R47" s="5">
        <f t="shared" si="18"/>
        <v>0</v>
      </c>
      <c r="S47" s="1"/>
      <c r="T47" s="1">
        <f>SUM(OSRRefT22_0x_0)</f>
        <v>1603.75</v>
      </c>
      <c r="U47" s="1"/>
      <c r="V47" s="5">
        <f t="shared" si="19"/>
        <v>0.66107850088212505</v>
      </c>
      <c r="W47" s="1"/>
      <c r="X47" s="1">
        <f t="shared" si="20"/>
        <v>-1603.75</v>
      </c>
      <c r="Y47" s="1"/>
      <c r="Z47" s="5">
        <f t="shared" si="21"/>
        <v>-1</v>
      </c>
    </row>
    <row r="48" spans="1:26" s="24" customFormat="1" hidden="1" outlineLevel="2" x14ac:dyDescent="0.25">
      <c r="A48" s="29"/>
      <c r="B48" s="11" t="str">
        <f>CONCATENATE("          ", "6111", " - ", "F.I.C.A.")</f>
        <v xml:space="preserve">          6111 - F.I.C.A.</v>
      </c>
      <c r="C48" s="11"/>
      <c r="D48" s="8"/>
      <c r="E48" s="3"/>
      <c r="F48" s="7">
        <f t="shared" si="14"/>
        <v>0</v>
      </c>
      <c r="G48" s="3"/>
      <c r="H48" s="8">
        <v>364.25</v>
      </c>
      <c r="I48" s="3"/>
      <c r="J48" s="7">
        <f t="shared" si="15"/>
        <v>0.15014674603043743</v>
      </c>
      <c r="K48" s="3"/>
      <c r="L48" s="8">
        <f t="shared" si="16"/>
        <v>-364.25</v>
      </c>
      <c r="M48" s="3"/>
      <c r="N48" s="7">
        <f t="shared" si="17"/>
        <v>-1</v>
      </c>
      <c r="O48" s="11"/>
      <c r="P48" s="8"/>
      <c r="Q48" s="3"/>
      <c r="R48" s="7">
        <f t="shared" si="18"/>
        <v>0</v>
      </c>
      <c r="S48" s="3"/>
      <c r="T48" s="8">
        <v>364.25</v>
      </c>
      <c r="U48" s="3"/>
      <c r="V48" s="7">
        <f t="shared" si="19"/>
        <v>0.15014674603043743</v>
      </c>
      <c r="W48" s="3"/>
      <c r="X48" s="8">
        <f t="shared" si="20"/>
        <v>-364.25</v>
      </c>
      <c r="Y48" s="3"/>
      <c r="Z48" s="7">
        <f t="shared" si="21"/>
        <v>-1</v>
      </c>
    </row>
    <row r="49" spans="1:26" s="24" customFormat="1" hidden="1" outlineLevel="2" x14ac:dyDescent="0.25">
      <c r="A49" s="29"/>
      <c r="B49" s="11" t="str">
        <f>CONCATENATE("          ", "6112", " - ", "COMPENSATION INSURANCE")</f>
        <v xml:space="preserve">          6112 - COMPENSATION INSURANCE</v>
      </c>
      <c r="C49" s="11"/>
      <c r="D49" s="8"/>
      <c r="E49" s="3"/>
      <c r="F49" s="7">
        <f t="shared" si="14"/>
        <v>0</v>
      </c>
      <c r="G49" s="3"/>
      <c r="H49" s="8">
        <v>89.98</v>
      </c>
      <c r="I49" s="3"/>
      <c r="J49" s="7">
        <f t="shared" si="15"/>
        <v>3.7090471401012383E-2</v>
      </c>
      <c r="K49" s="3"/>
      <c r="L49" s="8">
        <f t="shared" si="16"/>
        <v>-89.98</v>
      </c>
      <c r="M49" s="3"/>
      <c r="N49" s="7">
        <f t="shared" si="17"/>
        <v>-1</v>
      </c>
      <c r="O49" s="11"/>
      <c r="P49" s="8"/>
      <c r="Q49" s="3"/>
      <c r="R49" s="7">
        <f t="shared" si="18"/>
        <v>0</v>
      </c>
      <c r="S49" s="3"/>
      <c r="T49" s="8">
        <v>89.98</v>
      </c>
      <c r="U49" s="3"/>
      <c r="V49" s="7">
        <f t="shared" si="19"/>
        <v>3.7090471401012383E-2</v>
      </c>
      <c r="W49" s="3"/>
      <c r="X49" s="8">
        <f t="shared" si="20"/>
        <v>-89.98</v>
      </c>
      <c r="Y49" s="3"/>
      <c r="Z49" s="7">
        <f t="shared" si="21"/>
        <v>-1</v>
      </c>
    </row>
    <row r="50" spans="1:26" s="24" customFormat="1" hidden="1" outlineLevel="2" x14ac:dyDescent="0.25">
      <c r="A50" s="29"/>
      <c r="B50" s="11" t="str">
        <f>CONCATENATE("          ", "6113", " - ", "GROUP INSURANCE")</f>
        <v xml:space="preserve">          6113 - GROUP INSURANCE</v>
      </c>
      <c r="C50" s="11"/>
      <c r="D50" s="8"/>
      <c r="E50" s="3"/>
      <c r="F50" s="7">
        <f t="shared" si="14"/>
        <v>0</v>
      </c>
      <c r="G50" s="3"/>
      <c r="H50" s="8">
        <v>488.51</v>
      </c>
      <c r="I50" s="3"/>
      <c r="J50" s="7">
        <f t="shared" si="15"/>
        <v>0.20136770598031295</v>
      </c>
      <c r="K50" s="3"/>
      <c r="L50" s="8">
        <f t="shared" si="16"/>
        <v>-488.51</v>
      </c>
      <c r="M50" s="3"/>
      <c r="N50" s="7">
        <f t="shared" si="17"/>
        <v>-1</v>
      </c>
      <c r="O50" s="11"/>
      <c r="P50" s="8"/>
      <c r="Q50" s="3"/>
      <c r="R50" s="7">
        <f t="shared" si="18"/>
        <v>0</v>
      </c>
      <c r="S50" s="3"/>
      <c r="T50" s="8">
        <v>488.51</v>
      </c>
      <c r="U50" s="3"/>
      <c r="V50" s="7">
        <f t="shared" si="19"/>
        <v>0.20136770598031295</v>
      </c>
      <c r="W50" s="3"/>
      <c r="X50" s="8">
        <f t="shared" si="20"/>
        <v>-488.51</v>
      </c>
      <c r="Y50" s="3"/>
      <c r="Z50" s="7">
        <f t="shared" si="21"/>
        <v>-1</v>
      </c>
    </row>
    <row r="51" spans="1:26" s="24" customFormat="1" hidden="1" outlineLevel="2" x14ac:dyDescent="0.25">
      <c r="A51" s="29"/>
      <c r="B51" s="11" t="str">
        <f>CONCATENATE("          ", "6114", " - ", "STATE UNEMPLOYMENT INSURANCE")</f>
        <v xml:space="preserve">          6114 - STATE UNEMPLOYMENT INSURANCE</v>
      </c>
      <c r="C51" s="11"/>
      <c r="D51" s="8"/>
      <c r="E51" s="3"/>
      <c r="F51" s="7">
        <f t="shared" si="14"/>
        <v>0</v>
      </c>
      <c r="G51" s="3"/>
      <c r="H51" s="8">
        <v>12.31</v>
      </c>
      <c r="I51" s="3"/>
      <c r="J51" s="7">
        <f t="shared" si="15"/>
        <v>5.0742798727101846E-3</v>
      </c>
      <c r="K51" s="3"/>
      <c r="L51" s="8">
        <f t="shared" si="16"/>
        <v>-12.31</v>
      </c>
      <c r="M51" s="3"/>
      <c r="N51" s="7">
        <f t="shared" si="17"/>
        <v>-1</v>
      </c>
      <c r="O51" s="11"/>
      <c r="P51" s="8"/>
      <c r="Q51" s="3"/>
      <c r="R51" s="7">
        <f t="shared" si="18"/>
        <v>0</v>
      </c>
      <c r="S51" s="3"/>
      <c r="T51" s="8">
        <v>12.31</v>
      </c>
      <c r="U51" s="3"/>
      <c r="V51" s="7">
        <f t="shared" si="19"/>
        <v>5.0742798727101846E-3</v>
      </c>
      <c r="W51" s="3"/>
      <c r="X51" s="8">
        <f t="shared" si="20"/>
        <v>-12.31</v>
      </c>
      <c r="Y51" s="3"/>
      <c r="Z51" s="7">
        <f t="shared" si="21"/>
        <v>-1</v>
      </c>
    </row>
    <row r="52" spans="1:26" s="24" customFormat="1" hidden="1" outlineLevel="2" x14ac:dyDescent="0.25">
      <c r="A52" s="29"/>
      <c r="B52" s="11" t="str">
        <f>CONCATENATE("          ", "6115", " - ", "P.E.R.S.")</f>
        <v xml:space="preserve">          6115 - P.E.R.S.</v>
      </c>
      <c r="C52" s="11"/>
      <c r="D52" s="8"/>
      <c r="E52" s="3"/>
      <c r="F52" s="7">
        <f t="shared" si="14"/>
        <v>0</v>
      </c>
      <c r="G52" s="3"/>
      <c r="H52" s="8">
        <v>201.17</v>
      </c>
      <c r="I52" s="3"/>
      <c r="J52" s="7">
        <f t="shared" si="15"/>
        <v>8.2923873435670814E-2</v>
      </c>
      <c r="K52" s="3"/>
      <c r="L52" s="8">
        <f t="shared" si="16"/>
        <v>-201.17</v>
      </c>
      <c r="M52" s="3"/>
      <c r="N52" s="7">
        <f t="shared" si="17"/>
        <v>-1</v>
      </c>
      <c r="O52" s="11"/>
      <c r="P52" s="8"/>
      <c r="Q52" s="3"/>
      <c r="R52" s="7">
        <f t="shared" si="18"/>
        <v>0</v>
      </c>
      <c r="S52" s="3"/>
      <c r="T52" s="8">
        <v>201.17</v>
      </c>
      <c r="U52" s="3"/>
      <c r="V52" s="7">
        <f t="shared" si="19"/>
        <v>8.2923873435670814E-2</v>
      </c>
      <c r="W52" s="3"/>
      <c r="X52" s="8">
        <f t="shared" si="20"/>
        <v>-201.17</v>
      </c>
      <c r="Y52" s="3"/>
      <c r="Z52" s="7">
        <f t="shared" si="21"/>
        <v>-1</v>
      </c>
    </row>
    <row r="53" spans="1:26" s="24" customFormat="1" hidden="1" outlineLevel="2" x14ac:dyDescent="0.25">
      <c r="A53" s="29"/>
      <c r="B53" s="11" t="str">
        <f>CONCATENATE("          ", "6118", " - ", "VACATION")</f>
        <v xml:space="preserve">          6118 - VACATION</v>
      </c>
      <c r="C53" s="11"/>
      <c r="D53" s="8"/>
      <c r="E53" s="3"/>
      <c r="F53" s="7">
        <f t="shared" si="14"/>
        <v>0</v>
      </c>
      <c r="G53" s="3"/>
      <c r="H53" s="8">
        <v>165.96</v>
      </c>
      <c r="I53" s="3"/>
      <c r="J53" s="7">
        <f t="shared" si="15"/>
        <v>6.8410031492687429E-2</v>
      </c>
      <c r="K53" s="3"/>
      <c r="L53" s="8">
        <f t="shared" si="16"/>
        <v>-165.96</v>
      </c>
      <c r="M53" s="3"/>
      <c r="N53" s="7">
        <f t="shared" si="17"/>
        <v>-1</v>
      </c>
      <c r="O53" s="11"/>
      <c r="P53" s="8"/>
      <c r="Q53" s="3"/>
      <c r="R53" s="7">
        <f t="shared" si="18"/>
        <v>0</v>
      </c>
      <c r="S53" s="3"/>
      <c r="T53" s="8">
        <v>165.96</v>
      </c>
      <c r="U53" s="3"/>
      <c r="V53" s="7">
        <f t="shared" si="19"/>
        <v>6.8410031492687429E-2</v>
      </c>
      <c r="W53" s="3"/>
      <c r="X53" s="8">
        <f t="shared" si="20"/>
        <v>-165.96</v>
      </c>
      <c r="Y53" s="3"/>
      <c r="Z53" s="7">
        <f t="shared" si="21"/>
        <v>-1</v>
      </c>
    </row>
    <row r="54" spans="1:26" s="24" customFormat="1" hidden="1" outlineLevel="2" x14ac:dyDescent="0.25">
      <c r="A54" s="29"/>
      <c r="B54" s="11" t="str">
        <f>CONCATENATE("          ", "6119", " - ", "SICK LEAVE")</f>
        <v xml:space="preserve">          6119 - SICK LEAVE</v>
      </c>
      <c r="C54" s="11"/>
      <c r="D54" s="8"/>
      <c r="E54" s="3"/>
      <c r="F54" s="7">
        <f t="shared" si="14"/>
        <v>0</v>
      </c>
      <c r="G54" s="3"/>
      <c r="H54" s="8">
        <v>132.84</v>
      </c>
      <c r="I54" s="3"/>
      <c r="J54" s="7">
        <f t="shared" si="15"/>
        <v>5.4757704166597969E-2</v>
      </c>
      <c r="K54" s="3"/>
      <c r="L54" s="8">
        <f t="shared" si="16"/>
        <v>-132.84</v>
      </c>
      <c r="M54" s="3"/>
      <c r="N54" s="7">
        <f t="shared" si="17"/>
        <v>-1</v>
      </c>
      <c r="O54" s="11"/>
      <c r="P54" s="8"/>
      <c r="Q54" s="3"/>
      <c r="R54" s="7">
        <f t="shared" si="18"/>
        <v>0</v>
      </c>
      <c r="S54" s="3"/>
      <c r="T54" s="8">
        <v>132.84</v>
      </c>
      <c r="U54" s="3"/>
      <c r="V54" s="7">
        <f t="shared" si="19"/>
        <v>5.4757704166597969E-2</v>
      </c>
      <c r="W54" s="3"/>
      <c r="X54" s="8">
        <f t="shared" si="20"/>
        <v>-132.84</v>
      </c>
      <c r="Y54" s="3"/>
      <c r="Z54" s="7">
        <f t="shared" si="21"/>
        <v>-1</v>
      </c>
    </row>
    <row r="55" spans="1:26" s="24" customFormat="1" hidden="1" outlineLevel="2" x14ac:dyDescent="0.25">
      <c r="A55" s="29"/>
      <c r="B55" s="11" t="str">
        <f>CONCATENATE("          ", "6156", " - ", "EMPLOYEE MEALS")</f>
        <v xml:space="preserve">          6156 - EMPLOYEE MEALS</v>
      </c>
      <c r="C55" s="11"/>
      <c r="D55" s="8"/>
      <c r="E55" s="3"/>
      <c r="F55" s="7">
        <f t="shared" si="14"/>
        <v>0</v>
      </c>
      <c r="G55" s="3"/>
      <c r="H55" s="8">
        <v>148.72999999999999</v>
      </c>
      <c r="I55" s="3"/>
      <c r="J55" s="7">
        <f t="shared" si="15"/>
        <v>6.1307688502695835E-2</v>
      </c>
      <c r="K55" s="3"/>
      <c r="L55" s="8">
        <f t="shared" si="16"/>
        <v>-148.72999999999999</v>
      </c>
      <c r="M55" s="3"/>
      <c r="N55" s="7">
        <f t="shared" si="17"/>
        <v>-1</v>
      </c>
      <c r="O55" s="11"/>
      <c r="P55" s="8"/>
      <c r="Q55" s="3"/>
      <c r="R55" s="7">
        <f t="shared" si="18"/>
        <v>0</v>
      </c>
      <c r="S55" s="3"/>
      <c r="T55" s="8">
        <v>148.72999999999999</v>
      </c>
      <c r="U55" s="3"/>
      <c r="V55" s="7">
        <f t="shared" si="19"/>
        <v>6.1307688502695835E-2</v>
      </c>
      <c r="W55" s="3"/>
      <c r="X55" s="8">
        <f t="shared" si="20"/>
        <v>-148.72999999999999</v>
      </c>
      <c r="Y55" s="3"/>
      <c r="Z55" s="7">
        <f t="shared" si="21"/>
        <v>-1</v>
      </c>
    </row>
    <row r="56" spans="1:26" s="27" customFormat="1" outlineLevel="1" collapsed="1" x14ac:dyDescent="0.25">
      <c r="A56" s="28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0</v>
      </c>
      <c r="E56" s="1"/>
      <c r="F56" s="5">
        <f t="shared" ref="F56:F59" si="22">IF(D$12=0,0,D56/D$12)</f>
        <v>0</v>
      </c>
      <c r="G56" s="1"/>
      <c r="H56" s="1">
        <f>SUM(OSRRefH22_1x_0)</f>
        <v>7818.1900000000005</v>
      </c>
      <c r="I56" s="1"/>
      <c r="J56" s="5">
        <f t="shared" ref="J56:J59" si="23">IF(H$12=0,0,H56/H$12)</f>
        <v>3.222720077824861</v>
      </c>
      <c r="K56" s="1"/>
      <c r="L56" s="1">
        <f t="shared" ref="L56:L59" si="24">+D56-H56</f>
        <v>-7818.1900000000005</v>
      </c>
      <c r="M56" s="1"/>
      <c r="N56" s="5">
        <f t="shared" ref="N56:N59" si="25">IF(H56=0,0,L56/H56)</f>
        <v>-1</v>
      </c>
      <c r="O56" s="14"/>
      <c r="P56" s="1">
        <f>SUM(OSRRefP22_1x_0)</f>
        <v>0</v>
      </c>
      <c r="Q56" s="1"/>
      <c r="R56" s="5">
        <f t="shared" ref="R56:R59" si="26">IF(P$12=0,0,P56/P$12)</f>
        <v>0</v>
      </c>
      <c r="S56" s="1"/>
      <c r="T56" s="1">
        <f>SUM(OSRRefT22_1x_0)</f>
        <v>7818.1900000000005</v>
      </c>
      <c r="U56" s="1"/>
      <c r="V56" s="5">
        <f t="shared" ref="V56:V59" si="27">IF(T$12=0,0,T56/T$12)</f>
        <v>3.222720077824861</v>
      </c>
      <c r="W56" s="1"/>
      <c r="X56" s="1">
        <f t="shared" ref="X56:X59" si="28">+P56-T56</f>
        <v>-7818.1900000000005</v>
      </c>
      <c r="Y56" s="1"/>
      <c r="Z56" s="5">
        <f t="shared" ref="Z56:Z59" si="29">IF(T56=0,0,X56/T56)</f>
        <v>-1</v>
      </c>
    </row>
    <row r="57" spans="1:26" s="24" customFormat="1" hidden="1" outlineLevel="2" x14ac:dyDescent="0.25">
      <c r="A57" s="29"/>
      <c r="B57" s="11" t="str">
        <f>CONCATENATE("          ", "6002", " - ", "STAFF SALARIES")</f>
        <v xml:space="preserve">          6002 - STAFF SALARIES</v>
      </c>
      <c r="C57" s="11"/>
      <c r="D57" s="8"/>
      <c r="E57" s="3"/>
      <c r="F57" s="7">
        <f t="shared" si="22"/>
        <v>0</v>
      </c>
      <c r="G57" s="3"/>
      <c r="H57" s="8">
        <v>5629</v>
      </c>
      <c r="I57" s="3"/>
      <c r="J57" s="7">
        <f t="shared" si="23"/>
        <v>2.3203185543042752</v>
      </c>
      <c r="K57" s="3"/>
      <c r="L57" s="8">
        <f t="shared" si="24"/>
        <v>-5629</v>
      </c>
      <c r="M57" s="3"/>
      <c r="N57" s="7">
        <f t="shared" si="25"/>
        <v>-1</v>
      </c>
      <c r="O57" s="11"/>
      <c r="P57" s="8"/>
      <c r="Q57" s="3"/>
      <c r="R57" s="7">
        <f t="shared" si="26"/>
        <v>0</v>
      </c>
      <c r="S57" s="3"/>
      <c r="T57" s="8">
        <v>5629</v>
      </c>
      <c r="U57" s="3"/>
      <c r="V57" s="7">
        <f t="shared" si="27"/>
        <v>2.3203185543042752</v>
      </c>
      <c r="W57" s="3"/>
      <c r="X57" s="8">
        <f t="shared" si="28"/>
        <v>-5629</v>
      </c>
      <c r="Y57" s="3"/>
      <c r="Z57" s="7">
        <f t="shared" si="29"/>
        <v>-1</v>
      </c>
    </row>
    <row r="58" spans="1:26" s="24" customFormat="1" hidden="1" outlineLevel="2" x14ac:dyDescent="0.25">
      <c r="A58" s="29"/>
      <c r="B58" s="11" t="str">
        <f>CONCATENATE("          ", "6006", " - ", "TEMPORARY PART TIME")</f>
        <v xml:space="preserve">          6006 - TEMPORARY PART TIME</v>
      </c>
      <c r="C58" s="11"/>
      <c r="D58" s="8"/>
      <c r="E58" s="3"/>
      <c r="F58" s="7">
        <f t="shared" si="22"/>
        <v>0</v>
      </c>
      <c r="G58" s="3"/>
      <c r="H58" s="8">
        <v>25.5</v>
      </c>
      <c r="I58" s="3"/>
      <c r="J58" s="7">
        <f t="shared" si="23"/>
        <v>1.0511302742007287E-2</v>
      </c>
      <c r="K58" s="3"/>
      <c r="L58" s="8">
        <f t="shared" si="24"/>
        <v>-25.5</v>
      </c>
      <c r="M58" s="3"/>
      <c r="N58" s="7">
        <f t="shared" si="25"/>
        <v>-1</v>
      </c>
      <c r="O58" s="11"/>
      <c r="P58" s="8"/>
      <c r="Q58" s="3"/>
      <c r="R58" s="7">
        <f t="shared" si="26"/>
        <v>0</v>
      </c>
      <c r="S58" s="3"/>
      <c r="T58" s="8">
        <v>25.5</v>
      </c>
      <c r="U58" s="3"/>
      <c r="V58" s="7">
        <f t="shared" si="27"/>
        <v>1.0511302742007287E-2</v>
      </c>
      <c r="W58" s="3"/>
      <c r="X58" s="8">
        <f t="shared" si="28"/>
        <v>-25.5</v>
      </c>
      <c r="Y58" s="3"/>
      <c r="Z58" s="7">
        <f t="shared" si="29"/>
        <v>-1</v>
      </c>
    </row>
    <row r="59" spans="1:26" s="24" customFormat="1" hidden="1" outlineLevel="2" x14ac:dyDescent="0.25">
      <c r="A59" s="29"/>
      <c r="B59" s="11" t="str">
        <f>CONCATENATE("          ", "6007", " - ", "STUDENT HOURLY")</f>
        <v xml:space="preserve">          6007 - STUDENT HOURLY</v>
      </c>
      <c r="C59" s="11"/>
      <c r="D59" s="8"/>
      <c r="E59" s="3"/>
      <c r="F59" s="7">
        <f t="shared" si="22"/>
        <v>0</v>
      </c>
      <c r="G59" s="3"/>
      <c r="H59" s="8">
        <v>2163.69</v>
      </c>
      <c r="I59" s="3"/>
      <c r="J59" s="7">
        <f t="shared" si="23"/>
        <v>0.89189022077857838</v>
      </c>
      <c r="K59" s="3"/>
      <c r="L59" s="8">
        <f t="shared" si="24"/>
        <v>-2163.69</v>
      </c>
      <c r="M59" s="3"/>
      <c r="N59" s="7">
        <f t="shared" si="25"/>
        <v>-1</v>
      </c>
      <c r="O59" s="11"/>
      <c r="P59" s="8"/>
      <c r="Q59" s="3"/>
      <c r="R59" s="7">
        <f t="shared" si="26"/>
        <v>0</v>
      </c>
      <c r="S59" s="3"/>
      <c r="T59" s="8">
        <v>2163.69</v>
      </c>
      <c r="U59" s="3"/>
      <c r="V59" s="7">
        <f t="shared" si="27"/>
        <v>0.89189022077857838</v>
      </c>
      <c r="W59" s="3"/>
      <c r="X59" s="8">
        <f t="shared" si="28"/>
        <v>-2163.69</v>
      </c>
      <c r="Y59" s="3"/>
      <c r="Z59" s="7">
        <f t="shared" si="29"/>
        <v>-1</v>
      </c>
    </row>
    <row r="60" spans="1:26" s="27" customFormat="1" outlineLevel="1" collapsed="1" x14ac:dyDescent="0.25">
      <c r="A60" s="28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SUM(OSRRefD22_2x_0)</f>
        <v>0</v>
      </c>
      <c r="E60" s="1"/>
      <c r="F60" s="5">
        <f t="shared" ref="F60:F70" si="30">IF(D$12=0,0,D60/D$12)</f>
        <v>0</v>
      </c>
      <c r="G60" s="1"/>
      <c r="H60" s="1">
        <f>SUM(OSRRefH22_2x_0)</f>
        <v>0.38</v>
      </c>
      <c r="I60" s="1"/>
      <c r="J60" s="5">
        <f t="shared" ref="J60:J70" si="31">IF(H$12=0,0,H60/H$12)</f>
        <v>1.5663902125344193E-4</v>
      </c>
      <c r="K60" s="1"/>
      <c r="L60" s="1">
        <f t="shared" ref="L60:L70" si="32">+D60-H60</f>
        <v>-0.38</v>
      </c>
      <c r="M60" s="1"/>
      <c r="N60" s="5">
        <f t="shared" ref="N60:N70" si="33">IF(H60=0,0,L60/H60)</f>
        <v>-1</v>
      </c>
      <c r="O60" s="14"/>
      <c r="P60" s="1">
        <f>SUM(OSRRefP22_2x_0)</f>
        <v>0</v>
      </c>
      <c r="Q60" s="1"/>
      <c r="R60" s="5">
        <f t="shared" ref="R60:R70" si="34">IF(P$12=0,0,P60/P$12)</f>
        <v>0</v>
      </c>
      <c r="S60" s="1"/>
      <c r="T60" s="1">
        <f>SUM(OSRRefT22_2x_0)</f>
        <v>0.38</v>
      </c>
      <c r="U60" s="1"/>
      <c r="V60" s="5">
        <f t="shared" ref="V60:V70" si="35">IF(T$12=0,0,T60/T$12)</f>
        <v>1.5663902125344193E-4</v>
      </c>
      <c r="W60" s="1"/>
      <c r="X60" s="1">
        <f t="shared" ref="X60:X70" si="36">+P60-T60</f>
        <v>-0.38</v>
      </c>
      <c r="Y60" s="1"/>
      <c r="Z60" s="5">
        <f t="shared" ref="Z60:Z70" si="37">IF(T60=0,0,X60/T60)</f>
        <v>-1</v>
      </c>
    </row>
    <row r="61" spans="1:26" s="24" customFormat="1" hidden="1" outlineLevel="2" x14ac:dyDescent="0.25">
      <c r="A61" s="29"/>
      <c r="B61" s="11" t="str">
        <f>CONCATENATE("          ", "6272", " - ", "CASH (OVER/SHORT)")</f>
        <v xml:space="preserve">          6272 - CASH (OVER/SHORT)</v>
      </c>
      <c r="C61" s="11"/>
      <c r="D61" s="8"/>
      <c r="E61" s="3"/>
      <c r="F61" s="7">
        <f t="shared" si="30"/>
        <v>0</v>
      </c>
      <c r="G61" s="3"/>
      <c r="H61" s="8">
        <v>0.38</v>
      </c>
      <c r="I61" s="3"/>
      <c r="J61" s="7">
        <f t="shared" si="31"/>
        <v>1.5663902125344193E-4</v>
      </c>
      <c r="K61" s="3"/>
      <c r="L61" s="8">
        <f t="shared" si="32"/>
        <v>-0.38</v>
      </c>
      <c r="M61" s="3"/>
      <c r="N61" s="7">
        <f t="shared" si="33"/>
        <v>-1</v>
      </c>
      <c r="O61" s="11"/>
      <c r="P61" s="8"/>
      <c r="Q61" s="3"/>
      <c r="R61" s="7">
        <f t="shared" si="34"/>
        <v>0</v>
      </c>
      <c r="S61" s="3"/>
      <c r="T61" s="8">
        <v>0.38</v>
      </c>
      <c r="U61" s="3"/>
      <c r="V61" s="7">
        <f t="shared" si="35"/>
        <v>1.5663902125344193E-4</v>
      </c>
      <c r="W61" s="3"/>
      <c r="X61" s="8">
        <f t="shared" si="36"/>
        <v>-0.38</v>
      </c>
      <c r="Y61" s="3"/>
      <c r="Z61" s="7">
        <f t="shared" si="37"/>
        <v>-1</v>
      </c>
    </row>
    <row r="62" spans="1:26" s="27" customFormat="1" outlineLevel="1" collapsed="1" x14ac:dyDescent="0.25">
      <c r="A62" s="28"/>
      <c r="B62" s="14" t="str">
        <f>CONCATENATE("     ","Discounts and Markdowns                           ")</f>
        <v xml:space="preserve">     Discounts and Markdowns                           </v>
      </c>
      <c r="C62" s="14"/>
      <c r="D62" s="1">
        <f>SUM(OSRRefD22_3x_0)</f>
        <v>0</v>
      </c>
      <c r="E62" s="1"/>
      <c r="F62" s="5">
        <f t="shared" si="30"/>
        <v>0</v>
      </c>
      <c r="G62" s="1"/>
      <c r="H62" s="1">
        <f>SUM(OSRRefH22_3x_0)</f>
        <v>130.49</v>
      </c>
      <c r="I62" s="1"/>
      <c r="J62" s="5">
        <f t="shared" si="31"/>
        <v>5.3789015482530629E-2</v>
      </c>
      <c r="K62" s="1"/>
      <c r="L62" s="1">
        <f t="shared" si="32"/>
        <v>-130.49</v>
      </c>
      <c r="M62" s="1"/>
      <c r="N62" s="5">
        <f t="shared" si="33"/>
        <v>-1</v>
      </c>
      <c r="O62" s="14"/>
      <c r="P62" s="1">
        <f>SUM(OSRRefP22_3x_0)</f>
        <v>0</v>
      </c>
      <c r="Q62" s="1"/>
      <c r="R62" s="5">
        <f t="shared" si="34"/>
        <v>0</v>
      </c>
      <c r="S62" s="1"/>
      <c r="T62" s="1">
        <f>SUM(OSRRefT22_3x_0)</f>
        <v>130.49</v>
      </c>
      <c r="U62" s="1"/>
      <c r="V62" s="5">
        <f t="shared" si="35"/>
        <v>5.3789015482530629E-2</v>
      </c>
      <c r="W62" s="1"/>
      <c r="X62" s="1">
        <f t="shared" si="36"/>
        <v>-130.49</v>
      </c>
      <c r="Y62" s="1"/>
      <c r="Z62" s="5">
        <f t="shared" si="37"/>
        <v>-1</v>
      </c>
    </row>
    <row r="63" spans="1:26" s="24" customFormat="1" hidden="1" outlineLevel="2" x14ac:dyDescent="0.25">
      <c r="A63" s="29"/>
      <c r="B63" s="11" t="str">
        <f>CONCATENATE("          ", "6382", " - ", "DISCOUNTS/MARK DOWNS")</f>
        <v xml:space="preserve">          6382 - DISCOUNTS/MARK DOWNS</v>
      </c>
      <c r="C63" s="11"/>
      <c r="D63" s="8"/>
      <c r="E63" s="3"/>
      <c r="F63" s="7">
        <f t="shared" si="30"/>
        <v>0</v>
      </c>
      <c r="G63" s="3"/>
      <c r="H63" s="8">
        <v>130.49</v>
      </c>
      <c r="I63" s="3"/>
      <c r="J63" s="7">
        <f t="shared" si="31"/>
        <v>5.3789015482530629E-2</v>
      </c>
      <c r="K63" s="3"/>
      <c r="L63" s="8">
        <f t="shared" si="32"/>
        <v>-130.49</v>
      </c>
      <c r="M63" s="3"/>
      <c r="N63" s="7">
        <f t="shared" si="33"/>
        <v>-1</v>
      </c>
      <c r="O63" s="11"/>
      <c r="P63" s="8"/>
      <c r="Q63" s="3"/>
      <c r="R63" s="7">
        <f t="shared" si="34"/>
        <v>0</v>
      </c>
      <c r="S63" s="3"/>
      <c r="T63" s="8">
        <v>130.49</v>
      </c>
      <c r="U63" s="3"/>
      <c r="V63" s="7">
        <f t="shared" si="35"/>
        <v>5.3789015482530629E-2</v>
      </c>
      <c r="W63" s="3"/>
      <c r="X63" s="8">
        <f t="shared" si="36"/>
        <v>-130.49</v>
      </c>
      <c r="Y63" s="3"/>
      <c r="Z63" s="7">
        <f t="shared" si="37"/>
        <v>-1</v>
      </c>
    </row>
    <row r="64" spans="1:26" s="27" customFormat="1" outlineLevel="1" collapsed="1" x14ac:dyDescent="0.25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SUM(OSRRefD22_4x_0)</f>
        <v>719.55</v>
      </c>
      <c r="E64" s="1"/>
      <c r="F64" s="5">
        <f t="shared" si="30"/>
        <v>0</v>
      </c>
      <c r="G64" s="1"/>
      <c r="H64" s="1">
        <f>SUM(OSRRefH22_4x_0)</f>
        <v>694.55</v>
      </c>
      <c r="I64" s="1"/>
      <c r="J64" s="5">
        <f t="shared" si="31"/>
        <v>0.28629903213573182</v>
      </c>
      <c r="K64" s="1"/>
      <c r="L64" s="1">
        <f t="shared" si="32"/>
        <v>25</v>
      </c>
      <c r="M64" s="1"/>
      <c r="N64" s="5">
        <f t="shared" si="33"/>
        <v>3.5994528831617599E-2</v>
      </c>
      <c r="O64" s="14"/>
      <c r="P64" s="1">
        <f>SUM(OSRRefP22_4x_0)</f>
        <v>719.55</v>
      </c>
      <c r="Q64" s="1"/>
      <c r="R64" s="5">
        <f t="shared" si="34"/>
        <v>0</v>
      </c>
      <c r="S64" s="1"/>
      <c r="T64" s="1">
        <f>SUM(OSRRefT22_4x_0)</f>
        <v>694.55</v>
      </c>
      <c r="U64" s="1"/>
      <c r="V64" s="5">
        <f t="shared" si="35"/>
        <v>0.28629903213573182</v>
      </c>
      <c r="W64" s="1"/>
      <c r="X64" s="1">
        <f t="shared" si="36"/>
        <v>25</v>
      </c>
      <c r="Y64" s="1"/>
      <c r="Z64" s="5">
        <f t="shared" si="37"/>
        <v>3.5994528831617599E-2</v>
      </c>
    </row>
    <row r="65" spans="1:26" s="24" customFormat="1" hidden="1" outlineLevel="2" x14ac:dyDescent="0.25">
      <c r="A65" s="29"/>
      <c r="B65" s="11" t="str">
        <f>CONCATENATE("          ", "6279", " - ", "GENERAL EXPENSE")</f>
        <v xml:space="preserve">          6279 - GENERAL EXPENSE</v>
      </c>
      <c r="C65" s="11"/>
      <c r="D65" s="8">
        <v>719.55</v>
      </c>
      <c r="E65" s="3"/>
      <c r="F65" s="7">
        <f t="shared" si="30"/>
        <v>0</v>
      </c>
      <c r="G65" s="3"/>
      <c r="H65" s="8">
        <v>694.55</v>
      </c>
      <c r="I65" s="3"/>
      <c r="J65" s="7">
        <f t="shared" si="31"/>
        <v>0.28629903213573182</v>
      </c>
      <c r="K65" s="3"/>
      <c r="L65" s="8">
        <f t="shared" si="32"/>
        <v>25</v>
      </c>
      <c r="M65" s="3"/>
      <c r="N65" s="7">
        <f t="shared" si="33"/>
        <v>3.5994528831617599E-2</v>
      </c>
      <c r="O65" s="11"/>
      <c r="P65" s="8">
        <v>719.55</v>
      </c>
      <c r="Q65" s="3"/>
      <c r="R65" s="7">
        <f t="shared" si="34"/>
        <v>0</v>
      </c>
      <c r="S65" s="3"/>
      <c r="T65" s="8">
        <v>694.55</v>
      </c>
      <c r="U65" s="3"/>
      <c r="V65" s="7">
        <f t="shared" si="35"/>
        <v>0.28629903213573182</v>
      </c>
      <c r="W65" s="3"/>
      <c r="X65" s="8">
        <f t="shared" si="36"/>
        <v>25</v>
      </c>
      <c r="Y65" s="3"/>
      <c r="Z65" s="7">
        <f t="shared" si="37"/>
        <v>3.5994528831617599E-2</v>
      </c>
    </row>
    <row r="66" spans="1:26" s="27" customFormat="1" outlineLevel="1" collapsed="1" x14ac:dyDescent="0.25">
      <c r="A66" s="28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SUM(OSRRefD22_5x_0)</f>
        <v>0</v>
      </c>
      <c r="E66" s="1"/>
      <c r="F66" s="5">
        <f t="shared" si="30"/>
        <v>0</v>
      </c>
      <c r="G66" s="1"/>
      <c r="H66" s="1">
        <f>SUM(OSRRefH22_5x_0)</f>
        <v>750</v>
      </c>
      <c r="I66" s="1"/>
      <c r="J66" s="5">
        <f t="shared" si="31"/>
        <v>0.30915596300021436</v>
      </c>
      <c r="K66" s="1"/>
      <c r="L66" s="1">
        <f t="shared" si="32"/>
        <v>-750</v>
      </c>
      <c r="M66" s="1"/>
      <c r="N66" s="5">
        <f t="shared" si="33"/>
        <v>-1</v>
      </c>
      <c r="O66" s="14"/>
      <c r="P66" s="1">
        <f>SUM(OSRRefP22_5x_0)</f>
        <v>0</v>
      </c>
      <c r="Q66" s="1"/>
      <c r="R66" s="5">
        <f t="shared" si="34"/>
        <v>0</v>
      </c>
      <c r="S66" s="1"/>
      <c r="T66" s="1">
        <f>SUM(OSRRefT22_5x_0)</f>
        <v>750</v>
      </c>
      <c r="U66" s="1"/>
      <c r="V66" s="5">
        <f t="shared" si="35"/>
        <v>0.30915596300021436</v>
      </c>
      <c r="W66" s="1"/>
      <c r="X66" s="1">
        <f t="shared" si="36"/>
        <v>-750</v>
      </c>
      <c r="Y66" s="1"/>
      <c r="Z66" s="5">
        <f t="shared" si="37"/>
        <v>-1</v>
      </c>
    </row>
    <row r="67" spans="1:26" s="24" customFormat="1" hidden="1" outlineLevel="2" x14ac:dyDescent="0.25">
      <c r="A67" s="29"/>
      <c r="B67" s="11" t="str">
        <f>CONCATENATE("          ", "6336", " - ", "PROFESSIONAL SERVICES")</f>
        <v xml:space="preserve">          6336 - PROFESSIONAL SERVICES</v>
      </c>
      <c r="C67" s="11"/>
      <c r="D67" s="8"/>
      <c r="E67" s="3"/>
      <c r="F67" s="7">
        <f t="shared" si="30"/>
        <v>0</v>
      </c>
      <c r="G67" s="3"/>
      <c r="H67" s="8">
        <v>750</v>
      </c>
      <c r="I67" s="3"/>
      <c r="J67" s="7">
        <f t="shared" si="31"/>
        <v>0.30915596300021436</v>
      </c>
      <c r="K67" s="3"/>
      <c r="L67" s="8">
        <f t="shared" si="32"/>
        <v>-750</v>
      </c>
      <c r="M67" s="3"/>
      <c r="N67" s="7">
        <f t="shared" si="33"/>
        <v>-1</v>
      </c>
      <c r="O67" s="11"/>
      <c r="P67" s="8"/>
      <c r="Q67" s="3"/>
      <c r="R67" s="7">
        <f t="shared" si="34"/>
        <v>0</v>
      </c>
      <c r="S67" s="3"/>
      <c r="T67" s="8">
        <v>750</v>
      </c>
      <c r="U67" s="3"/>
      <c r="V67" s="7">
        <f t="shared" si="35"/>
        <v>0.30915596300021436</v>
      </c>
      <c r="W67" s="3"/>
      <c r="X67" s="8">
        <f t="shared" si="36"/>
        <v>-750</v>
      </c>
      <c r="Y67" s="3"/>
      <c r="Z67" s="7">
        <f t="shared" si="37"/>
        <v>-1</v>
      </c>
    </row>
    <row r="68" spans="1:26" s="27" customFormat="1" outlineLevel="1" collapsed="1" x14ac:dyDescent="0.25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SUM(OSRRefD22_6x_0)</f>
        <v>-113.5</v>
      </c>
      <c r="E68" s="1"/>
      <c r="F68" s="5">
        <f t="shared" si="30"/>
        <v>0</v>
      </c>
      <c r="G68" s="1"/>
      <c r="H68" s="1">
        <f>SUM(OSRRefH22_6x_0)</f>
        <v>207.67</v>
      </c>
      <c r="I68" s="1"/>
      <c r="J68" s="5">
        <f t="shared" si="31"/>
        <v>8.560322511500601E-2</v>
      </c>
      <c r="K68" s="1"/>
      <c r="L68" s="1">
        <f t="shared" si="32"/>
        <v>-321.16999999999996</v>
      </c>
      <c r="M68" s="1"/>
      <c r="N68" s="5">
        <f t="shared" si="33"/>
        <v>-1.5465401839456829</v>
      </c>
      <c r="O68" s="14"/>
      <c r="P68" s="1">
        <f>SUM(OSRRefP22_6x_0)</f>
        <v>-113.5</v>
      </c>
      <c r="Q68" s="1"/>
      <c r="R68" s="5">
        <f t="shared" si="34"/>
        <v>0</v>
      </c>
      <c r="S68" s="1"/>
      <c r="T68" s="1">
        <f>SUM(OSRRefT22_6x_0)</f>
        <v>207.67</v>
      </c>
      <c r="U68" s="1"/>
      <c r="V68" s="5">
        <f t="shared" si="35"/>
        <v>8.560322511500601E-2</v>
      </c>
      <c r="W68" s="1"/>
      <c r="X68" s="1">
        <f t="shared" si="36"/>
        <v>-321.16999999999996</v>
      </c>
      <c r="Y68" s="1"/>
      <c r="Z68" s="5">
        <f t="shared" si="37"/>
        <v>-1.5465401839456829</v>
      </c>
    </row>
    <row r="69" spans="1:26" s="24" customFormat="1" hidden="1" outlineLevel="2" x14ac:dyDescent="0.25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8">
        <v>44</v>
      </c>
      <c r="E69" s="3"/>
      <c r="F69" s="7">
        <f t="shared" si="30"/>
        <v>0</v>
      </c>
      <c r="G69" s="3"/>
      <c r="H69" s="8">
        <v>44</v>
      </c>
      <c r="I69" s="3"/>
      <c r="J69" s="7">
        <f t="shared" si="31"/>
        <v>1.813714982934591E-2</v>
      </c>
      <c r="K69" s="3"/>
      <c r="L69" s="8">
        <f t="shared" si="32"/>
        <v>0</v>
      </c>
      <c r="M69" s="3"/>
      <c r="N69" s="7">
        <f t="shared" si="33"/>
        <v>0</v>
      </c>
      <c r="O69" s="11"/>
      <c r="P69" s="8">
        <v>44</v>
      </c>
      <c r="Q69" s="3"/>
      <c r="R69" s="7">
        <f t="shared" si="34"/>
        <v>0</v>
      </c>
      <c r="S69" s="3"/>
      <c r="T69" s="8">
        <v>44</v>
      </c>
      <c r="U69" s="3"/>
      <c r="V69" s="7">
        <f t="shared" si="35"/>
        <v>1.813714982934591E-2</v>
      </c>
      <c r="W69" s="3"/>
      <c r="X69" s="8">
        <f t="shared" si="36"/>
        <v>0</v>
      </c>
      <c r="Y69" s="3"/>
      <c r="Z69" s="7">
        <f t="shared" si="37"/>
        <v>0</v>
      </c>
    </row>
    <row r="70" spans="1:26" s="24" customFormat="1" hidden="1" outlineLevel="2" x14ac:dyDescent="0.25">
      <c r="A70" s="29"/>
      <c r="B70" s="11" t="str">
        <f>CONCATENATE("          ", "6285", " - ", "JANITORIAL SERVICES")</f>
        <v xml:space="preserve">          6285 - JANITORIAL SERVICES</v>
      </c>
      <c r="C70" s="11"/>
      <c r="D70" s="8">
        <v>-157.5</v>
      </c>
      <c r="E70" s="3"/>
      <c r="F70" s="7">
        <f t="shared" si="30"/>
        <v>0</v>
      </c>
      <c r="G70" s="3"/>
      <c r="H70" s="8">
        <v>163.66999999999999</v>
      </c>
      <c r="I70" s="3"/>
      <c r="J70" s="7">
        <f t="shared" si="31"/>
        <v>6.7466075285660107E-2</v>
      </c>
      <c r="K70" s="3"/>
      <c r="L70" s="8">
        <f t="shared" si="32"/>
        <v>-321.16999999999996</v>
      </c>
      <c r="M70" s="3"/>
      <c r="N70" s="7">
        <f t="shared" si="33"/>
        <v>-1.9623021934380154</v>
      </c>
      <c r="O70" s="11"/>
      <c r="P70" s="8">
        <v>-157.5</v>
      </c>
      <c r="Q70" s="3"/>
      <c r="R70" s="7">
        <f t="shared" si="34"/>
        <v>0</v>
      </c>
      <c r="S70" s="3"/>
      <c r="T70" s="8">
        <v>163.66999999999999</v>
      </c>
      <c r="U70" s="3"/>
      <c r="V70" s="7">
        <f t="shared" si="35"/>
        <v>6.7466075285660107E-2</v>
      </c>
      <c r="W70" s="3"/>
      <c r="X70" s="8">
        <f t="shared" si="36"/>
        <v>-321.16999999999996</v>
      </c>
      <c r="Y70" s="3"/>
      <c r="Z70" s="7">
        <f t="shared" si="37"/>
        <v>-1.9623021934380154</v>
      </c>
    </row>
    <row r="71" spans="1:26" s="27" customFormat="1" outlineLevel="1" collapsed="1" x14ac:dyDescent="0.25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SUM(OSRRefD22_7x_0)</f>
        <v>444.3</v>
      </c>
      <c r="E71" s="1"/>
      <c r="F71" s="5">
        <f t="shared" ref="F71:F73" si="38">IF(D$12=0,0,D71/D$12)</f>
        <v>0</v>
      </c>
      <c r="G71" s="1"/>
      <c r="H71" s="1">
        <f>SUM(OSRRefH22_7x_0)</f>
        <v>4.67</v>
      </c>
      <c r="I71" s="1"/>
      <c r="J71" s="5">
        <f t="shared" ref="J71:J73" si="39">IF(H$12=0,0,H71/H$12)</f>
        <v>1.9250111296146679E-3</v>
      </c>
      <c r="K71" s="1"/>
      <c r="L71" s="1">
        <f t="shared" ref="L71:L73" si="40">+D71-H71</f>
        <v>439.63</v>
      </c>
      <c r="M71" s="1"/>
      <c r="N71" s="5">
        <f t="shared" ref="N71:N73" si="41">IF(H71=0,0,L71/H71)</f>
        <v>94.139186295503208</v>
      </c>
      <c r="O71" s="14"/>
      <c r="P71" s="1">
        <f>SUM(OSRRefP22_7x_0)</f>
        <v>444.3</v>
      </c>
      <c r="Q71" s="1"/>
      <c r="R71" s="5">
        <f t="shared" ref="R71:R73" si="42">IF(P$12=0,0,P71/P$12)</f>
        <v>0</v>
      </c>
      <c r="S71" s="1"/>
      <c r="T71" s="1">
        <f>SUM(OSRRefT22_7x_0)</f>
        <v>4.67</v>
      </c>
      <c r="U71" s="1"/>
      <c r="V71" s="5">
        <f t="shared" ref="V71:V73" si="43">IF(T$12=0,0,T71/T$12)</f>
        <v>1.9250111296146679E-3</v>
      </c>
      <c r="W71" s="1"/>
      <c r="X71" s="1">
        <f t="shared" ref="X71:X73" si="44">+P71-T71</f>
        <v>439.63</v>
      </c>
      <c r="Y71" s="1"/>
      <c r="Z71" s="5">
        <f t="shared" ref="Z71:Z73" si="45">IF(T71=0,0,X71/T71)</f>
        <v>94.139186295503208</v>
      </c>
    </row>
    <row r="72" spans="1:26" s="24" customFormat="1" hidden="1" outlineLevel="2" x14ac:dyDescent="0.25">
      <c r="A72" s="29"/>
      <c r="B72" s="11" t="str">
        <f>CONCATENATE("          ", "6235", " - ", "COVID-19 EXPENSES")</f>
        <v xml:space="preserve">          6235 - COVID-19 EXPENSES</v>
      </c>
      <c r="C72" s="11"/>
      <c r="D72" s="8">
        <v>444.3</v>
      </c>
      <c r="E72" s="3"/>
      <c r="F72" s="7">
        <f t="shared" si="38"/>
        <v>0</v>
      </c>
      <c r="G72" s="3"/>
      <c r="H72" s="8"/>
      <c r="I72" s="3"/>
      <c r="J72" s="7">
        <f t="shared" si="39"/>
        <v>0</v>
      </c>
      <c r="K72" s="3"/>
      <c r="L72" s="8">
        <f t="shared" si="40"/>
        <v>444.3</v>
      </c>
      <c r="M72" s="3"/>
      <c r="N72" s="7">
        <f t="shared" si="41"/>
        <v>0</v>
      </c>
      <c r="O72" s="11"/>
      <c r="P72" s="8">
        <v>444.3</v>
      </c>
      <c r="Q72" s="3"/>
      <c r="R72" s="7">
        <f t="shared" si="42"/>
        <v>0</v>
      </c>
      <c r="S72" s="3"/>
      <c r="T72" s="8"/>
      <c r="U72" s="3"/>
      <c r="V72" s="7">
        <f t="shared" si="43"/>
        <v>0</v>
      </c>
      <c r="W72" s="3"/>
      <c r="X72" s="8">
        <f t="shared" si="44"/>
        <v>444.3</v>
      </c>
      <c r="Y72" s="3"/>
      <c r="Z72" s="7">
        <f t="shared" si="45"/>
        <v>0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8"/>
      <c r="E73" s="3"/>
      <c r="F73" s="7">
        <f t="shared" si="38"/>
        <v>0</v>
      </c>
      <c r="G73" s="3"/>
      <c r="H73" s="8">
        <v>4.67</v>
      </c>
      <c r="I73" s="3"/>
      <c r="J73" s="7">
        <f t="shared" si="39"/>
        <v>1.9250111296146679E-3</v>
      </c>
      <c r="K73" s="3"/>
      <c r="L73" s="8">
        <f t="shared" si="40"/>
        <v>-4.67</v>
      </c>
      <c r="M73" s="3"/>
      <c r="N73" s="7">
        <f t="shared" si="41"/>
        <v>-1</v>
      </c>
      <c r="O73" s="11"/>
      <c r="P73" s="8"/>
      <c r="Q73" s="3"/>
      <c r="R73" s="7">
        <f t="shared" si="42"/>
        <v>0</v>
      </c>
      <c r="S73" s="3"/>
      <c r="T73" s="8">
        <v>4.67</v>
      </c>
      <c r="U73" s="3"/>
      <c r="V73" s="7">
        <f t="shared" si="43"/>
        <v>1.9250111296146679E-3</v>
      </c>
      <c r="W73" s="3"/>
      <c r="X73" s="8">
        <f t="shared" si="44"/>
        <v>-4.67</v>
      </c>
      <c r="Y73" s="3"/>
      <c r="Z73" s="7">
        <f t="shared" si="45"/>
        <v>-1</v>
      </c>
    </row>
    <row r="74" spans="1:26" s="27" customFormat="1" outlineLevel="1" collapsed="1" x14ac:dyDescent="0.25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SUM(OSRRefD22_8x_0)</f>
        <v>53</v>
      </c>
      <c r="E74" s="1"/>
      <c r="F74" s="5">
        <f t="shared" ref="F74:F75" si="46">IF(D$12=0,0,D74/D$12)</f>
        <v>0</v>
      </c>
      <c r="G74" s="1"/>
      <c r="H74" s="1">
        <f>SUM(OSRRefH22_8x_0)</f>
        <v>74</v>
      </c>
      <c r="I74" s="1"/>
      <c r="J74" s="5">
        <f t="shared" ref="J74:J75" si="47">IF(H$12=0,0,H74/H$12)</f>
        <v>3.0503388349354482E-2</v>
      </c>
      <c r="K74" s="1"/>
      <c r="L74" s="1">
        <f t="shared" ref="L74:L75" si="48">+D74-H74</f>
        <v>-21</v>
      </c>
      <c r="M74" s="1"/>
      <c r="N74" s="5">
        <f t="shared" ref="N74:N75" si="49">IF(H74=0,0,L74/H74)</f>
        <v>-0.28378378378378377</v>
      </c>
      <c r="O74" s="14"/>
      <c r="P74" s="1">
        <f>SUM(OSRRefP22_8x_0)</f>
        <v>53</v>
      </c>
      <c r="Q74" s="1"/>
      <c r="R74" s="5">
        <f t="shared" ref="R74:R75" si="50">IF(P$12=0,0,P74/P$12)</f>
        <v>0</v>
      </c>
      <c r="S74" s="1"/>
      <c r="T74" s="1">
        <f>SUM(OSRRefT22_8x_0)</f>
        <v>74</v>
      </c>
      <c r="U74" s="1"/>
      <c r="V74" s="5">
        <f t="shared" ref="V74:V75" si="51">IF(T$12=0,0,T74/T$12)</f>
        <v>3.0503388349354482E-2</v>
      </c>
      <c r="W74" s="1"/>
      <c r="X74" s="1">
        <f t="shared" ref="X74:X75" si="52">+P74-T74</f>
        <v>-21</v>
      </c>
      <c r="Y74" s="1"/>
      <c r="Z74" s="5">
        <f t="shared" ref="Z74:Z75" si="53">IF(T74=0,0,X74/T74)</f>
        <v>-0.28378378378378377</v>
      </c>
    </row>
    <row r="75" spans="1:26" s="24" customFormat="1" hidden="1" outlineLevel="2" x14ac:dyDescent="0.25">
      <c r="A75" s="29"/>
      <c r="B75" s="11" t="str">
        <f>CONCATENATE("          ", "6309", " - ", "TELEPHONE")</f>
        <v xml:space="preserve">          6309 - TELEPHONE</v>
      </c>
      <c r="C75" s="11"/>
      <c r="D75" s="8">
        <v>53</v>
      </c>
      <c r="E75" s="3"/>
      <c r="F75" s="7">
        <f t="shared" si="46"/>
        <v>0</v>
      </c>
      <c r="G75" s="3"/>
      <c r="H75" s="8">
        <v>74</v>
      </c>
      <c r="I75" s="3"/>
      <c r="J75" s="7">
        <f t="shared" si="47"/>
        <v>3.0503388349354482E-2</v>
      </c>
      <c r="K75" s="3"/>
      <c r="L75" s="8">
        <f t="shared" si="48"/>
        <v>-21</v>
      </c>
      <c r="M75" s="3"/>
      <c r="N75" s="7">
        <f t="shared" si="49"/>
        <v>-0.28378378378378377</v>
      </c>
      <c r="O75" s="11"/>
      <c r="P75" s="8">
        <v>53</v>
      </c>
      <c r="Q75" s="3"/>
      <c r="R75" s="7">
        <f t="shared" si="50"/>
        <v>0</v>
      </c>
      <c r="S75" s="3"/>
      <c r="T75" s="8">
        <v>74</v>
      </c>
      <c r="U75" s="3"/>
      <c r="V75" s="7">
        <f t="shared" si="51"/>
        <v>3.0503388349354482E-2</v>
      </c>
      <c r="W75" s="3"/>
      <c r="X75" s="8">
        <f t="shared" si="52"/>
        <v>-21</v>
      </c>
      <c r="Y75" s="3"/>
      <c r="Z75" s="7">
        <f t="shared" si="53"/>
        <v>-0.28378378378378377</v>
      </c>
    </row>
    <row r="76" spans="1:26" s="61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5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10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x14ac:dyDescent="0.25">
      <c r="A79" s="10"/>
      <c r="B79" s="26" t="s">
        <v>3</v>
      </c>
      <c r="C79" s="26"/>
      <c r="D79" s="19">
        <f>+D44-D46+D77</f>
        <v>-1141.3999999999999</v>
      </c>
      <c r="E79" s="13"/>
      <c r="F79" s="20">
        <f>IF(D$12=0,0,D79/D$12)</f>
        <v>0</v>
      </c>
      <c r="G79" s="13"/>
      <c r="H79" s="19">
        <f>+H44-H46+H77</f>
        <v>-10222.619999999997</v>
      </c>
      <c r="I79" s="13"/>
      <c r="J79" s="20">
        <f>IF(H$12=0,0,H79/H$12)</f>
        <v>-4.2138452406470002</v>
      </c>
      <c r="K79" s="16"/>
      <c r="L79" s="19">
        <f>+D79-H79</f>
        <v>9081.2199999999975</v>
      </c>
      <c r="M79" s="16"/>
      <c r="N79" s="20">
        <f>IF(H79=0,0,L79/H79)</f>
        <v>-0.88834564915843495</v>
      </c>
      <c r="O79" s="25"/>
      <c r="P79" s="19">
        <f>+P44-P46+P77</f>
        <v>-1141.3999999999999</v>
      </c>
      <c r="Q79" s="13"/>
      <c r="R79" s="20">
        <f>IF(P$12=0,0,P79/P$12)</f>
        <v>0</v>
      </c>
      <c r="S79" s="13"/>
      <c r="T79" s="19">
        <f>+T44-T46+T77</f>
        <v>-10222.619999999997</v>
      </c>
      <c r="U79" s="13"/>
      <c r="V79" s="20">
        <f>IF(T$12=0,0,T79/T$12)</f>
        <v>-4.2138452406470002</v>
      </c>
      <c r="W79" s="16"/>
      <c r="X79" s="19">
        <f>+P79-T79</f>
        <v>9081.2199999999975</v>
      </c>
      <c r="Y79" s="16"/>
      <c r="Z79" s="20">
        <f>IF(T79=0,0,X79/T79)</f>
        <v>-0.88834564915843495</v>
      </c>
    </row>
    <row r="80" spans="1:26" x14ac:dyDescent="0.25">
      <c r="A80" s="9"/>
      <c r="B80" s="10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x14ac:dyDescent="0.25">
      <c r="A81" s="51"/>
      <c r="B81" s="10" t="s">
        <v>13</v>
      </c>
      <c r="C81" s="10"/>
      <c r="D81" s="4"/>
      <c r="E81" s="4"/>
      <c r="F81" s="12">
        <f>IF(D$12=0,0,D81/D$12)</f>
        <v>0</v>
      </c>
      <c r="G81" s="4"/>
      <c r="H81" s="4">
        <v>504.43</v>
      </c>
      <c r="I81" s="4"/>
      <c r="J81" s="12">
        <f>IF(H$12=0,0,H81/H$12)</f>
        <v>0.20793005655493083</v>
      </c>
      <c r="K81" s="4"/>
      <c r="L81" s="4">
        <f>+D81-H81</f>
        <v>-504.43</v>
      </c>
      <c r="M81" s="4"/>
      <c r="N81" s="12">
        <f>IF(H81=0,0,L81/H81)</f>
        <v>-1</v>
      </c>
      <c r="O81" s="10"/>
      <c r="P81" s="4"/>
      <c r="Q81" s="4"/>
      <c r="R81" s="12">
        <f>IF(P$12=0,0,P81/P$12)</f>
        <v>0</v>
      </c>
      <c r="S81" s="4"/>
      <c r="T81" s="4">
        <v>504.43</v>
      </c>
      <c r="U81" s="4"/>
      <c r="V81" s="12">
        <f>IF(T$12=0,0,T81/T$12)</f>
        <v>0.20793005655493083</v>
      </c>
      <c r="W81" s="4"/>
      <c r="X81" s="4">
        <f>+P81-T81</f>
        <v>-504.43</v>
      </c>
      <c r="Y81" s="4"/>
      <c r="Z81" s="12">
        <f>IF(T81=0,0,X81/T81)</f>
        <v>-1</v>
      </c>
    </row>
    <row r="82" spans="1:26" x14ac:dyDescent="0.25">
      <c r="A82" s="9"/>
      <c r="B82" s="10"/>
      <c r="C82" s="10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O82" s="10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3" customFormat="1" ht="15.75" thickBot="1" x14ac:dyDescent="0.3">
      <c r="A83" s="10"/>
      <c r="B83" s="26" t="s">
        <v>4</v>
      </c>
      <c r="C83" s="26"/>
      <c r="D83" s="35">
        <f>+D79-D81</f>
        <v>-1141.3999999999999</v>
      </c>
      <c r="E83" s="13"/>
      <c r="F83" s="30">
        <f>IF(D$12=0,0,D83/D$12)</f>
        <v>0</v>
      </c>
      <c r="G83" s="13"/>
      <c r="H83" s="35">
        <f>+H79-H81</f>
        <v>-10727.049999999997</v>
      </c>
      <c r="I83" s="13"/>
      <c r="J83" s="30">
        <f>IF(H$12=0,0,H83/H$12)</f>
        <v>-4.4217752972019317</v>
      </c>
      <c r="K83" s="16"/>
      <c r="L83" s="35">
        <f>D83-H83</f>
        <v>9585.6499999999978</v>
      </c>
      <c r="M83" s="16"/>
      <c r="N83" s="30">
        <f>IF(H83=0,0,L83/H83)</f>
        <v>-0.89359609585114264</v>
      </c>
      <c r="O83" s="25"/>
      <c r="P83" s="35">
        <f>+P79-P81</f>
        <v>-1141.3999999999999</v>
      </c>
      <c r="Q83" s="13"/>
      <c r="R83" s="30">
        <f>IF(P$12=0,0,P83/P$12)</f>
        <v>0</v>
      </c>
      <c r="S83" s="13"/>
      <c r="T83" s="35">
        <f>+T79-T81</f>
        <v>-10727.049999999997</v>
      </c>
      <c r="U83" s="13"/>
      <c r="V83" s="30">
        <f>IF(T$12=0,0,T83/T$12)</f>
        <v>-4.4217752972019317</v>
      </c>
      <c r="W83" s="16"/>
      <c r="X83" s="35">
        <f>P83-T83</f>
        <v>9585.6499999999978</v>
      </c>
      <c r="Y83" s="16"/>
      <c r="Z83" s="30">
        <f>IF(T83=0,0,X83/T83)</f>
        <v>-0.89359609585114264</v>
      </c>
    </row>
    <row r="84" spans="1:26" ht="15.75" thickTop="1" x14ac:dyDescent="0.25">
      <c r="A84" s="9"/>
      <c r="B84" s="9"/>
      <c r="C84" s="9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x14ac:dyDescent="0.25">
      <c r="A85" s="9"/>
      <c r="B85" s="9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ht="15.75" thickBot="1" x14ac:dyDescent="0.3">
      <c r="A86" s="10"/>
      <c r="B86" s="26" t="s">
        <v>5</v>
      </c>
      <c r="C86" s="26"/>
      <c r="D86" s="31">
        <f>SUM(D83:D85)</f>
        <v>-1141.3999999999999</v>
      </c>
      <c r="E86" s="13"/>
      <c r="F86" s="32">
        <f>IF(D$12=0,0,D86/D$12)</f>
        <v>0</v>
      </c>
      <c r="G86" s="13"/>
      <c r="H86" s="31">
        <f>SUM(H83:H85)</f>
        <v>-10727.049999999997</v>
      </c>
      <c r="I86" s="13"/>
      <c r="J86" s="32">
        <f>IF(H$12=0,0,H86/H$12)</f>
        <v>-4.4217752972019317</v>
      </c>
      <c r="K86" s="16"/>
      <c r="L86" s="31">
        <f>+D86-H86</f>
        <v>9585.6499999999978</v>
      </c>
      <c r="M86" s="16"/>
      <c r="N86" s="32">
        <f>IF(H86=0,0,L86/H86)</f>
        <v>-0.89359609585114264</v>
      </c>
      <c r="O86" s="25"/>
      <c r="P86" s="31">
        <f>SUM(P83:P85)</f>
        <v>-1141.3999999999999</v>
      </c>
      <c r="Q86" s="13"/>
      <c r="R86" s="32">
        <f>IF(P$12=0,0,P86/P$12)</f>
        <v>0</v>
      </c>
      <c r="S86" s="13"/>
      <c r="T86" s="31">
        <f>SUM(T83:T85)</f>
        <v>-10727.049999999997</v>
      </c>
      <c r="U86" s="13"/>
      <c r="V86" s="32">
        <f>IF(T$12=0,0,T86/T$12)</f>
        <v>-4.4217752972019317</v>
      </c>
      <c r="W86" s="16"/>
      <c r="X86" s="31">
        <f>+P86-T86</f>
        <v>9585.6499999999978</v>
      </c>
      <c r="Y86" s="16"/>
      <c r="Z86" s="32">
        <f>IF(T86=0,0,X86/T86)</f>
        <v>-0.89359609585114264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9">
        <v>44109.414156099534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 t="s">
        <v>313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","314", " - ", "Tech/Supplies")</f>
        <v>Department 314 - Tech/Supplies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16342.819999999998</v>
      </c>
      <c r="I12" s="4"/>
      <c r="J12" s="12"/>
      <c r="K12" s="4"/>
      <c r="L12" s="4">
        <f t="shared" ref="L12:L28" si="0">+D12-H12</f>
        <v>-16342.819999999998</v>
      </c>
      <c r="M12" s="4"/>
      <c r="N12" s="12">
        <f t="shared" ref="N12:N28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16342.819999999998</v>
      </c>
      <c r="U12" s="4"/>
      <c r="V12" s="12"/>
      <c r="W12" s="4"/>
      <c r="X12" s="4">
        <f t="shared" ref="X12:X28" si="2">+P12-T12</f>
        <v>-16342.819999999998</v>
      </c>
      <c r="Y12" s="4"/>
      <c r="Z12" s="12">
        <f t="shared" ref="Z12:Z28" si="3">IF(T12=0,0,X12/T12)</f>
        <v>-1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3">
        <f t="shared" ref="D13:D28" si="4">0</f>
        <v>0</v>
      </c>
      <c r="E13" s="3"/>
      <c r="F13" s="22"/>
      <c r="G13" s="3"/>
      <c r="H13" s="3">
        <f>--4.47</f>
        <v>4.47</v>
      </c>
      <c r="I13" s="3"/>
      <c r="J13" s="22"/>
      <c r="K13" s="3"/>
      <c r="L13" s="3">
        <f t="shared" si="0"/>
        <v>-4.47</v>
      </c>
      <c r="M13" s="3"/>
      <c r="N13" s="22">
        <f t="shared" si="1"/>
        <v>-1</v>
      </c>
      <c r="O13" s="11"/>
      <c r="P13" s="3">
        <f t="shared" ref="P13:P28" si="5">0</f>
        <v>0</v>
      </c>
      <c r="Q13" s="3"/>
      <c r="R13" s="22"/>
      <c r="S13" s="3"/>
      <c r="T13" s="3">
        <f>--4.47</f>
        <v>4.47</v>
      </c>
      <c r="U13" s="3"/>
      <c r="V13" s="22"/>
      <c r="W13" s="3"/>
      <c r="X13" s="3">
        <f t="shared" si="2"/>
        <v>-4.47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"4025", " - ", "TAXABLE SALES-TEST FORMS")</f>
        <v xml:space="preserve">          4025 - TAXABLE SALES-TEST FORMS</v>
      </c>
      <c r="C14" s="11"/>
      <c r="D14" s="3">
        <f t="shared" si="4"/>
        <v>0</v>
      </c>
      <c r="E14" s="3"/>
      <c r="F14" s="22"/>
      <c r="G14" s="3"/>
      <c r="H14" s="3">
        <f>--390.82</f>
        <v>390.82</v>
      </c>
      <c r="I14" s="3"/>
      <c r="J14" s="22"/>
      <c r="K14" s="3"/>
      <c r="L14" s="3">
        <f t="shared" si="0"/>
        <v>-390.82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--390.82</f>
        <v>390.82</v>
      </c>
      <c r="U14" s="3"/>
      <c r="V14" s="22"/>
      <c r="W14" s="3"/>
      <c r="X14" s="3">
        <f t="shared" si="2"/>
        <v>-390.82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"4026", " - ", "TAXABLE SALES-WRITING INSTRUME")</f>
        <v xml:space="preserve">          4026 - TAXABLE SALES-WRITING INSTRUME</v>
      </c>
      <c r="C15" s="11"/>
      <c r="D15" s="3">
        <f t="shared" si="4"/>
        <v>0</v>
      </c>
      <c r="E15" s="3"/>
      <c r="F15" s="22"/>
      <c r="G15" s="3"/>
      <c r="H15" s="3">
        <f>--1874.15</f>
        <v>1874.15</v>
      </c>
      <c r="I15" s="3"/>
      <c r="J15" s="22"/>
      <c r="K15" s="3"/>
      <c r="L15" s="3">
        <f t="shared" si="0"/>
        <v>-1874.15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--1874.15</f>
        <v>1874.15</v>
      </c>
      <c r="U15" s="3"/>
      <c r="V15" s="22"/>
      <c r="W15" s="3"/>
      <c r="X15" s="3">
        <f t="shared" si="2"/>
        <v>-1874.15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"4027", " - ", "TAXABLE SALES-SCHOOL SUPPLIES")</f>
        <v xml:space="preserve">          4027 - TAXABLE SALES-SCHOOL SUPPLIES</v>
      </c>
      <c r="C16" s="11"/>
      <c r="D16" s="3">
        <f t="shared" si="4"/>
        <v>0</v>
      </c>
      <c r="E16" s="3"/>
      <c r="F16" s="22"/>
      <c r="G16" s="3"/>
      <c r="H16" s="3">
        <f>--13077.89</f>
        <v>13077.89</v>
      </c>
      <c r="I16" s="3"/>
      <c r="J16" s="22"/>
      <c r="K16" s="3"/>
      <c r="L16" s="3">
        <f t="shared" si="0"/>
        <v>-13077.89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--13077.89</f>
        <v>13077.89</v>
      </c>
      <c r="U16" s="3"/>
      <c r="V16" s="22"/>
      <c r="W16" s="3"/>
      <c r="X16" s="3">
        <f t="shared" si="2"/>
        <v>-13077.89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"4028", " - ", "TAXABLE SALES-ART/TECH")</f>
        <v xml:space="preserve">          4028 - TAXABLE SALES-ART/TECH</v>
      </c>
      <c r="C17" s="11"/>
      <c r="D17" s="3">
        <f t="shared" si="4"/>
        <v>0</v>
      </c>
      <c r="E17" s="3"/>
      <c r="F17" s="22"/>
      <c r="G17" s="3"/>
      <c r="H17" s="3">
        <f>--427.79</f>
        <v>427.79</v>
      </c>
      <c r="I17" s="3"/>
      <c r="J17" s="22"/>
      <c r="K17" s="3"/>
      <c r="L17" s="3">
        <f t="shared" si="0"/>
        <v>-427.79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--427.79</f>
        <v>427.79</v>
      </c>
      <c r="U17" s="3"/>
      <c r="V17" s="22"/>
      <c r="W17" s="3"/>
      <c r="X17" s="3">
        <f t="shared" si="2"/>
        <v>-427.79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"4035", " - ", "TAXABLE SALES-HEALTH &amp; BEAUTY")</f>
        <v xml:space="preserve">          4035 - TAXABLE SALES-HEALTH &amp; BEAUTY</v>
      </c>
      <c r="C18" s="11"/>
      <c r="D18" s="3">
        <f t="shared" si="4"/>
        <v>0</v>
      </c>
      <c r="E18" s="3"/>
      <c r="F18" s="22"/>
      <c r="G18" s="3"/>
      <c r="H18" s="3">
        <f>--2.98</f>
        <v>2.98</v>
      </c>
      <c r="I18" s="3"/>
      <c r="J18" s="22"/>
      <c r="K18" s="3"/>
      <c r="L18" s="3">
        <f t="shared" si="0"/>
        <v>-2.98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--2.98</f>
        <v>2.98</v>
      </c>
      <c r="U18" s="3"/>
      <c r="V18" s="22"/>
      <c r="W18" s="3"/>
      <c r="X18" s="3">
        <f t="shared" si="2"/>
        <v>-2.98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"4125", " - ", "NON-TAXABLE SALES-TEST FORMS")</f>
        <v xml:space="preserve">          4125 - NON-TAXABLE SALES-TEST FORMS</v>
      </c>
      <c r="C19" s="11"/>
      <c r="D19" s="3">
        <f t="shared" si="4"/>
        <v>0</v>
      </c>
      <c r="E19" s="3"/>
      <c r="F19" s="22"/>
      <c r="G19" s="3"/>
      <c r="H19" s="3">
        <f>--4.98</f>
        <v>4.9800000000000004</v>
      </c>
      <c r="I19" s="3"/>
      <c r="J19" s="22"/>
      <c r="K19" s="3"/>
      <c r="L19" s="3">
        <f t="shared" si="0"/>
        <v>-4.9800000000000004</v>
      </c>
      <c r="M19" s="3"/>
      <c r="N19" s="22">
        <f t="shared" si="1"/>
        <v>-1</v>
      </c>
      <c r="O19" s="11"/>
      <c r="P19" s="3">
        <f t="shared" si="5"/>
        <v>0</v>
      </c>
      <c r="Q19" s="3"/>
      <c r="R19" s="22"/>
      <c r="S19" s="3"/>
      <c r="T19" s="3">
        <f>--4.98</f>
        <v>4.9800000000000004</v>
      </c>
      <c r="U19" s="3"/>
      <c r="V19" s="22"/>
      <c r="W19" s="3"/>
      <c r="X19" s="3">
        <f t="shared" si="2"/>
        <v>-4.9800000000000004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"4126", " - ", "NON-TAXABLE SALES-WRITING INST")</f>
        <v xml:space="preserve">          4126 - NON-TAXABLE SALES-WRITING INST</v>
      </c>
      <c r="C20" s="11"/>
      <c r="D20" s="3">
        <f t="shared" si="4"/>
        <v>0</v>
      </c>
      <c r="E20" s="3"/>
      <c r="F20" s="22"/>
      <c r="G20" s="3"/>
      <c r="H20" s="3">
        <f>--167.03</f>
        <v>167.03</v>
      </c>
      <c r="I20" s="3"/>
      <c r="J20" s="22"/>
      <c r="K20" s="3"/>
      <c r="L20" s="3">
        <f t="shared" si="0"/>
        <v>-167.03</v>
      </c>
      <c r="M20" s="3"/>
      <c r="N20" s="22">
        <f t="shared" si="1"/>
        <v>-1</v>
      </c>
      <c r="O20" s="11"/>
      <c r="P20" s="3">
        <f t="shared" si="5"/>
        <v>0</v>
      </c>
      <c r="Q20" s="3"/>
      <c r="R20" s="22"/>
      <c r="S20" s="3"/>
      <c r="T20" s="3">
        <f>--167.03</f>
        <v>167.03</v>
      </c>
      <c r="U20" s="3"/>
      <c r="V20" s="22"/>
      <c r="W20" s="3"/>
      <c r="X20" s="3">
        <f t="shared" si="2"/>
        <v>-167.03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"4127", " - ", "NON-TAXABLE SALES-SCHOOL SUPPL")</f>
        <v xml:space="preserve">          4127 - NON-TAXABLE SALES-SCHOOL SUPPL</v>
      </c>
      <c r="C21" s="11"/>
      <c r="D21" s="3">
        <f t="shared" si="4"/>
        <v>0</v>
      </c>
      <c r="E21" s="3"/>
      <c r="F21" s="22"/>
      <c r="G21" s="3"/>
      <c r="H21" s="3">
        <f>--177.89</f>
        <v>177.89</v>
      </c>
      <c r="I21" s="3"/>
      <c r="J21" s="22"/>
      <c r="K21" s="3"/>
      <c r="L21" s="3">
        <f t="shared" si="0"/>
        <v>-177.89</v>
      </c>
      <c r="M21" s="3"/>
      <c r="N21" s="22">
        <f t="shared" si="1"/>
        <v>-1</v>
      </c>
      <c r="O21" s="11"/>
      <c r="P21" s="3">
        <f t="shared" si="5"/>
        <v>0</v>
      </c>
      <c r="Q21" s="3"/>
      <c r="R21" s="22"/>
      <c r="S21" s="3"/>
      <c r="T21" s="3">
        <f>--177.89</f>
        <v>177.89</v>
      </c>
      <c r="U21" s="3"/>
      <c r="V21" s="22"/>
      <c r="W21" s="3"/>
      <c r="X21" s="3">
        <f t="shared" si="2"/>
        <v>-177.89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"4128", " - ", "NON-TAXABLE SALES-ART/TECH")</f>
        <v xml:space="preserve">          4128 - NON-TAXABLE SALES-ART/TECH</v>
      </c>
      <c r="C22" s="11"/>
      <c r="D22" s="3">
        <f t="shared" si="4"/>
        <v>0</v>
      </c>
      <c r="E22" s="3"/>
      <c r="F22" s="22"/>
      <c r="G22" s="3"/>
      <c r="H22" s="3">
        <f>--1.49</f>
        <v>1.49</v>
      </c>
      <c r="I22" s="3"/>
      <c r="J22" s="22"/>
      <c r="K22" s="3"/>
      <c r="L22" s="3">
        <f t="shared" si="0"/>
        <v>-1.49</v>
      </c>
      <c r="M22" s="3"/>
      <c r="N22" s="22">
        <f t="shared" si="1"/>
        <v>-1</v>
      </c>
      <c r="O22" s="11"/>
      <c r="P22" s="3">
        <f t="shared" si="5"/>
        <v>0</v>
      </c>
      <c r="Q22" s="3"/>
      <c r="R22" s="22"/>
      <c r="S22" s="3"/>
      <c r="T22" s="3">
        <f>--1.49</f>
        <v>1.49</v>
      </c>
      <c r="U22" s="3"/>
      <c r="V22" s="22"/>
      <c r="W22" s="3"/>
      <c r="X22" s="3">
        <f t="shared" si="2"/>
        <v>-1.49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"4131", " - ", "NON-TAXABLE SALES-FOOD")</f>
        <v xml:space="preserve">          4131 - NON-TAXABLE SALES-FOOD</v>
      </c>
      <c r="C23" s="11"/>
      <c r="D23" s="3">
        <f t="shared" si="4"/>
        <v>0</v>
      </c>
      <c r="E23" s="3"/>
      <c r="F23" s="22"/>
      <c r="G23" s="3"/>
      <c r="H23" s="3">
        <f>--127.42</f>
        <v>127.42</v>
      </c>
      <c r="I23" s="3"/>
      <c r="J23" s="22"/>
      <c r="K23" s="3"/>
      <c r="L23" s="3">
        <f t="shared" si="0"/>
        <v>-127.42</v>
      </c>
      <c r="M23" s="3"/>
      <c r="N23" s="22">
        <f t="shared" si="1"/>
        <v>-1</v>
      </c>
      <c r="O23" s="11"/>
      <c r="P23" s="3">
        <f t="shared" si="5"/>
        <v>0</v>
      </c>
      <c r="Q23" s="3"/>
      <c r="R23" s="22"/>
      <c r="S23" s="3"/>
      <c r="T23" s="3">
        <f>--127.42</f>
        <v>127.42</v>
      </c>
      <c r="U23" s="3"/>
      <c r="V23" s="22"/>
      <c r="W23" s="3"/>
      <c r="X23" s="3">
        <f t="shared" si="2"/>
        <v>-127.42</v>
      </c>
      <c r="Y23" s="3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"4133", " - ", "NON-TAXABLE SALES-CANDY")</f>
        <v xml:space="preserve">          4133 - NON-TAXABLE SALES-CANDY</v>
      </c>
      <c r="C24" s="11"/>
      <c r="D24" s="3">
        <f t="shared" si="4"/>
        <v>0</v>
      </c>
      <c r="E24" s="3"/>
      <c r="F24" s="22"/>
      <c r="G24" s="3"/>
      <c r="H24" s="3">
        <f>--288.85</f>
        <v>288.85000000000002</v>
      </c>
      <c r="I24" s="3"/>
      <c r="J24" s="22"/>
      <c r="K24" s="3"/>
      <c r="L24" s="3">
        <f t="shared" si="0"/>
        <v>-288.85000000000002</v>
      </c>
      <c r="M24" s="3"/>
      <c r="N24" s="22">
        <f t="shared" si="1"/>
        <v>-1</v>
      </c>
      <c r="O24" s="11"/>
      <c r="P24" s="3">
        <f t="shared" si="5"/>
        <v>0</v>
      </c>
      <c r="Q24" s="3"/>
      <c r="R24" s="22"/>
      <c r="S24" s="3"/>
      <c r="T24" s="3">
        <f>--288.85</f>
        <v>288.85000000000002</v>
      </c>
      <c r="U24" s="3"/>
      <c r="V24" s="22"/>
      <c r="W24" s="3"/>
      <c r="X24" s="3">
        <f t="shared" si="2"/>
        <v>-288.85000000000002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"4135", " - ", "NON-TAXABLE SALES")</f>
        <v xml:space="preserve">          4135 - NON-TAXABLE SALES</v>
      </c>
      <c r="C25" s="11"/>
      <c r="D25" s="3">
        <f t="shared" si="4"/>
        <v>0</v>
      </c>
      <c r="E25" s="3"/>
      <c r="F25" s="22"/>
      <c r="G25" s="3"/>
      <c r="H25" s="3">
        <f>--21.54</f>
        <v>21.54</v>
      </c>
      <c r="I25" s="3"/>
      <c r="J25" s="22"/>
      <c r="K25" s="3"/>
      <c r="L25" s="3">
        <f t="shared" si="0"/>
        <v>-21.54</v>
      </c>
      <c r="M25" s="3"/>
      <c r="N25" s="22">
        <f t="shared" si="1"/>
        <v>-1</v>
      </c>
      <c r="O25" s="11"/>
      <c r="P25" s="3">
        <f t="shared" si="5"/>
        <v>0</v>
      </c>
      <c r="Q25" s="3"/>
      <c r="R25" s="22"/>
      <c r="S25" s="3"/>
      <c r="T25" s="3">
        <f>--21.54</f>
        <v>21.54</v>
      </c>
      <c r="U25" s="3"/>
      <c r="V25" s="22"/>
      <c r="W25" s="3"/>
      <c r="X25" s="3">
        <f t="shared" si="2"/>
        <v>-21.54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"4225", " - ", "SALES RETURN TAXABLE-TEST FORM")</f>
        <v xml:space="preserve">          4225 - SALES RETURN TAXABLE-TEST FORM</v>
      </c>
      <c r="C26" s="11"/>
      <c r="D26" s="3">
        <f t="shared" si="4"/>
        <v>0</v>
      </c>
      <c r="E26" s="3"/>
      <c r="F26" s="22"/>
      <c r="G26" s="3"/>
      <c r="H26" s="3">
        <f>-4.08</f>
        <v>-4.08</v>
      </c>
      <c r="I26" s="3"/>
      <c r="J26" s="22"/>
      <c r="K26" s="3"/>
      <c r="L26" s="3">
        <f t="shared" si="0"/>
        <v>4.08</v>
      </c>
      <c r="M26" s="3"/>
      <c r="N26" s="22">
        <f t="shared" si="1"/>
        <v>-1</v>
      </c>
      <c r="O26" s="11"/>
      <c r="P26" s="3">
        <f t="shared" si="5"/>
        <v>0</v>
      </c>
      <c r="Q26" s="3"/>
      <c r="R26" s="22"/>
      <c r="S26" s="3"/>
      <c r="T26" s="3">
        <f>-4.08</f>
        <v>-4.08</v>
      </c>
      <c r="U26" s="3"/>
      <c r="V26" s="22"/>
      <c r="W26" s="3"/>
      <c r="X26" s="3">
        <f t="shared" si="2"/>
        <v>4.08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"4226", " - ", "SALES RETURN TAXABLE-WRITING I")</f>
        <v xml:space="preserve">          4226 - SALES RETURN TAXABLE-WRITING I</v>
      </c>
      <c r="C27" s="11"/>
      <c r="D27" s="3">
        <f t="shared" si="4"/>
        <v>0</v>
      </c>
      <c r="E27" s="3"/>
      <c r="F27" s="22"/>
      <c r="G27" s="3"/>
      <c r="H27" s="3">
        <f>-63.93</f>
        <v>-63.93</v>
      </c>
      <c r="I27" s="3"/>
      <c r="J27" s="22"/>
      <c r="K27" s="3"/>
      <c r="L27" s="3">
        <f t="shared" si="0"/>
        <v>63.93</v>
      </c>
      <c r="M27" s="3"/>
      <c r="N27" s="22">
        <f t="shared" si="1"/>
        <v>-1</v>
      </c>
      <c r="O27" s="11"/>
      <c r="P27" s="3">
        <f t="shared" si="5"/>
        <v>0</v>
      </c>
      <c r="Q27" s="3"/>
      <c r="R27" s="22"/>
      <c r="S27" s="3"/>
      <c r="T27" s="3">
        <f>-63.93</f>
        <v>-63.93</v>
      </c>
      <c r="U27" s="3"/>
      <c r="V27" s="22"/>
      <c r="W27" s="3"/>
      <c r="X27" s="3">
        <f t="shared" si="2"/>
        <v>63.93</v>
      </c>
      <c r="Y27" s="3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"4227", " - ", "SALES RETURN TAXABLE-SCHOOL SU")</f>
        <v xml:space="preserve">          4227 - SALES RETURN TAXABLE-SCHOOL SU</v>
      </c>
      <c r="C28" s="11"/>
      <c r="D28" s="3">
        <f t="shared" si="4"/>
        <v>0</v>
      </c>
      <c r="E28" s="3"/>
      <c r="F28" s="22"/>
      <c r="G28" s="3"/>
      <c r="H28" s="3">
        <f>-156.47</f>
        <v>-156.47</v>
      </c>
      <c r="I28" s="3"/>
      <c r="J28" s="22"/>
      <c r="K28" s="3"/>
      <c r="L28" s="3">
        <f t="shared" si="0"/>
        <v>156.47</v>
      </c>
      <c r="M28" s="3"/>
      <c r="N28" s="22">
        <f t="shared" si="1"/>
        <v>-1</v>
      </c>
      <c r="O28" s="11"/>
      <c r="P28" s="3">
        <f t="shared" si="5"/>
        <v>0</v>
      </c>
      <c r="Q28" s="3"/>
      <c r="R28" s="22"/>
      <c r="S28" s="3"/>
      <c r="T28" s="3">
        <f>-156.47</f>
        <v>-156.47</v>
      </c>
      <c r="U28" s="3"/>
      <c r="V28" s="22"/>
      <c r="W28" s="3"/>
      <c r="X28" s="3">
        <f t="shared" si="2"/>
        <v>156.47</v>
      </c>
      <c r="Y28" s="3"/>
      <c r="Z28" s="22">
        <f t="shared" si="3"/>
        <v>-1</v>
      </c>
    </row>
    <row r="29" spans="1:26" x14ac:dyDescent="0.25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collapsed="1" x14ac:dyDescent="0.25">
      <c r="A30" s="10"/>
      <c r="B30" s="25" t="s">
        <v>8</v>
      </c>
      <c r="C30" s="10"/>
      <c r="D30" s="4">
        <f>SUM(OSRRefD16x_0)</f>
        <v>0</v>
      </c>
      <c r="E30" s="4"/>
      <c r="F30" s="12">
        <f t="shared" ref="F30:F40" si="6">IF(D$12=0,0,D30/D$12)</f>
        <v>0</v>
      </c>
      <c r="G30" s="4"/>
      <c r="H30" s="4">
        <f>SUM(OSRRefH16x_0)</f>
        <v>8148.6999999999925</v>
      </c>
      <c r="I30" s="4"/>
      <c r="J30" s="12">
        <f t="shared" ref="J30:J40" si="7">IF(H$12=0,0,H30/H$12)</f>
        <v>0.49861039893971748</v>
      </c>
      <c r="K30" s="4"/>
      <c r="L30" s="4">
        <f t="shared" ref="L30:L40" si="8">+D30-H30</f>
        <v>-8148.6999999999925</v>
      </c>
      <c r="M30" s="4"/>
      <c r="N30" s="12">
        <f t="shared" ref="N30:N40" si="9">IF(H30=0,0,L30/H30)</f>
        <v>-1</v>
      </c>
      <c r="O30" s="10"/>
      <c r="P30" s="4">
        <f>SUM(OSRRefP16x_0)</f>
        <v>0</v>
      </c>
      <c r="Q30" s="4"/>
      <c r="R30" s="12">
        <f t="shared" ref="R30:R40" si="10">IF(P$12=0,0,P30/P$12)</f>
        <v>0</v>
      </c>
      <c r="S30" s="4"/>
      <c r="T30" s="4">
        <f>SUM(OSRRefT16x_0)</f>
        <v>8148.6999999999925</v>
      </c>
      <c r="U30" s="4"/>
      <c r="V30" s="12">
        <f t="shared" ref="V30:V40" si="11">IF(T$12=0,0,T30/T$12)</f>
        <v>0.49861039893971748</v>
      </c>
      <c r="W30" s="4"/>
      <c r="X30" s="4">
        <f t="shared" ref="X30:X40" si="12">+P30-T30</f>
        <v>-8148.6999999999925</v>
      </c>
      <c r="Y30" s="4"/>
      <c r="Z30" s="12">
        <f t="shared" ref="Z30:Z40" si="13">IF(T30=0,0,X30/T30)</f>
        <v>-1</v>
      </c>
    </row>
    <row r="31" spans="1:26" s="24" customFormat="1" hidden="1" outlineLevel="1" x14ac:dyDescent="0.25">
      <c r="A31" s="50"/>
      <c r="B31" s="11" t="str">
        <f>CONCATENATE("          ", "5025", " - ", "PURCHASES @ COST-TEST FORMS")</f>
        <v xml:space="preserve">          5025 - PURCHASES @ COST-TEST FORMS</v>
      </c>
      <c r="C31" s="11"/>
      <c r="D31" s="3"/>
      <c r="E31" s="3"/>
      <c r="F31" s="22">
        <f t="shared" si="6"/>
        <v>0</v>
      </c>
      <c r="G31" s="3"/>
      <c r="H31" s="3">
        <v>879.12</v>
      </c>
      <c r="I31" s="3"/>
      <c r="J31" s="22">
        <f t="shared" si="7"/>
        <v>5.379242994783031E-2</v>
      </c>
      <c r="K31" s="3"/>
      <c r="L31" s="3">
        <f t="shared" si="8"/>
        <v>-879.12</v>
      </c>
      <c r="M31" s="3"/>
      <c r="N31" s="22">
        <f t="shared" si="9"/>
        <v>-1</v>
      </c>
      <c r="O31" s="11"/>
      <c r="P31" s="3"/>
      <c r="Q31" s="3"/>
      <c r="R31" s="22">
        <f t="shared" si="10"/>
        <v>0</v>
      </c>
      <c r="S31" s="3"/>
      <c r="T31" s="3">
        <v>879.12</v>
      </c>
      <c r="U31" s="3"/>
      <c r="V31" s="22">
        <f t="shared" si="11"/>
        <v>5.379242994783031E-2</v>
      </c>
      <c r="W31" s="3"/>
      <c r="X31" s="3">
        <f t="shared" si="12"/>
        <v>-879.12</v>
      </c>
      <c r="Y31" s="3"/>
      <c r="Z31" s="22">
        <f t="shared" si="13"/>
        <v>-1</v>
      </c>
    </row>
    <row r="32" spans="1:26" s="24" customFormat="1" hidden="1" outlineLevel="1" x14ac:dyDescent="0.25">
      <c r="A32" s="50"/>
      <c r="B32" s="11" t="str">
        <f>CONCATENATE("          ", "5026", " - ", "PURCHASES @ COST-WRITING INSTR")</f>
        <v xml:space="preserve">          5026 - PURCHASES @ COST-WRITING INSTR</v>
      </c>
      <c r="C32" s="11"/>
      <c r="D32" s="3"/>
      <c r="E32" s="3"/>
      <c r="F32" s="22">
        <f t="shared" si="6"/>
        <v>0</v>
      </c>
      <c r="G32" s="3"/>
      <c r="H32" s="3">
        <v>9530.23</v>
      </c>
      <c r="I32" s="3"/>
      <c r="J32" s="22">
        <f t="shared" si="7"/>
        <v>0.5831447693849654</v>
      </c>
      <c r="K32" s="3"/>
      <c r="L32" s="3">
        <f t="shared" si="8"/>
        <v>-9530.23</v>
      </c>
      <c r="M32" s="3"/>
      <c r="N32" s="22">
        <f t="shared" si="9"/>
        <v>-1</v>
      </c>
      <c r="O32" s="11"/>
      <c r="P32" s="3"/>
      <c r="Q32" s="3"/>
      <c r="R32" s="22">
        <f t="shared" si="10"/>
        <v>0</v>
      </c>
      <c r="S32" s="3"/>
      <c r="T32" s="3">
        <v>9530.23</v>
      </c>
      <c r="U32" s="3"/>
      <c r="V32" s="22">
        <f t="shared" si="11"/>
        <v>0.5831447693849654</v>
      </c>
      <c r="W32" s="3"/>
      <c r="X32" s="3">
        <f t="shared" si="12"/>
        <v>-9530.23</v>
      </c>
      <c r="Y32" s="3"/>
      <c r="Z32" s="22">
        <f t="shared" si="13"/>
        <v>-1</v>
      </c>
    </row>
    <row r="33" spans="1:26" s="24" customFormat="1" hidden="1" outlineLevel="1" x14ac:dyDescent="0.25">
      <c r="A33" s="50"/>
      <c r="B33" s="11" t="str">
        <f>CONCATENATE("          ", "5027", " - ", "PURCHASES @ COST-SCHOOL SUPPLI")</f>
        <v xml:space="preserve">          5027 - PURCHASES @ COST-SCHOOL SUPPLI</v>
      </c>
      <c r="C33" s="11"/>
      <c r="D33" s="3"/>
      <c r="E33" s="3"/>
      <c r="F33" s="22">
        <f t="shared" si="6"/>
        <v>0</v>
      </c>
      <c r="G33" s="3"/>
      <c r="H33" s="3">
        <v>49256.659999999996</v>
      </c>
      <c r="I33" s="3"/>
      <c r="J33" s="22">
        <f t="shared" si="7"/>
        <v>3.0139633184481016</v>
      </c>
      <c r="K33" s="3"/>
      <c r="L33" s="3">
        <f t="shared" si="8"/>
        <v>-49256.659999999996</v>
      </c>
      <c r="M33" s="3"/>
      <c r="N33" s="22">
        <f t="shared" si="9"/>
        <v>-1</v>
      </c>
      <c r="O33" s="11"/>
      <c r="P33" s="3"/>
      <c r="Q33" s="3"/>
      <c r="R33" s="22">
        <f t="shared" si="10"/>
        <v>0</v>
      </c>
      <c r="S33" s="3"/>
      <c r="T33" s="3">
        <v>49256.659999999996</v>
      </c>
      <c r="U33" s="3"/>
      <c r="V33" s="22">
        <f t="shared" si="11"/>
        <v>3.0139633184481016</v>
      </c>
      <c r="W33" s="3"/>
      <c r="X33" s="3">
        <f t="shared" si="12"/>
        <v>-49256.659999999996</v>
      </c>
      <c r="Y33" s="3"/>
      <c r="Z33" s="22">
        <f t="shared" si="13"/>
        <v>-1</v>
      </c>
    </row>
    <row r="34" spans="1:26" s="24" customFormat="1" hidden="1" outlineLevel="1" x14ac:dyDescent="0.25">
      <c r="A34" s="50"/>
      <c r="B34" s="11" t="str">
        <f>CONCATENATE("          ", "5028", " - ", "PURCHASES @ COST-ART/TECH")</f>
        <v xml:space="preserve">          5028 - PURCHASES @ COST-ART/TECH</v>
      </c>
      <c r="C34" s="11"/>
      <c r="D34" s="3"/>
      <c r="E34" s="3"/>
      <c r="F34" s="22">
        <f t="shared" si="6"/>
        <v>0</v>
      </c>
      <c r="G34" s="3"/>
      <c r="H34" s="3">
        <v>2144.56</v>
      </c>
      <c r="I34" s="3"/>
      <c r="J34" s="22">
        <f t="shared" si="7"/>
        <v>0.13122337515802049</v>
      </c>
      <c r="K34" s="3"/>
      <c r="L34" s="3">
        <f t="shared" si="8"/>
        <v>-2144.56</v>
      </c>
      <c r="M34" s="3"/>
      <c r="N34" s="22">
        <f t="shared" si="9"/>
        <v>-1</v>
      </c>
      <c r="O34" s="11"/>
      <c r="P34" s="3"/>
      <c r="Q34" s="3"/>
      <c r="R34" s="22">
        <f t="shared" si="10"/>
        <v>0</v>
      </c>
      <c r="S34" s="3"/>
      <c r="T34" s="3">
        <v>2144.56</v>
      </c>
      <c r="U34" s="3"/>
      <c r="V34" s="22">
        <f t="shared" si="11"/>
        <v>0.13122337515802049</v>
      </c>
      <c r="W34" s="3"/>
      <c r="X34" s="3">
        <f t="shared" si="12"/>
        <v>-2144.56</v>
      </c>
      <c r="Y34" s="3"/>
      <c r="Z34" s="22">
        <f t="shared" si="13"/>
        <v>-1</v>
      </c>
    </row>
    <row r="35" spans="1:26" s="24" customFormat="1" hidden="1" outlineLevel="1" x14ac:dyDescent="0.25">
      <c r="A35" s="50"/>
      <c r="B35" s="11" t="str">
        <f>CONCATENATE("          ", "5200", " - ", "PURCHASES OFFSET")</f>
        <v xml:space="preserve">          5200 - PURCHASES OFFSET</v>
      </c>
      <c r="C35" s="11"/>
      <c r="D35" s="3"/>
      <c r="E35" s="3"/>
      <c r="F35" s="22">
        <f t="shared" si="6"/>
        <v>0</v>
      </c>
      <c r="G35" s="3"/>
      <c r="H35" s="3">
        <v>-62144</v>
      </c>
      <c r="I35" s="3"/>
      <c r="J35" s="22">
        <f t="shared" si="7"/>
        <v>-3.8025261246223119</v>
      </c>
      <c r="K35" s="3"/>
      <c r="L35" s="3">
        <f t="shared" si="8"/>
        <v>62144</v>
      </c>
      <c r="M35" s="3"/>
      <c r="N35" s="22">
        <f t="shared" si="9"/>
        <v>-1</v>
      </c>
      <c r="O35" s="11"/>
      <c r="P35" s="3"/>
      <c r="Q35" s="3"/>
      <c r="R35" s="22">
        <f t="shared" si="10"/>
        <v>0</v>
      </c>
      <c r="S35" s="3"/>
      <c r="T35" s="3">
        <v>-62144</v>
      </c>
      <c r="U35" s="3"/>
      <c r="V35" s="22">
        <f t="shared" si="11"/>
        <v>-3.8025261246223119</v>
      </c>
      <c r="W35" s="3"/>
      <c r="X35" s="3">
        <f t="shared" si="12"/>
        <v>62144</v>
      </c>
      <c r="Y35" s="3"/>
      <c r="Z35" s="22">
        <f t="shared" si="13"/>
        <v>-1</v>
      </c>
    </row>
    <row r="36" spans="1:26" s="24" customFormat="1" hidden="1" outlineLevel="1" x14ac:dyDescent="0.25">
      <c r="A36" s="50"/>
      <c r="B36" s="11" t="str">
        <f>CONCATENATE("          ", "5300", " - ", "COG$ OFFSET")</f>
        <v xml:space="preserve">          5300 - COG$ OFFSET</v>
      </c>
      <c r="C36" s="11"/>
      <c r="D36" s="3"/>
      <c r="E36" s="3"/>
      <c r="F36" s="22">
        <f t="shared" si="6"/>
        <v>0</v>
      </c>
      <c r="G36" s="3"/>
      <c r="H36" s="3">
        <v>8100</v>
      </c>
      <c r="I36" s="3"/>
      <c r="J36" s="22">
        <f t="shared" si="7"/>
        <v>0.49563049706231854</v>
      </c>
      <c r="K36" s="3"/>
      <c r="L36" s="3">
        <f t="shared" si="8"/>
        <v>-8100</v>
      </c>
      <c r="M36" s="3"/>
      <c r="N36" s="22">
        <f t="shared" si="9"/>
        <v>-1</v>
      </c>
      <c r="O36" s="11"/>
      <c r="P36" s="3"/>
      <c r="Q36" s="3"/>
      <c r="R36" s="22">
        <f t="shared" si="10"/>
        <v>0</v>
      </c>
      <c r="S36" s="3"/>
      <c r="T36" s="3">
        <v>8100</v>
      </c>
      <c r="U36" s="3"/>
      <c r="V36" s="22">
        <f t="shared" si="11"/>
        <v>0.49563049706231854</v>
      </c>
      <c r="W36" s="3"/>
      <c r="X36" s="3">
        <f t="shared" si="12"/>
        <v>-8100</v>
      </c>
      <c r="Y36" s="3"/>
      <c r="Z36" s="22">
        <f t="shared" si="13"/>
        <v>-1</v>
      </c>
    </row>
    <row r="37" spans="1:26" s="24" customFormat="1" hidden="1" outlineLevel="1" x14ac:dyDescent="0.25">
      <c r="A37" s="50"/>
      <c r="B37" s="11" t="str">
        <f>CONCATENATE("          ", "5500", " - ", "FREIGHT-IN")</f>
        <v xml:space="preserve">          5500 - FREIGHT-IN</v>
      </c>
      <c r="C37" s="11"/>
      <c r="D37" s="3"/>
      <c r="E37" s="3"/>
      <c r="F37" s="22">
        <f t="shared" si="6"/>
        <v>0</v>
      </c>
      <c r="G37" s="3"/>
      <c r="H37" s="3">
        <v>49</v>
      </c>
      <c r="I37" s="3"/>
      <c r="J37" s="22">
        <f t="shared" si="7"/>
        <v>2.9982585624757541E-3</v>
      </c>
      <c r="K37" s="3"/>
      <c r="L37" s="3">
        <f t="shared" si="8"/>
        <v>-49</v>
      </c>
      <c r="M37" s="3"/>
      <c r="N37" s="22">
        <f t="shared" si="9"/>
        <v>-1</v>
      </c>
      <c r="O37" s="11"/>
      <c r="P37" s="3"/>
      <c r="Q37" s="3"/>
      <c r="R37" s="22">
        <f t="shared" si="10"/>
        <v>0</v>
      </c>
      <c r="S37" s="3"/>
      <c r="T37" s="3">
        <v>49</v>
      </c>
      <c r="U37" s="3"/>
      <c r="V37" s="22">
        <f t="shared" si="11"/>
        <v>2.9982585624757541E-3</v>
      </c>
      <c r="W37" s="3"/>
      <c r="X37" s="3">
        <f t="shared" si="12"/>
        <v>-49</v>
      </c>
      <c r="Y37" s="3"/>
      <c r="Z37" s="22">
        <f t="shared" si="13"/>
        <v>-1</v>
      </c>
    </row>
    <row r="38" spans="1:26" s="24" customFormat="1" hidden="1" outlineLevel="1" x14ac:dyDescent="0.25">
      <c r="A38" s="50"/>
      <c r="B38" s="11" t="str">
        <f>CONCATENATE("          ", "5526", " - ", "FREIGHT-IN-WRITING INSTRUMENTS")</f>
        <v xml:space="preserve">          5526 - FREIGHT-IN-WRITING INSTRUMENTS</v>
      </c>
      <c r="C38" s="11"/>
      <c r="D38" s="3"/>
      <c r="E38" s="3"/>
      <c r="F38" s="22">
        <f t="shared" si="6"/>
        <v>0</v>
      </c>
      <c r="G38" s="3"/>
      <c r="H38" s="3">
        <v>39.11</v>
      </c>
      <c r="I38" s="3"/>
      <c r="J38" s="22">
        <f t="shared" si="7"/>
        <v>2.3930998444576888E-3</v>
      </c>
      <c r="K38" s="3"/>
      <c r="L38" s="3">
        <f t="shared" si="8"/>
        <v>-39.11</v>
      </c>
      <c r="M38" s="3"/>
      <c r="N38" s="22">
        <f t="shared" si="9"/>
        <v>-1</v>
      </c>
      <c r="O38" s="11"/>
      <c r="P38" s="3"/>
      <c r="Q38" s="3"/>
      <c r="R38" s="22">
        <f t="shared" si="10"/>
        <v>0</v>
      </c>
      <c r="S38" s="3"/>
      <c r="T38" s="3">
        <v>39.11</v>
      </c>
      <c r="U38" s="3"/>
      <c r="V38" s="22">
        <f t="shared" si="11"/>
        <v>2.3930998444576888E-3</v>
      </c>
      <c r="W38" s="3"/>
      <c r="X38" s="3">
        <f t="shared" si="12"/>
        <v>-39.11</v>
      </c>
      <c r="Y38" s="3"/>
      <c r="Z38" s="22">
        <f t="shared" si="13"/>
        <v>-1</v>
      </c>
    </row>
    <row r="39" spans="1:26" s="24" customFormat="1" hidden="1" outlineLevel="1" x14ac:dyDescent="0.25">
      <c r="A39" s="50"/>
      <c r="B39" s="11" t="str">
        <f>CONCATENATE("          ", "5527", " - ", "FREIGHT-IN-SCHOOL SUPPLIES")</f>
        <v xml:space="preserve">          5527 - FREIGHT-IN-SCHOOL SUPPLIES</v>
      </c>
      <c r="C39" s="11"/>
      <c r="D39" s="3"/>
      <c r="E39" s="3"/>
      <c r="F39" s="22">
        <f t="shared" si="6"/>
        <v>0</v>
      </c>
      <c r="G39" s="3"/>
      <c r="H39" s="3">
        <v>250.02</v>
      </c>
      <c r="I39" s="3"/>
      <c r="J39" s="22">
        <f t="shared" si="7"/>
        <v>1.52984613426569E-2</v>
      </c>
      <c r="K39" s="3"/>
      <c r="L39" s="3">
        <f t="shared" si="8"/>
        <v>-250.02</v>
      </c>
      <c r="M39" s="3"/>
      <c r="N39" s="22">
        <f t="shared" si="9"/>
        <v>-1</v>
      </c>
      <c r="O39" s="11"/>
      <c r="P39" s="3"/>
      <c r="Q39" s="3"/>
      <c r="R39" s="22">
        <f t="shared" si="10"/>
        <v>0</v>
      </c>
      <c r="S39" s="3"/>
      <c r="T39" s="3">
        <v>250.02</v>
      </c>
      <c r="U39" s="3"/>
      <c r="V39" s="22">
        <f t="shared" si="11"/>
        <v>1.52984613426569E-2</v>
      </c>
      <c r="W39" s="3"/>
      <c r="X39" s="3">
        <f t="shared" si="12"/>
        <v>-250.02</v>
      </c>
      <c r="Y39" s="3"/>
      <c r="Z39" s="22">
        <f t="shared" si="13"/>
        <v>-1</v>
      </c>
    </row>
    <row r="40" spans="1:26" s="24" customFormat="1" hidden="1" outlineLevel="1" x14ac:dyDescent="0.25">
      <c r="A40" s="50"/>
      <c r="B40" s="11" t="str">
        <f>CONCATENATE("          ", "5528", " - ", "FREIGHT-IN-ART/TECH")</f>
        <v xml:space="preserve">          5528 - FREIGHT-IN-ART/TECH</v>
      </c>
      <c r="C40" s="11"/>
      <c r="D40" s="3"/>
      <c r="E40" s="3"/>
      <c r="F40" s="22">
        <f t="shared" si="6"/>
        <v>0</v>
      </c>
      <c r="G40" s="3"/>
      <c r="H40" s="3">
        <v>44</v>
      </c>
      <c r="I40" s="3"/>
      <c r="J40" s="22">
        <f t="shared" si="7"/>
        <v>2.6923138112027183E-3</v>
      </c>
      <c r="K40" s="3"/>
      <c r="L40" s="3">
        <f t="shared" si="8"/>
        <v>-44</v>
      </c>
      <c r="M40" s="3"/>
      <c r="N40" s="22">
        <f t="shared" si="9"/>
        <v>-1</v>
      </c>
      <c r="O40" s="11"/>
      <c r="P40" s="3"/>
      <c r="Q40" s="3"/>
      <c r="R40" s="22">
        <f t="shared" si="10"/>
        <v>0</v>
      </c>
      <c r="S40" s="3"/>
      <c r="T40" s="3">
        <v>44</v>
      </c>
      <c r="U40" s="3"/>
      <c r="V40" s="22">
        <f t="shared" si="11"/>
        <v>2.6923138112027183E-3</v>
      </c>
      <c r="W40" s="3"/>
      <c r="X40" s="3">
        <f t="shared" si="12"/>
        <v>-44</v>
      </c>
      <c r="Y40" s="3"/>
      <c r="Z40" s="22">
        <f t="shared" si="13"/>
        <v>-1</v>
      </c>
    </row>
    <row r="41" spans="1:26" x14ac:dyDescent="0.25">
      <c r="A41" s="9"/>
      <c r="B41" s="10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10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25">
      <c r="A42" s="10"/>
      <c r="B42" s="26" t="s">
        <v>6</v>
      </c>
      <c r="C42" s="26"/>
      <c r="D42" s="19">
        <f>D12-D30</f>
        <v>0</v>
      </c>
      <c r="E42" s="13"/>
      <c r="F42" s="20">
        <f>IF(D$12=0,0,D42/D$12)</f>
        <v>0</v>
      </c>
      <c r="G42" s="13"/>
      <c r="H42" s="19">
        <f>H12-H30</f>
        <v>8194.1200000000063</v>
      </c>
      <c r="I42" s="13"/>
      <c r="J42" s="20">
        <f>IF(H$12=0,0,H42/H$12)</f>
        <v>0.50138960106028263</v>
      </c>
      <c r="K42" s="16"/>
      <c r="L42" s="19">
        <f>+D42-H42</f>
        <v>-8194.1200000000063</v>
      </c>
      <c r="M42" s="16"/>
      <c r="N42" s="20">
        <f>IF(H42=0,0,L42/H42)</f>
        <v>-1</v>
      </c>
      <c r="O42" s="25"/>
      <c r="P42" s="19">
        <f>P12-P30</f>
        <v>0</v>
      </c>
      <c r="Q42" s="13"/>
      <c r="R42" s="20">
        <f>IF(P$12=0,0,P42/P$12)</f>
        <v>0</v>
      </c>
      <c r="S42" s="13"/>
      <c r="T42" s="19">
        <f>T12-T30</f>
        <v>8194.1200000000063</v>
      </c>
      <c r="U42" s="13"/>
      <c r="V42" s="20">
        <f>IF(T$12=0,0,T42/T$12)</f>
        <v>0.50138960106028263</v>
      </c>
      <c r="W42" s="16"/>
      <c r="X42" s="19">
        <f>+P42-T42</f>
        <v>-8194.1200000000063</v>
      </c>
      <c r="Y42" s="16"/>
      <c r="Z42" s="20">
        <f>IF(T42=0,0,X42/T42)</f>
        <v>-1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9</v>
      </c>
      <c r="C44" s="10"/>
      <c r="D44" s="21">
        <f>SUM(OSRRefD22x_0)</f>
        <v>0</v>
      </c>
      <c r="E44" s="21"/>
      <c r="F44" s="34">
        <f t="shared" ref="F44:F52" si="14">IF(D$12=0,0,D44/D$12)</f>
        <v>0</v>
      </c>
      <c r="G44" s="21"/>
      <c r="H44" s="21">
        <f>SUM(OSRRefH22x_0)</f>
        <v>12175.64</v>
      </c>
      <c r="I44" s="21"/>
      <c r="J44" s="34">
        <f t="shared" ref="J44:J52" si="15">IF(H$12=0,0,H44/H$12)</f>
        <v>0.74501463027800596</v>
      </c>
      <c r="K44" s="4"/>
      <c r="L44" s="21">
        <f t="shared" ref="L44:L52" si="16">+D44-H44</f>
        <v>-12175.64</v>
      </c>
      <c r="M44" s="4"/>
      <c r="N44" s="34">
        <f t="shared" ref="N44:N52" si="17">IF(H44=0,0,L44/H44)</f>
        <v>-1</v>
      </c>
      <c r="O44" s="10"/>
      <c r="P44" s="21">
        <f>SUM(OSRRefP22x_0)</f>
        <v>0</v>
      </c>
      <c r="Q44" s="21"/>
      <c r="R44" s="34">
        <f t="shared" ref="R44:R52" si="18">IF(P$12=0,0,P44/P$12)</f>
        <v>0</v>
      </c>
      <c r="S44" s="21"/>
      <c r="T44" s="21">
        <f>SUM(OSRRefT22x_0)</f>
        <v>12175.64</v>
      </c>
      <c r="U44" s="21"/>
      <c r="V44" s="34">
        <f t="shared" ref="V44:V52" si="19">IF(T$12=0,0,T44/T$12)</f>
        <v>0.74501463027800596</v>
      </c>
      <c r="W44" s="4"/>
      <c r="X44" s="21">
        <f t="shared" ref="X44:X52" si="20">+P44-T44</f>
        <v>-12175.64</v>
      </c>
      <c r="Y44" s="4"/>
      <c r="Z44" s="34">
        <f t="shared" ref="Z44:Z52" si="21">IF(T44=0,0,X44/T44)</f>
        <v>-1</v>
      </c>
    </row>
    <row r="45" spans="1:26" s="27" customFormat="1" outlineLevel="1" collapsed="1" x14ac:dyDescent="0.25">
      <c r="A45" s="28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0</v>
      </c>
      <c r="E45" s="1"/>
      <c r="F45" s="5">
        <f t="shared" si="14"/>
        <v>0</v>
      </c>
      <c r="G45" s="1"/>
      <c r="H45" s="1">
        <f>SUM(OSRRefH22_0x_0)</f>
        <v>2358.2800000000002</v>
      </c>
      <c r="I45" s="1"/>
      <c r="J45" s="5">
        <f t="shared" si="15"/>
        <v>0.14430067760643514</v>
      </c>
      <c r="K45" s="1"/>
      <c r="L45" s="1">
        <f t="shared" si="16"/>
        <v>-2358.2800000000002</v>
      </c>
      <c r="M45" s="1"/>
      <c r="N45" s="5">
        <f t="shared" si="17"/>
        <v>-1</v>
      </c>
      <c r="O45" s="14"/>
      <c r="P45" s="1">
        <f>SUM(OSRRefP22_0x_0)</f>
        <v>0</v>
      </c>
      <c r="Q45" s="1"/>
      <c r="R45" s="5">
        <f t="shared" si="18"/>
        <v>0</v>
      </c>
      <c r="S45" s="1"/>
      <c r="T45" s="1">
        <f>SUM(OSRRefT22_0x_0)</f>
        <v>2358.2800000000002</v>
      </c>
      <c r="U45" s="1"/>
      <c r="V45" s="5">
        <f t="shared" si="19"/>
        <v>0.14430067760643514</v>
      </c>
      <c r="W45" s="1"/>
      <c r="X45" s="1">
        <f t="shared" si="20"/>
        <v>-2358.2800000000002</v>
      </c>
      <c r="Y45" s="1"/>
      <c r="Z45" s="5">
        <f t="shared" si="21"/>
        <v>-1</v>
      </c>
    </row>
    <row r="46" spans="1:26" s="24" customFormat="1" hidden="1" outlineLevel="2" x14ac:dyDescent="0.25">
      <c r="A46" s="29"/>
      <c r="B46" s="11" t="str">
        <f>CONCATENATE("          ", "6111", " - ", "F.I.C.A.")</f>
        <v xml:space="preserve">          6111 - F.I.C.A.</v>
      </c>
      <c r="C46" s="11"/>
      <c r="D46" s="8"/>
      <c r="E46" s="3"/>
      <c r="F46" s="7">
        <f t="shared" si="14"/>
        <v>0</v>
      </c>
      <c r="G46" s="3"/>
      <c r="H46" s="8">
        <v>474.69</v>
      </c>
      <c r="I46" s="3"/>
      <c r="J46" s="7">
        <f t="shared" si="15"/>
        <v>2.9045782796359505E-2</v>
      </c>
      <c r="K46" s="3"/>
      <c r="L46" s="8">
        <f t="shared" si="16"/>
        <v>-474.69</v>
      </c>
      <c r="M46" s="3"/>
      <c r="N46" s="7">
        <f t="shared" si="17"/>
        <v>-1</v>
      </c>
      <c r="O46" s="11"/>
      <c r="P46" s="8"/>
      <c r="Q46" s="3"/>
      <c r="R46" s="7">
        <f t="shared" si="18"/>
        <v>0</v>
      </c>
      <c r="S46" s="3"/>
      <c r="T46" s="8">
        <v>474.69</v>
      </c>
      <c r="U46" s="3"/>
      <c r="V46" s="7">
        <f t="shared" si="19"/>
        <v>2.9045782796359505E-2</v>
      </c>
      <c r="W46" s="3"/>
      <c r="X46" s="8">
        <f t="shared" si="20"/>
        <v>-474.69</v>
      </c>
      <c r="Y46" s="3"/>
      <c r="Z46" s="7">
        <f t="shared" si="21"/>
        <v>-1</v>
      </c>
    </row>
    <row r="47" spans="1:26" s="24" customFormat="1" hidden="1" outlineLevel="2" x14ac:dyDescent="0.25">
      <c r="A47" s="29"/>
      <c r="B47" s="11" t="str">
        <f>CONCATENATE("          ", "6112", " - ", "COMPENSATION INSURANCE")</f>
        <v xml:space="preserve">          6112 - COMPENSATION INSURANCE</v>
      </c>
      <c r="C47" s="11"/>
      <c r="D47" s="8"/>
      <c r="E47" s="3"/>
      <c r="F47" s="7">
        <f t="shared" si="14"/>
        <v>0</v>
      </c>
      <c r="G47" s="3"/>
      <c r="H47" s="8">
        <v>117.87</v>
      </c>
      <c r="I47" s="3"/>
      <c r="J47" s="7">
        <f t="shared" si="15"/>
        <v>7.2123415665105543E-3</v>
      </c>
      <c r="K47" s="3"/>
      <c r="L47" s="8">
        <f t="shared" si="16"/>
        <v>-117.87</v>
      </c>
      <c r="M47" s="3"/>
      <c r="N47" s="7">
        <f t="shared" si="17"/>
        <v>-1</v>
      </c>
      <c r="O47" s="11"/>
      <c r="P47" s="8"/>
      <c r="Q47" s="3"/>
      <c r="R47" s="7">
        <f t="shared" si="18"/>
        <v>0</v>
      </c>
      <c r="S47" s="3"/>
      <c r="T47" s="8">
        <v>117.87</v>
      </c>
      <c r="U47" s="3"/>
      <c r="V47" s="7">
        <f t="shared" si="19"/>
        <v>7.2123415665105543E-3</v>
      </c>
      <c r="W47" s="3"/>
      <c r="X47" s="8">
        <f t="shared" si="20"/>
        <v>-117.87</v>
      </c>
      <c r="Y47" s="3"/>
      <c r="Z47" s="7">
        <f t="shared" si="21"/>
        <v>-1</v>
      </c>
    </row>
    <row r="48" spans="1:26" s="24" customFormat="1" hidden="1" outlineLevel="2" x14ac:dyDescent="0.25">
      <c r="A48" s="29"/>
      <c r="B48" s="11" t="str">
        <f>CONCATENATE("          ", "6113", " - ", "GROUP INSURANCE")</f>
        <v xml:space="preserve">          6113 - GROUP INSURANCE</v>
      </c>
      <c r="C48" s="11"/>
      <c r="D48" s="8"/>
      <c r="E48" s="3"/>
      <c r="F48" s="7">
        <f t="shared" si="14"/>
        <v>0</v>
      </c>
      <c r="G48" s="3"/>
      <c r="H48" s="8">
        <v>924.25</v>
      </c>
      <c r="I48" s="3"/>
      <c r="J48" s="7">
        <f t="shared" si="15"/>
        <v>5.6553887272820735E-2</v>
      </c>
      <c r="K48" s="3"/>
      <c r="L48" s="8">
        <f t="shared" si="16"/>
        <v>-924.25</v>
      </c>
      <c r="M48" s="3"/>
      <c r="N48" s="7">
        <f t="shared" si="17"/>
        <v>-1</v>
      </c>
      <c r="O48" s="11"/>
      <c r="P48" s="8"/>
      <c r="Q48" s="3"/>
      <c r="R48" s="7">
        <f t="shared" si="18"/>
        <v>0</v>
      </c>
      <c r="S48" s="3"/>
      <c r="T48" s="8">
        <v>924.25</v>
      </c>
      <c r="U48" s="3"/>
      <c r="V48" s="7">
        <f t="shared" si="19"/>
        <v>5.6553887272820735E-2</v>
      </c>
      <c r="W48" s="3"/>
      <c r="X48" s="8">
        <f t="shared" si="20"/>
        <v>-924.25</v>
      </c>
      <c r="Y48" s="3"/>
      <c r="Z48" s="7">
        <f t="shared" si="21"/>
        <v>-1</v>
      </c>
    </row>
    <row r="49" spans="1:26" s="24" customFormat="1" hidden="1" outlineLevel="2" x14ac:dyDescent="0.25">
      <c r="A49" s="29"/>
      <c r="B49" s="11" t="str">
        <f>CONCATENATE("          ", "6114", " - ", "STATE UNEMPLOYMENT INSURANCE")</f>
        <v xml:space="preserve">          6114 - STATE UNEMPLOYMENT INSURANCE</v>
      </c>
      <c r="C49" s="11"/>
      <c r="D49" s="8"/>
      <c r="E49" s="3"/>
      <c r="F49" s="7">
        <f t="shared" si="14"/>
        <v>0</v>
      </c>
      <c r="G49" s="3"/>
      <c r="H49" s="8">
        <v>16.13</v>
      </c>
      <c r="I49" s="3"/>
      <c r="J49" s="7">
        <f t="shared" si="15"/>
        <v>9.8697776760681448E-4</v>
      </c>
      <c r="K49" s="3"/>
      <c r="L49" s="8">
        <f t="shared" si="16"/>
        <v>-16.13</v>
      </c>
      <c r="M49" s="3"/>
      <c r="N49" s="7">
        <f t="shared" si="17"/>
        <v>-1</v>
      </c>
      <c r="O49" s="11"/>
      <c r="P49" s="8"/>
      <c r="Q49" s="3"/>
      <c r="R49" s="7">
        <f t="shared" si="18"/>
        <v>0</v>
      </c>
      <c r="S49" s="3"/>
      <c r="T49" s="8">
        <v>16.13</v>
      </c>
      <c r="U49" s="3"/>
      <c r="V49" s="7">
        <f t="shared" si="19"/>
        <v>9.8697776760681448E-4</v>
      </c>
      <c r="W49" s="3"/>
      <c r="X49" s="8">
        <f t="shared" si="20"/>
        <v>-16.13</v>
      </c>
      <c r="Y49" s="3"/>
      <c r="Z49" s="7">
        <f t="shared" si="21"/>
        <v>-1</v>
      </c>
    </row>
    <row r="50" spans="1:26" s="24" customFormat="1" hidden="1" outlineLevel="2" x14ac:dyDescent="0.25">
      <c r="A50" s="29"/>
      <c r="B50" s="11" t="str">
        <f>CONCATENATE("          ", "6115", " - ", "P.E.R.S.")</f>
        <v xml:space="preserve">          6115 - P.E.R.S.</v>
      </c>
      <c r="C50" s="11"/>
      <c r="D50" s="8"/>
      <c r="E50" s="3"/>
      <c r="F50" s="7">
        <f t="shared" si="14"/>
        <v>0</v>
      </c>
      <c r="G50" s="3"/>
      <c r="H50" s="8">
        <v>183.4</v>
      </c>
      <c r="I50" s="3"/>
      <c r="J50" s="7">
        <f t="shared" si="15"/>
        <v>1.1222053476694966E-2</v>
      </c>
      <c r="K50" s="3"/>
      <c r="L50" s="8">
        <f t="shared" si="16"/>
        <v>-183.4</v>
      </c>
      <c r="M50" s="3"/>
      <c r="N50" s="7">
        <f t="shared" si="17"/>
        <v>-1</v>
      </c>
      <c r="O50" s="11"/>
      <c r="P50" s="8"/>
      <c r="Q50" s="3"/>
      <c r="R50" s="7">
        <f t="shared" si="18"/>
        <v>0</v>
      </c>
      <c r="S50" s="3"/>
      <c r="T50" s="8">
        <v>183.4</v>
      </c>
      <c r="U50" s="3"/>
      <c r="V50" s="7">
        <f t="shared" si="19"/>
        <v>1.1222053476694966E-2</v>
      </c>
      <c r="W50" s="3"/>
      <c r="X50" s="8">
        <f t="shared" si="20"/>
        <v>-183.4</v>
      </c>
      <c r="Y50" s="3"/>
      <c r="Z50" s="7">
        <f t="shared" si="21"/>
        <v>-1</v>
      </c>
    </row>
    <row r="51" spans="1:26" s="24" customFormat="1" hidden="1" outlineLevel="2" x14ac:dyDescent="0.25">
      <c r="A51" s="29"/>
      <c r="B51" s="11" t="str">
        <f>CONCATENATE("          ", "6118", " - ", "VACATION")</f>
        <v xml:space="preserve">          6118 - VACATION</v>
      </c>
      <c r="C51" s="11"/>
      <c r="D51" s="8"/>
      <c r="E51" s="3"/>
      <c r="F51" s="7">
        <f t="shared" si="14"/>
        <v>0</v>
      </c>
      <c r="G51" s="3"/>
      <c r="H51" s="8">
        <v>313.32</v>
      </c>
      <c r="I51" s="3"/>
      <c r="J51" s="7">
        <f t="shared" si="15"/>
        <v>1.9171721893773537E-2</v>
      </c>
      <c r="K51" s="3"/>
      <c r="L51" s="8">
        <f t="shared" si="16"/>
        <v>-313.32</v>
      </c>
      <c r="M51" s="3"/>
      <c r="N51" s="7">
        <f t="shared" si="17"/>
        <v>-1</v>
      </c>
      <c r="O51" s="11"/>
      <c r="P51" s="8"/>
      <c r="Q51" s="3"/>
      <c r="R51" s="7">
        <f t="shared" si="18"/>
        <v>0</v>
      </c>
      <c r="S51" s="3"/>
      <c r="T51" s="8">
        <v>313.32</v>
      </c>
      <c r="U51" s="3"/>
      <c r="V51" s="7">
        <f t="shared" si="19"/>
        <v>1.9171721893773537E-2</v>
      </c>
      <c r="W51" s="3"/>
      <c r="X51" s="8">
        <f t="shared" si="20"/>
        <v>-313.32</v>
      </c>
      <c r="Y51" s="3"/>
      <c r="Z51" s="7">
        <f t="shared" si="21"/>
        <v>-1</v>
      </c>
    </row>
    <row r="52" spans="1:26" s="24" customFormat="1" hidden="1" outlineLevel="2" x14ac:dyDescent="0.25">
      <c r="A52" s="29"/>
      <c r="B52" s="11" t="str">
        <f>CONCATENATE("          ", "6119", " - ", "SICK LEAVE")</f>
        <v xml:space="preserve">          6119 - SICK LEAVE</v>
      </c>
      <c r="C52" s="11"/>
      <c r="D52" s="8"/>
      <c r="E52" s="3"/>
      <c r="F52" s="7">
        <f t="shared" si="14"/>
        <v>0</v>
      </c>
      <c r="G52" s="3"/>
      <c r="H52" s="8">
        <v>328.62</v>
      </c>
      <c r="I52" s="3"/>
      <c r="J52" s="7">
        <f t="shared" si="15"/>
        <v>2.010791283266903E-2</v>
      </c>
      <c r="K52" s="3"/>
      <c r="L52" s="8">
        <f t="shared" si="16"/>
        <v>-328.62</v>
      </c>
      <c r="M52" s="3"/>
      <c r="N52" s="7">
        <f t="shared" si="17"/>
        <v>-1</v>
      </c>
      <c r="O52" s="11"/>
      <c r="P52" s="8"/>
      <c r="Q52" s="3"/>
      <c r="R52" s="7">
        <f t="shared" si="18"/>
        <v>0</v>
      </c>
      <c r="S52" s="3"/>
      <c r="T52" s="8">
        <v>328.62</v>
      </c>
      <c r="U52" s="3"/>
      <c r="V52" s="7">
        <f t="shared" si="19"/>
        <v>2.010791283266903E-2</v>
      </c>
      <c r="W52" s="3"/>
      <c r="X52" s="8">
        <f t="shared" si="20"/>
        <v>-328.62</v>
      </c>
      <c r="Y52" s="3"/>
      <c r="Z52" s="7">
        <f t="shared" si="21"/>
        <v>-1</v>
      </c>
    </row>
    <row r="53" spans="1:26" s="27" customFormat="1" outlineLevel="1" collapsed="1" x14ac:dyDescent="0.25">
      <c r="A53" s="28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0</v>
      </c>
      <c r="E53" s="1"/>
      <c r="F53" s="5">
        <f t="shared" ref="F53:F55" si="22">IF(D$12=0,0,D53/D$12)</f>
        <v>0</v>
      </c>
      <c r="G53" s="1"/>
      <c r="H53" s="1">
        <f>SUM(OSRRefH22_1x_0)</f>
        <v>7505.79</v>
      </c>
      <c r="I53" s="1"/>
      <c r="J53" s="5">
        <f t="shared" ref="J53:J55" si="23">IF(H$12=0,0,H53/H$12)</f>
        <v>0.4592714109315284</v>
      </c>
      <c r="K53" s="1"/>
      <c r="L53" s="1">
        <f t="shared" ref="L53:L55" si="24">+D53-H53</f>
        <v>-7505.79</v>
      </c>
      <c r="M53" s="1"/>
      <c r="N53" s="5">
        <f t="shared" ref="N53:N55" si="25">IF(H53=0,0,L53/H53)</f>
        <v>-1</v>
      </c>
      <c r="O53" s="14"/>
      <c r="P53" s="1">
        <f>SUM(OSRRefP22_1x_0)</f>
        <v>0</v>
      </c>
      <c r="Q53" s="1"/>
      <c r="R53" s="5">
        <f t="shared" ref="R53:R55" si="26">IF(P$12=0,0,P53/P$12)</f>
        <v>0</v>
      </c>
      <c r="S53" s="1"/>
      <c r="T53" s="1">
        <f>SUM(OSRRefT22_1x_0)</f>
        <v>7505.79</v>
      </c>
      <c r="U53" s="1"/>
      <c r="V53" s="5">
        <f t="shared" ref="V53:V55" si="27">IF(T$12=0,0,T53/T$12)</f>
        <v>0.4592714109315284</v>
      </c>
      <c r="W53" s="1"/>
      <c r="X53" s="1">
        <f t="shared" ref="X53:X55" si="28">+P53-T53</f>
        <v>-7505.79</v>
      </c>
      <c r="Y53" s="1"/>
      <c r="Z53" s="5">
        <f t="shared" ref="Z53:Z55" si="29">IF(T53=0,0,X53/T53)</f>
        <v>-1</v>
      </c>
    </row>
    <row r="54" spans="1:26" s="24" customFormat="1" hidden="1" outlineLevel="2" x14ac:dyDescent="0.25">
      <c r="A54" s="29"/>
      <c r="B54" s="11" t="str">
        <f>CONCATENATE("          ", "6002", " - ", "STAFF SALARIES")</f>
        <v xml:space="preserve">          6002 - STAFF SALARIES</v>
      </c>
      <c r="C54" s="11"/>
      <c r="D54" s="8"/>
      <c r="E54" s="3"/>
      <c r="F54" s="7">
        <f t="shared" si="22"/>
        <v>0</v>
      </c>
      <c r="G54" s="3"/>
      <c r="H54" s="8">
        <v>3150.41</v>
      </c>
      <c r="I54" s="3"/>
      <c r="J54" s="7">
        <f t="shared" si="23"/>
        <v>0.19277028077161715</v>
      </c>
      <c r="K54" s="3"/>
      <c r="L54" s="8">
        <f t="shared" si="24"/>
        <v>-3150.41</v>
      </c>
      <c r="M54" s="3"/>
      <c r="N54" s="7">
        <f t="shared" si="25"/>
        <v>-1</v>
      </c>
      <c r="O54" s="11"/>
      <c r="P54" s="8"/>
      <c r="Q54" s="3"/>
      <c r="R54" s="7">
        <f t="shared" si="26"/>
        <v>0</v>
      </c>
      <c r="S54" s="3"/>
      <c r="T54" s="8">
        <v>3150.41</v>
      </c>
      <c r="U54" s="3"/>
      <c r="V54" s="7">
        <f t="shared" si="27"/>
        <v>0.19277028077161715</v>
      </c>
      <c r="W54" s="3"/>
      <c r="X54" s="8">
        <f t="shared" si="28"/>
        <v>-3150.41</v>
      </c>
      <c r="Y54" s="3"/>
      <c r="Z54" s="7">
        <f t="shared" si="29"/>
        <v>-1</v>
      </c>
    </row>
    <row r="55" spans="1:26" s="24" customFormat="1" hidden="1" outlineLevel="2" x14ac:dyDescent="0.25">
      <c r="A55" s="29"/>
      <c r="B55" s="11" t="str">
        <f>CONCATENATE("          ", "6007", " - ", "STUDENT HOURLY")</f>
        <v xml:space="preserve">          6007 - STUDENT HOURLY</v>
      </c>
      <c r="C55" s="11"/>
      <c r="D55" s="8"/>
      <c r="E55" s="3"/>
      <c r="F55" s="7">
        <f t="shared" si="22"/>
        <v>0</v>
      </c>
      <c r="G55" s="3"/>
      <c r="H55" s="8">
        <v>4355.38</v>
      </c>
      <c r="I55" s="3"/>
      <c r="J55" s="7">
        <f t="shared" si="23"/>
        <v>0.26650113015991123</v>
      </c>
      <c r="K55" s="3"/>
      <c r="L55" s="8">
        <f t="shared" si="24"/>
        <v>-4355.38</v>
      </c>
      <c r="M55" s="3"/>
      <c r="N55" s="7">
        <f t="shared" si="25"/>
        <v>-1</v>
      </c>
      <c r="O55" s="11"/>
      <c r="P55" s="8"/>
      <c r="Q55" s="3"/>
      <c r="R55" s="7">
        <f t="shared" si="26"/>
        <v>0</v>
      </c>
      <c r="S55" s="3"/>
      <c r="T55" s="8">
        <v>4355.38</v>
      </c>
      <c r="U55" s="3"/>
      <c r="V55" s="7">
        <f t="shared" si="27"/>
        <v>0.26650113015991123</v>
      </c>
      <c r="W55" s="3"/>
      <c r="X55" s="8">
        <f t="shared" si="28"/>
        <v>-4355.38</v>
      </c>
      <c r="Y55" s="3"/>
      <c r="Z55" s="7">
        <f t="shared" si="29"/>
        <v>-1</v>
      </c>
    </row>
    <row r="56" spans="1:26" s="27" customFormat="1" outlineLevel="1" collapsed="1" x14ac:dyDescent="0.25">
      <c r="A56" s="28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SUM(OSRRefD22_2x_0)</f>
        <v>0</v>
      </c>
      <c r="E56" s="1"/>
      <c r="F56" s="5">
        <f t="shared" ref="F56:F59" si="30">IF(D$12=0,0,D56/D$12)</f>
        <v>0</v>
      </c>
      <c r="G56" s="1"/>
      <c r="H56" s="1">
        <f>SUM(OSRRefH22_2x_0)</f>
        <v>2155.11</v>
      </c>
      <c r="I56" s="1"/>
      <c r="J56" s="5">
        <f t="shared" ref="J56:J59" si="31">IF(H$12=0,0,H56/H$12)</f>
        <v>0.1318689185832066</v>
      </c>
      <c r="K56" s="1"/>
      <c r="L56" s="1">
        <f t="shared" ref="L56:L59" si="32">+D56-H56</f>
        <v>-2155.11</v>
      </c>
      <c r="M56" s="1"/>
      <c r="N56" s="5">
        <f t="shared" ref="N56:N59" si="33">IF(H56=0,0,L56/H56)</f>
        <v>-1</v>
      </c>
      <c r="O56" s="14"/>
      <c r="P56" s="1">
        <f>SUM(OSRRefP22_2x_0)</f>
        <v>0</v>
      </c>
      <c r="Q56" s="1"/>
      <c r="R56" s="5">
        <f t="shared" ref="R56:R59" si="34">IF(P$12=0,0,P56/P$12)</f>
        <v>0</v>
      </c>
      <c r="S56" s="1"/>
      <c r="T56" s="1">
        <f>SUM(OSRRefT22_2x_0)</f>
        <v>2155.11</v>
      </c>
      <c r="U56" s="1"/>
      <c r="V56" s="5">
        <f t="shared" ref="V56:V59" si="35">IF(T$12=0,0,T56/T$12)</f>
        <v>0.1318689185832066</v>
      </c>
      <c r="W56" s="1"/>
      <c r="X56" s="1">
        <f t="shared" ref="X56:X59" si="36">+P56-T56</f>
        <v>-2155.11</v>
      </c>
      <c r="Y56" s="1"/>
      <c r="Z56" s="5">
        <f t="shared" ref="Z56:Z59" si="37">IF(T56=0,0,X56/T56)</f>
        <v>-1</v>
      </c>
    </row>
    <row r="57" spans="1:26" s="24" customFormat="1" hidden="1" outlineLevel="2" x14ac:dyDescent="0.25">
      <c r="A57" s="29"/>
      <c r="B57" s="11" t="str">
        <f>CONCATENATE("          ", "6382", " - ", "DISCOUNTS/MARK DOWNS")</f>
        <v xml:space="preserve">          6382 - DISCOUNTS/MARK DOWNS</v>
      </c>
      <c r="C57" s="11"/>
      <c r="D57" s="8"/>
      <c r="E57" s="3"/>
      <c r="F57" s="7">
        <f t="shared" si="30"/>
        <v>0</v>
      </c>
      <c r="G57" s="3"/>
      <c r="H57" s="8">
        <v>2155.11</v>
      </c>
      <c r="I57" s="3"/>
      <c r="J57" s="7">
        <f t="shared" si="31"/>
        <v>0.1318689185832066</v>
      </c>
      <c r="K57" s="3"/>
      <c r="L57" s="8">
        <f t="shared" si="32"/>
        <v>-2155.11</v>
      </c>
      <c r="M57" s="3"/>
      <c r="N57" s="7">
        <f t="shared" si="33"/>
        <v>-1</v>
      </c>
      <c r="O57" s="11"/>
      <c r="P57" s="8"/>
      <c r="Q57" s="3"/>
      <c r="R57" s="7">
        <f t="shared" si="34"/>
        <v>0</v>
      </c>
      <c r="S57" s="3"/>
      <c r="T57" s="8">
        <v>2155.11</v>
      </c>
      <c r="U57" s="3"/>
      <c r="V57" s="7">
        <f t="shared" si="35"/>
        <v>0.1318689185832066</v>
      </c>
      <c r="W57" s="3"/>
      <c r="X57" s="8">
        <f t="shared" si="36"/>
        <v>-2155.11</v>
      </c>
      <c r="Y57" s="3"/>
      <c r="Z57" s="7">
        <f t="shared" si="37"/>
        <v>-1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SUM(OSRRefD22_3x_0)</f>
        <v>0</v>
      </c>
      <c r="E58" s="1"/>
      <c r="F58" s="5">
        <f t="shared" si="30"/>
        <v>0</v>
      </c>
      <c r="G58" s="1"/>
      <c r="H58" s="1">
        <f>SUM(OSRRefH22_3x_0)</f>
        <v>156.46</v>
      </c>
      <c r="I58" s="1"/>
      <c r="J58" s="5">
        <f t="shared" si="31"/>
        <v>9.573623156835848E-3</v>
      </c>
      <c r="K58" s="1"/>
      <c r="L58" s="1">
        <f t="shared" si="32"/>
        <v>-156.46</v>
      </c>
      <c r="M58" s="1"/>
      <c r="N58" s="5">
        <f t="shared" si="33"/>
        <v>-1</v>
      </c>
      <c r="O58" s="14"/>
      <c r="P58" s="1">
        <f>SUM(OSRRefP22_3x_0)</f>
        <v>0</v>
      </c>
      <c r="Q58" s="1"/>
      <c r="R58" s="5">
        <f t="shared" si="34"/>
        <v>0</v>
      </c>
      <c r="S58" s="1"/>
      <c r="T58" s="1">
        <f>SUM(OSRRefT22_3x_0)</f>
        <v>156.46</v>
      </c>
      <c r="U58" s="1"/>
      <c r="V58" s="5">
        <f t="shared" si="35"/>
        <v>9.573623156835848E-3</v>
      </c>
      <c r="W58" s="1"/>
      <c r="X58" s="1">
        <f t="shared" si="36"/>
        <v>-156.46</v>
      </c>
      <c r="Y58" s="1"/>
      <c r="Z58" s="5">
        <f t="shared" si="37"/>
        <v>-1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8"/>
      <c r="E59" s="3"/>
      <c r="F59" s="7">
        <f t="shared" si="30"/>
        <v>0</v>
      </c>
      <c r="G59" s="3"/>
      <c r="H59" s="8">
        <v>156.46</v>
      </c>
      <c r="I59" s="3"/>
      <c r="J59" s="7">
        <f t="shared" si="31"/>
        <v>9.573623156835848E-3</v>
      </c>
      <c r="K59" s="3"/>
      <c r="L59" s="8">
        <f t="shared" si="32"/>
        <v>-156.46</v>
      </c>
      <c r="M59" s="3"/>
      <c r="N59" s="7">
        <f t="shared" si="33"/>
        <v>-1</v>
      </c>
      <c r="O59" s="11"/>
      <c r="P59" s="8"/>
      <c r="Q59" s="3"/>
      <c r="R59" s="7">
        <f t="shared" si="34"/>
        <v>0</v>
      </c>
      <c r="S59" s="3"/>
      <c r="T59" s="8">
        <v>156.46</v>
      </c>
      <c r="U59" s="3"/>
      <c r="V59" s="7">
        <f t="shared" si="35"/>
        <v>9.573623156835848E-3</v>
      </c>
      <c r="W59" s="3"/>
      <c r="X59" s="8">
        <f t="shared" si="36"/>
        <v>-156.46</v>
      </c>
      <c r="Y59" s="3"/>
      <c r="Z59" s="7">
        <f t="shared" si="37"/>
        <v>-1</v>
      </c>
    </row>
    <row r="60" spans="1:26" s="61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25">
      <c r="A63" s="10"/>
      <c r="B63" s="26" t="s">
        <v>3</v>
      </c>
      <c r="C63" s="26"/>
      <c r="D63" s="19">
        <f>+D42-D44+D61</f>
        <v>0</v>
      </c>
      <c r="E63" s="13"/>
      <c r="F63" s="20">
        <f>IF(D$12=0,0,D63/D$12)</f>
        <v>0</v>
      </c>
      <c r="G63" s="13"/>
      <c r="H63" s="19">
        <f>+H42-H44+H61</f>
        <v>-3981.5199999999932</v>
      </c>
      <c r="I63" s="13"/>
      <c r="J63" s="20">
        <f>IF(H$12=0,0,H63/H$12)</f>
        <v>-0.24362502921772336</v>
      </c>
      <c r="K63" s="16"/>
      <c r="L63" s="19">
        <f>+D63-H63</f>
        <v>3981.5199999999932</v>
      </c>
      <c r="M63" s="16"/>
      <c r="N63" s="20">
        <f>IF(H63=0,0,L63/H63)</f>
        <v>-1</v>
      </c>
      <c r="O63" s="25"/>
      <c r="P63" s="19">
        <f>+P42-P44+P61</f>
        <v>0</v>
      </c>
      <c r="Q63" s="13"/>
      <c r="R63" s="20">
        <f>IF(P$12=0,0,P63/P$12)</f>
        <v>0</v>
      </c>
      <c r="S63" s="13"/>
      <c r="T63" s="19">
        <f>+T42-T44+T61</f>
        <v>-3981.5199999999932</v>
      </c>
      <c r="U63" s="13"/>
      <c r="V63" s="20">
        <f>IF(T$12=0,0,T63/T$12)</f>
        <v>-0.24362502921772336</v>
      </c>
      <c r="W63" s="16"/>
      <c r="X63" s="19">
        <f>+P63-T63</f>
        <v>3981.5199999999932</v>
      </c>
      <c r="Y63" s="16"/>
      <c r="Z63" s="20">
        <f>IF(T63=0,0,X63/T63)</f>
        <v>-1</v>
      </c>
    </row>
    <row r="64" spans="1:26" x14ac:dyDescent="0.25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3398.15</v>
      </c>
      <c r="I65" s="4"/>
      <c r="J65" s="12">
        <f>IF(H$12=0,0,H65/H$12)</f>
        <v>0.20792923130769356</v>
      </c>
      <c r="K65" s="4"/>
      <c r="L65" s="4">
        <f>+D65-H65</f>
        <v>-3398.15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3398.15</v>
      </c>
      <c r="U65" s="4"/>
      <c r="V65" s="12">
        <f>IF(T$12=0,0,T65/T$12)</f>
        <v>0.20792923130769356</v>
      </c>
      <c r="W65" s="4"/>
      <c r="X65" s="4">
        <f>+P65-T65</f>
        <v>-3398.15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.75" thickBot="1" x14ac:dyDescent="0.3">
      <c r="A67" s="10"/>
      <c r="B67" s="26" t="s">
        <v>4</v>
      </c>
      <c r="C67" s="26"/>
      <c r="D67" s="35">
        <f>+D63-D65</f>
        <v>0</v>
      </c>
      <c r="E67" s="13"/>
      <c r="F67" s="30">
        <f>IF(D$12=0,0,D67/D$12)</f>
        <v>0</v>
      </c>
      <c r="G67" s="13"/>
      <c r="H67" s="35">
        <f>+H63-H65</f>
        <v>-7379.6699999999928</v>
      </c>
      <c r="I67" s="13"/>
      <c r="J67" s="30">
        <f>IF(H$12=0,0,H67/H$12)</f>
        <v>-0.45155426052541692</v>
      </c>
      <c r="K67" s="16"/>
      <c r="L67" s="35">
        <f>D67-H67</f>
        <v>7379.6699999999928</v>
      </c>
      <c r="M67" s="16"/>
      <c r="N67" s="30">
        <f>IF(H67=0,0,L67/H67)</f>
        <v>-1</v>
      </c>
      <c r="O67" s="25"/>
      <c r="P67" s="35">
        <f>+P63-P65</f>
        <v>0</v>
      </c>
      <c r="Q67" s="13"/>
      <c r="R67" s="30">
        <f>IF(P$12=0,0,P67/P$12)</f>
        <v>0</v>
      </c>
      <c r="S67" s="13"/>
      <c r="T67" s="35">
        <f>+T63-T65</f>
        <v>-7379.6699999999928</v>
      </c>
      <c r="U67" s="13"/>
      <c r="V67" s="30">
        <f>IF(T$12=0,0,T67/T$12)</f>
        <v>-0.45155426052541692</v>
      </c>
      <c r="W67" s="16"/>
      <c r="X67" s="35">
        <f>P67-T67</f>
        <v>7379.6699999999928</v>
      </c>
      <c r="Y67" s="16"/>
      <c r="Z67" s="30">
        <f>IF(T67=0,0,X67/T67)</f>
        <v>-1</v>
      </c>
    </row>
    <row r="68" spans="1:26" ht="15.75" thickTop="1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.75" thickBot="1" x14ac:dyDescent="0.3">
      <c r="A70" s="10"/>
      <c r="B70" s="26" t="s">
        <v>5</v>
      </c>
      <c r="C70" s="26"/>
      <c r="D70" s="31">
        <f>SUM(D67:D69)</f>
        <v>0</v>
      </c>
      <c r="E70" s="13"/>
      <c r="F70" s="32">
        <f>IF(D$12=0,0,D70/D$12)</f>
        <v>0</v>
      </c>
      <c r="G70" s="13"/>
      <c r="H70" s="31">
        <f>SUM(H67:H69)</f>
        <v>-7379.6699999999928</v>
      </c>
      <c r="I70" s="13"/>
      <c r="J70" s="32">
        <f>IF(H$12=0,0,H70/H$12)</f>
        <v>-0.45155426052541692</v>
      </c>
      <c r="K70" s="16"/>
      <c r="L70" s="31">
        <f>+D70-H70</f>
        <v>7379.6699999999928</v>
      </c>
      <c r="M70" s="16"/>
      <c r="N70" s="32">
        <f>IF(H70=0,0,L70/H70)</f>
        <v>-1</v>
      </c>
      <c r="O70" s="25"/>
      <c r="P70" s="31">
        <f>SUM(P67:P69)</f>
        <v>0</v>
      </c>
      <c r="Q70" s="13"/>
      <c r="R70" s="32">
        <f>IF(P$12=0,0,P70/P$12)</f>
        <v>0</v>
      </c>
      <c r="S70" s="13"/>
      <c r="T70" s="31">
        <f>SUM(T67:T69)</f>
        <v>-7379.6699999999928</v>
      </c>
      <c r="U70" s="13"/>
      <c r="V70" s="32">
        <f>IF(T$12=0,0,T70/T$12)</f>
        <v>-0.45155426052541692</v>
      </c>
      <c r="W70" s="16"/>
      <c r="X70" s="31">
        <f>+P70-T70</f>
        <v>7379.6699999999928</v>
      </c>
      <c r="Y70" s="16"/>
      <c r="Z70" s="32">
        <f>IF(T70=0,0,X70/T70)</f>
        <v>-1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9">
        <v>44109.414248182868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48038.560000000005</v>
      </c>
      <c r="E12" s="4"/>
      <c r="F12" s="12"/>
      <c r="G12" s="4"/>
      <c r="H12" s="4">
        <f>SUM(OSRRefH13x_0)</f>
        <v>92133.200000000012</v>
      </c>
      <c r="I12" s="4"/>
      <c r="J12" s="12"/>
      <c r="K12" s="4"/>
      <c r="L12" s="4">
        <f t="shared" ref="L12:L33" si="0">+D12-H12</f>
        <v>-44094.640000000007</v>
      </c>
      <c r="M12" s="4"/>
      <c r="N12" s="12">
        <f t="shared" ref="N12:N33" si="1">IF(H12=0,0,L12/H12)</f>
        <v>-0.47859664051612233</v>
      </c>
      <c r="O12" s="10"/>
      <c r="P12" s="4">
        <f>SUM(OSRRefP13x_0)</f>
        <v>48038.560000000005</v>
      </c>
      <c r="Q12" s="4"/>
      <c r="R12" s="12"/>
      <c r="S12" s="4"/>
      <c r="T12" s="4">
        <f>SUM(OSRRefT13x_0)</f>
        <v>92133.200000000012</v>
      </c>
      <c r="U12" s="4"/>
      <c r="V12" s="12"/>
      <c r="W12" s="4"/>
      <c r="X12" s="4">
        <f t="shared" ref="X12:X33" si="2">+P12-T12</f>
        <v>-44094.640000000007</v>
      </c>
      <c r="Y12" s="4"/>
      <c r="Z12" s="12">
        <f t="shared" ref="Z12:Z33" si="3">IF(T12=0,0,X12/T12)</f>
        <v>-0.47859664051612233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-770.07</f>
        <v>-770.07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-770.07</v>
      </c>
      <c r="M13" s="3"/>
      <c r="N13" s="22">
        <f t="shared" si="1"/>
        <v>0</v>
      </c>
      <c r="O13" s="11"/>
      <c r="P13" s="3">
        <f>-770.07</f>
        <v>-770.07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-770.07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--11947.85</f>
        <v>11947.85</v>
      </c>
      <c r="E14" s="3"/>
      <c r="F14" s="22"/>
      <c r="G14" s="3"/>
      <c r="H14" s="3">
        <f>--36312.25</f>
        <v>36312.25</v>
      </c>
      <c r="I14" s="3"/>
      <c r="J14" s="22"/>
      <c r="K14" s="3"/>
      <c r="L14" s="3">
        <f t="shared" si="0"/>
        <v>-24364.400000000001</v>
      </c>
      <c r="M14" s="3"/>
      <c r="N14" s="22">
        <f t="shared" si="1"/>
        <v>-0.67096916329888678</v>
      </c>
      <c r="O14" s="11"/>
      <c r="P14" s="3">
        <f>--11947.85</f>
        <v>11947.85</v>
      </c>
      <c r="Q14" s="3"/>
      <c r="R14" s="22"/>
      <c r="S14" s="3"/>
      <c r="T14" s="3">
        <f>--36312.25</f>
        <v>36312.25</v>
      </c>
      <c r="U14" s="3"/>
      <c r="V14" s="22"/>
      <c r="W14" s="3"/>
      <c r="X14" s="3">
        <f t="shared" si="2"/>
        <v>-24364.400000000001</v>
      </c>
      <c r="Y14" s="3"/>
      <c r="Z14" s="22">
        <f t="shared" si="3"/>
        <v>-0.67096916329888678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--13029.34</f>
        <v>13029.34</v>
      </c>
      <c r="E15" s="3"/>
      <c r="F15" s="22"/>
      <c r="G15" s="3"/>
      <c r="H15" s="3">
        <f>--21794.81</f>
        <v>21794.81</v>
      </c>
      <c r="I15" s="3"/>
      <c r="J15" s="22"/>
      <c r="K15" s="3"/>
      <c r="L15" s="3">
        <f t="shared" si="0"/>
        <v>-8765.4700000000012</v>
      </c>
      <c r="M15" s="3"/>
      <c r="N15" s="22">
        <f t="shared" si="1"/>
        <v>-0.40218152853821626</v>
      </c>
      <c r="O15" s="11"/>
      <c r="P15" s="3">
        <f>--13029.34</f>
        <v>13029.34</v>
      </c>
      <c r="Q15" s="3"/>
      <c r="R15" s="22"/>
      <c r="S15" s="3"/>
      <c r="T15" s="3">
        <f>--21794.81</f>
        <v>21794.81</v>
      </c>
      <c r="U15" s="3"/>
      <c r="V15" s="22"/>
      <c r="W15" s="3"/>
      <c r="X15" s="3">
        <f t="shared" si="2"/>
        <v>-8765.4700000000012</v>
      </c>
      <c r="Y15" s="3"/>
      <c r="Z15" s="22">
        <f t="shared" si="3"/>
        <v>-0.40218152853821626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3">
        <f>--16.99</f>
        <v>16.989999999999998</v>
      </c>
      <c r="E20" s="3"/>
      <c r="F20" s="22"/>
      <c r="G20" s="3"/>
      <c r="H20" s="3">
        <f>--179.29</f>
        <v>179.29</v>
      </c>
      <c r="I20" s="3"/>
      <c r="J20" s="22"/>
      <c r="K20" s="3"/>
      <c r="L20" s="3">
        <f t="shared" si="0"/>
        <v>-162.29999999999998</v>
      </c>
      <c r="M20" s="3"/>
      <c r="N20" s="22">
        <f t="shared" si="1"/>
        <v>-0.90523732500418308</v>
      </c>
      <c r="O20" s="11"/>
      <c r="P20" s="3">
        <f>--16.99</f>
        <v>16.989999999999998</v>
      </c>
      <c r="Q20" s="3"/>
      <c r="R20" s="22"/>
      <c r="S20" s="3"/>
      <c r="T20" s="3">
        <f>--179.29</f>
        <v>179.29</v>
      </c>
      <c r="U20" s="3"/>
      <c r="V20" s="22"/>
      <c r="W20" s="3"/>
      <c r="X20" s="3">
        <f t="shared" si="2"/>
        <v>-162.29999999999998</v>
      </c>
      <c r="Y20" s="3"/>
      <c r="Z20" s="22">
        <f t="shared" si="3"/>
        <v>-0.90523732500418308</v>
      </c>
    </row>
    <row r="21" spans="1:26" s="24" customFormat="1" hidden="1" outlineLevel="1" x14ac:dyDescent="0.25">
      <c r="A21" s="50"/>
      <c r="B21" s="11" t="str">
        <f>CONCATENATE("          ", "4100", " - ", "NON-TAXABLE SALES")</f>
        <v xml:space="preserve">          4100 - NON-TAXABLE SALES</v>
      </c>
      <c r="C21" s="11"/>
      <c r="D21" s="3">
        <f>--3038.3</f>
        <v>3038.3</v>
      </c>
      <c r="E21" s="3"/>
      <c r="F21" s="22"/>
      <c r="G21" s="3"/>
      <c r="H21" s="3">
        <f>--4262.2</f>
        <v>4262.2</v>
      </c>
      <c r="I21" s="3"/>
      <c r="J21" s="22"/>
      <c r="K21" s="3"/>
      <c r="L21" s="3">
        <f t="shared" si="0"/>
        <v>-1223.8999999999996</v>
      </c>
      <c r="M21" s="3"/>
      <c r="N21" s="22">
        <f t="shared" si="1"/>
        <v>-0.28715217493313305</v>
      </c>
      <c r="O21" s="11"/>
      <c r="P21" s="3">
        <f>--3038.3</f>
        <v>3038.3</v>
      </c>
      <c r="Q21" s="3"/>
      <c r="R21" s="22"/>
      <c r="S21" s="3"/>
      <c r="T21" s="3">
        <f>--4262.2</f>
        <v>4262.2</v>
      </c>
      <c r="U21" s="3"/>
      <c r="V21" s="22"/>
      <c r="W21" s="3"/>
      <c r="X21" s="3">
        <f t="shared" si="2"/>
        <v>-1223.8999999999996</v>
      </c>
      <c r="Y21" s="3"/>
      <c r="Z21" s="22">
        <f t="shared" si="3"/>
        <v>-0.28715217493313305</v>
      </c>
    </row>
    <row r="22" spans="1:26" s="24" customFormat="1" hidden="1" outlineLevel="1" x14ac:dyDescent="0.25">
      <c r="A22" s="50"/>
      <c r="B22" s="11" t="str">
        <f>CONCATENATE("          ", "4101", " - ", "NON-TAXABLE SALES-NEW TEXT")</f>
        <v xml:space="preserve">          4101 - NON-TAXABLE SALES-NEW TEXT</v>
      </c>
      <c r="C22" s="11"/>
      <c r="D22" s="3">
        <f>--10341.86</f>
        <v>10341.86</v>
      </c>
      <c r="E22" s="3"/>
      <c r="F22" s="22"/>
      <c r="G22" s="3"/>
      <c r="H22" s="3">
        <f>--7736.58</f>
        <v>7736.58</v>
      </c>
      <c r="I22" s="3"/>
      <c r="J22" s="22"/>
      <c r="K22" s="3"/>
      <c r="L22" s="3">
        <f t="shared" si="0"/>
        <v>2605.2800000000007</v>
      </c>
      <c r="M22" s="3"/>
      <c r="N22" s="22">
        <f t="shared" si="1"/>
        <v>0.33674827895530074</v>
      </c>
      <c r="O22" s="11"/>
      <c r="P22" s="3">
        <f>--10341.86</f>
        <v>10341.86</v>
      </c>
      <c r="Q22" s="3"/>
      <c r="R22" s="22"/>
      <c r="S22" s="3"/>
      <c r="T22" s="3">
        <f>--7736.58</f>
        <v>7736.58</v>
      </c>
      <c r="U22" s="3"/>
      <c r="V22" s="22"/>
      <c r="W22" s="3"/>
      <c r="X22" s="3">
        <f t="shared" si="2"/>
        <v>2605.2800000000007</v>
      </c>
      <c r="Y22" s="3"/>
      <c r="Z22" s="22">
        <f t="shared" si="3"/>
        <v>0.33674827895530074</v>
      </c>
    </row>
    <row r="23" spans="1:26" s="24" customFormat="1" hidden="1" outlineLevel="1" x14ac:dyDescent="0.25">
      <c r="A23" s="50"/>
      <c r="B23" s="11" t="str">
        <f>CONCATENATE("          ", "4102", " - ", "NON-TAXABLE SALES-USED TEXT")</f>
        <v xml:space="preserve">          4102 - NON-TAXABLE SALES-USED TEXT</v>
      </c>
      <c r="C23" s="11"/>
      <c r="D23" s="3">
        <f>--4190.44</f>
        <v>4190.4399999999996</v>
      </c>
      <c r="E23" s="3"/>
      <c r="F23" s="22"/>
      <c r="G23" s="3"/>
      <c r="H23" s="3">
        <f>--5359.24</f>
        <v>5359.24</v>
      </c>
      <c r="I23" s="3"/>
      <c r="J23" s="22"/>
      <c r="K23" s="3"/>
      <c r="L23" s="3">
        <f t="shared" si="0"/>
        <v>-1168.8000000000002</v>
      </c>
      <c r="M23" s="3"/>
      <c r="N23" s="22">
        <f t="shared" si="1"/>
        <v>-0.2180906247900822</v>
      </c>
      <c r="O23" s="11"/>
      <c r="P23" s="3">
        <f>--4190.44</f>
        <v>4190.4399999999996</v>
      </c>
      <c r="Q23" s="3"/>
      <c r="R23" s="22"/>
      <c r="S23" s="3"/>
      <c r="T23" s="3">
        <f>--5359.24</f>
        <v>5359.24</v>
      </c>
      <c r="U23" s="3"/>
      <c r="V23" s="22"/>
      <c r="W23" s="3"/>
      <c r="X23" s="3">
        <f t="shared" si="2"/>
        <v>-1168.8000000000002</v>
      </c>
      <c r="Y23" s="3"/>
      <c r="Z23" s="22">
        <f t="shared" si="3"/>
        <v>-0.2180906247900822</v>
      </c>
    </row>
    <row r="24" spans="1:26" s="24" customFormat="1" hidden="1" outlineLevel="1" x14ac:dyDescent="0.25">
      <c r="A24" s="50"/>
      <c r="B24" s="11" t="str">
        <f>CONCATENATE("          ", "4104", " - ", "NON-TAXABLE SALES-DIGITAL TEXT")</f>
        <v xml:space="preserve">          4104 - NON-TAXABLE SALES-DIGITAL TEXT</v>
      </c>
      <c r="C24" s="11"/>
      <c r="D24" s="3">
        <f>--7485.52</f>
        <v>7485.52</v>
      </c>
      <c r="E24" s="3"/>
      <c r="F24" s="22"/>
      <c r="G24" s="3"/>
      <c r="H24" s="3">
        <f>--13424.17</f>
        <v>13424.17</v>
      </c>
      <c r="I24" s="3"/>
      <c r="J24" s="22"/>
      <c r="K24" s="3"/>
      <c r="L24" s="3">
        <f t="shared" si="0"/>
        <v>-5938.65</v>
      </c>
      <c r="M24" s="3"/>
      <c r="N24" s="22">
        <f t="shared" si="1"/>
        <v>-0.44238489232481409</v>
      </c>
      <c r="O24" s="11"/>
      <c r="P24" s="3">
        <f>--7485.52</f>
        <v>7485.52</v>
      </c>
      <c r="Q24" s="3"/>
      <c r="R24" s="22"/>
      <c r="S24" s="3"/>
      <c r="T24" s="3">
        <f>--13424.17</f>
        <v>13424.17</v>
      </c>
      <c r="U24" s="3"/>
      <c r="V24" s="22"/>
      <c r="W24" s="3"/>
      <c r="X24" s="3">
        <f t="shared" si="2"/>
        <v>-5938.65</v>
      </c>
      <c r="Y24" s="3"/>
      <c r="Z24" s="22">
        <f t="shared" si="3"/>
        <v>-0.44238489232481409</v>
      </c>
    </row>
    <row r="25" spans="1:26" s="24" customFormat="1" hidden="1" outlineLevel="1" x14ac:dyDescent="0.25">
      <c r="A25" s="50"/>
      <c r="B25" s="11" t="str">
        <f>CONCATENATE("          ", "4111", " - ", "NON-TAXABLE SALES-NO VALUE TEX")</f>
        <v xml:space="preserve">          4111 - NON-TAXABLE SALES-NO VALUE TEX</v>
      </c>
      <c r="C25" s="11"/>
      <c r="D25" s="3">
        <f t="shared" ref="D25:D26" si="6">0</f>
        <v>0</v>
      </c>
      <c r="E25" s="3"/>
      <c r="F25" s="22"/>
      <c r="G25" s="3"/>
      <c r="H25" s="3">
        <f>--2680.95</f>
        <v>2680.95</v>
      </c>
      <c r="I25" s="3"/>
      <c r="J25" s="22"/>
      <c r="K25" s="3"/>
      <c r="L25" s="3">
        <f t="shared" si="0"/>
        <v>-2680.95</v>
      </c>
      <c r="M25" s="3"/>
      <c r="N25" s="22">
        <f t="shared" si="1"/>
        <v>-1</v>
      </c>
      <c r="O25" s="11"/>
      <c r="P25" s="3">
        <f t="shared" ref="P25:P26" si="7">0</f>
        <v>0</v>
      </c>
      <c r="Q25" s="3"/>
      <c r="R25" s="22"/>
      <c r="S25" s="3"/>
      <c r="T25" s="3">
        <f>--2680.95</f>
        <v>2680.95</v>
      </c>
      <c r="U25" s="3"/>
      <c r="V25" s="22"/>
      <c r="W25" s="3"/>
      <c r="X25" s="3">
        <f t="shared" si="2"/>
        <v>-2680.95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"4113", " - ", "NON-TAXABLE SALES-TRADE BOOKS")</f>
        <v xml:space="preserve">          4113 - NON-TAXABLE SALES-TRADE BOOKS</v>
      </c>
      <c r="C26" s="11"/>
      <c r="D26" s="3">
        <f t="shared" si="6"/>
        <v>0</v>
      </c>
      <c r="E26" s="3"/>
      <c r="F26" s="22"/>
      <c r="G26" s="3"/>
      <c r="H26" s="3">
        <f>--1134</f>
        <v>1134</v>
      </c>
      <c r="I26" s="3"/>
      <c r="J26" s="22"/>
      <c r="K26" s="3"/>
      <c r="L26" s="3">
        <f t="shared" si="0"/>
        <v>-1134</v>
      </c>
      <c r="M26" s="3"/>
      <c r="N26" s="22">
        <f t="shared" si="1"/>
        <v>-1</v>
      </c>
      <c r="O26" s="11"/>
      <c r="P26" s="3">
        <f t="shared" si="7"/>
        <v>0</v>
      </c>
      <c r="Q26" s="3"/>
      <c r="R26" s="22"/>
      <c r="S26" s="3"/>
      <c r="T26" s="3">
        <f>--1134</f>
        <v>1134</v>
      </c>
      <c r="U26" s="3"/>
      <c r="V26" s="22"/>
      <c r="W26" s="3"/>
      <c r="X26" s="3">
        <f t="shared" si="2"/>
        <v>-1134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"4118", " - ", "NON-TAXABLE SALES-STUDY GUIDES")</f>
        <v xml:space="preserve">          4118 - NON-TAXABLE SALES-STUDY GUIDES</v>
      </c>
      <c r="C27" s="11"/>
      <c r="D27" s="3">
        <f>--53.96</f>
        <v>53.96</v>
      </c>
      <c r="E27" s="3"/>
      <c r="F27" s="22"/>
      <c r="G27" s="3"/>
      <c r="H27" s="3">
        <f>--6.95</f>
        <v>6.95</v>
      </c>
      <c r="I27" s="3"/>
      <c r="J27" s="22"/>
      <c r="K27" s="3"/>
      <c r="L27" s="3">
        <f t="shared" si="0"/>
        <v>47.01</v>
      </c>
      <c r="M27" s="3"/>
      <c r="N27" s="22">
        <f t="shared" si="1"/>
        <v>6.7640287769784164</v>
      </c>
      <c r="O27" s="11"/>
      <c r="P27" s="3">
        <f>--53.96</f>
        <v>53.96</v>
      </c>
      <c r="Q27" s="3"/>
      <c r="R27" s="22"/>
      <c r="S27" s="3"/>
      <c r="T27" s="3">
        <f>--6.95</f>
        <v>6.95</v>
      </c>
      <c r="U27" s="3"/>
      <c r="V27" s="22"/>
      <c r="W27" s="3"/>
      <c r="X27" s="3">
        <f t="shared" si="2"/>
        <v>47.01</v>
      </c>
      <c r="Y27" s="3"/>
      <c r="Z27" s="22">
        <f t="shared" si="3"/>
        <v>6.7640287769784164</v>
      </c>
    </row>
    <row r="28" spans="1:26" s="24" customFormat="1" hidden="1" outlineLevel="1" x14ac:dyDescent="0.25">
      <c r="A28" s="50"/>
      <c r="B28" s="11" t="str">
        <f>CONCATENATE("          ", "4201", " - ", "SALES RETURN TAXABLE-NEW TEXT")</f>
        <v xml:space="preserve">          4201 - SALES RETURN TAXABLE-NEW TEXT</v>
      </c>
      <c r="C28" s="11"/>
      <c r="D28" s="3">
        <f>-633.4</f>
        <v>-633.4</v>
      </c>
      <c r="E28" s="3"/>
      <c r="F28" s="22"/>
      <c r="G28" s="3"/>
      <c r="H28" s="3">
        <f>-607.15</f>
        <v>-607.15</v>
      </c>
      <c r="I28" s="3"/>
      <c r="J28" s="22"/>
      <c r="K28" s="3"/>
      <c r="L28" s="3">
        <f t="shared" si="0"/>
        <v>-26.25</v>
      </c>
      <c r="M28" s="3"/>
      <c r="N28" s="22">
        <f t="shared" si="1"/>
        <v>4.3234785473112082E-2</v>
      </c>
      <c r="O28" s="11"/>
      <c r="P28" s="3">
        <f>-633.4</f>
        <v>-633.4</v>
      </c>
      <c r="Q28" s="3"/>
      <c r="R28" s="22"/>
      <c r="S28" s="3"/>
      <c r="T28" s="3">
        <f>-607.15</f>
        <v>-607.15</v>
      </c>
      <c r="U28" s="3"/>
      <c r="V28" s="22"/>
      <c r="W28" s="3"/>
      <c r="X28" s="3">
        <f t="shared" si="2"/>
        <v>-26.25</v>
      </c>
      <c r="Y28" s="3"/>
      <c r="Z28" s="22">
        <f t="shared" si="3"/>
        <v>4.3234785473112082E-2</v>
      </c>
    </row>
    <row r="29" spans="1:26" s="24" customFormat="1" hidden="1" outlineLevel="1" x14ac:dyDescent="0.25">
      <c r="A29" s="50"/>
      <c r="B29" s="11" t="str">
        <f>CONCATENATE("          ", "4202", " - ", "SALES RETURN TAXABLE-USED TEXT")</f>
        <v xml:space="preserve">          4202 - SALES RETURN TAXABLE-USED TEXT</v>
      </c>
      <c r="C29" s="11"/>
      <c r="D29" s="3">
        <f>-178.35</f>
        <v>-178.35</v>
      </c>
      <c r="E29" s="3"/>
      <c r="F29" s="22"/>
      <c r="G29" s="3"/>
      <c r="H29" s="3">
        <f>-721.45</f>
        <v>-721.45</v>
      </c>
      <c r="I29" s="3"/>
      <c r="J29" s="22"/>
      <c r="K29" s="3"/>
      <c r="L29" s="3">
        <f t="shared" si="0"/>
        <v>543.1</v>
      </c>
      <c r="M29" s="3"/>
      <c r="N29" s="22">
        <f t="shared" si="1"/>
        <v>-0.75278952110333353</v>
      </c>
      <c r="O29" s="11"/>
      <c r="P29" s="3">
        <f>-178.35</f>
        <v>-178.35</v>
      </c>
      <c r="Q29" s="3"/>
      <c r="R29" s="22"/>
      <c r="S29" s="3"/>
      <c r="T29" s="3">
        <f>-721.45</f>
        <v>-721.45</v>
      </c>
      <c r="U29" s="3"/>
      <c r="V29" s="22"/>
      <c r="W29" s="3"/>
      <c r="X29" s="3">
        <f t="shared" si="2"/>
        <v>543.1</v>
      </c>
      <c r="Y29" s="3"/>
      <c r="Z29" s="22">
        <f t="shared" si="3"/>
        <v>-0.75278952110333353</v>
      </c>
    </row>
    <row r="30" spans="1:26" s="24" customFormat="1" hidden="1" outlineLevel="1" x14ac:dyDescent="0.25">
      <c r="A30" s="50"/>
      <c r="B30" s="11" t="str">
        <f>CONCATENATE("          ", "4301", " - ", "SALES RETURN NON TAXABLE-NEW T")</f>
        <v xml:space="preserve">          4301 - SALES RETURN NON TAXABLE-NEW T</v>
      </c>
      <c r="C30" s="11"/>
      <c r="D30" s="3">
        <f>0</f>
        <v>0</v>
      </c>
      <c r="E30" s="3"/>
      <c r="F30" s="22"/>
      <c r="G30" s="3"/>
      <c r="H30" s="3">
        <f>-254.59</f>
        <v>-254.59</v>
      </c>
      <c r="I30" s="3"/>
      <c r="J30" s="22"/>
      <c r="K30" s="3"/>
      <c r="L30" s="3">
        <f t="shared" si="0"/>
        <v>254.59</v>
      </c>
      <c r="M30" s="3"/>
      <c r="N30" s="22">
        <f t="shared" si="1"/>
        <v>-1</v>
      </c>
      <c r="O30" s="11"/>
      <c r="P30" s="3">
        <f>0</f>
        <v>0</v>
      </c>
      <c r="Q30" s="3"/>
      <c r="R30" s="22"/>
      <c r="S30" s="3"/>
      <c r="T30" s="3">
        <f>-254.59</f>
        <v>-254.59</v>
      </c>
      <c r="U30" s="3"/>
      <c r="V30" s="22"/>
      <c r="W30" s="3"/>
      <c r="X30" s="3">
        <f t="shared" si="2"/>
        <v>254.59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"4302", " - ", "SALES RETURN NON TAXABLE-TEXT")</f>
        <v xml:space="preserve">          4302 - SALES RETURN NON TAXABLE-TEXT</v>
      </c>
      <c r="C31" s="11"/>
      <c r="D31" s="3">
        <f>-63.67</f>
        <v>-63.67</v>
      </c>
      <c r="E31" s="3"/>
      <c r="F31" s="22"/>
      <c r="G31" s="3"/>
      <c r="H31" s="3">
        <f t="shared" ref="H31:H32" si="8">0</f>
        <v>0</v>
      </c>
      <c r="I31" s="3"/>
      <c r="J31" s="22"/>
      <c r="K31" s="3"/>
      <c r="L31" s="3">
        <f t="shared" si="0"/>
        <v>-63.67</v>
      </c>
      <c r="M31" s="3"/>
      <c r="N31" s="22">
        <f t="shared" si="1"/>
        <v>0</v>
      </c>
      <c r="O31" s="11"/>
      <c r="P31" s="3">
        <f>-63.67</f>
        <v>-63.67</v>
      </c>
      <c r="Q31" s="3"/>
      <c r="R31" s="22"/>
      <c r="S31" s="3"/>
      <c r="T31" s="3">
        <f t="shared" ref="T31:T32" si="9">0</f>
        <v>0</v>
      </c>
      <c r="U31" s="3"/>
      <c r="V31" s="22"/>
      <c r="W31" s="3"/>
      <c r="X31" s="3">
        <f t="shared" si="2"/>
        <v>-63.67</v>
      </c>
      <c r="Y31" s="3"/>
      <c r="Z31" s="22">
        <f t="shared" si="3"/>
        <v>0</v>
      </c>
    </row>
    <row r="32" spans="1:26" s="24" customFormat="1" hidden="1" outlineLevel="1" x14ac:dyDescent="0.25">
      <c r="A32" s="50"/>
      <c r="B32" s="11" t="str">
        <f>CONCATENATE("          ", "4304", " - ", "SALES RETURN NON TAXABLE-DIGIT")</f>
        <v xml:space="preserve">          4304 - SALES RETURN NON TAXABLE-DIGIT</v>
      </c>
      <c r="C32" s="11"/>
      <c r="D32" s="3">
        <f>-452.05</f>
        <v>-452.05</v>
      </c>
      <c r="E32" s="3"/>
      <c r="F32" s="22"/>
      <c r="G32" s="3"/>
      <c r="H32" s="3">
        <f t="shared" si="8"/>
        <v>0</v>
      </c>
      <c r="I32" s="3"/>
      <c r="J32" s="22"/>
      <c r="K32" s="3"/>
      <c r="L32" s="3">
        <f t="shared" si="0"/>
        <v>-452.05</v>
      </c>
      <c r="M32" s="3"/>
      <c r="N32" s="22">
        <f t="shared" si="1"/>
        <v>0</v>
      </c>
      <c r="O32" s="11"/>
      <c r="P32" s="3">
        <f>-452.05</f>
        <v>-452.05</v>
      </c>
      <c r="Q32" s="3"/>
      <c r="R32" s="22"/>
      <c r="S32" s="3"/>
      <c r="T32" s="3">
        <f t="shared" si="9"/>
        <v>0</v>
      </c>
      <c r="U32" s="3"/>
      <c r="V32" s="22"/>
      <c r="W32" s="3"/>
      <c r="X32" s="3">
        <f t="shared" si="2"/>
        <v>-452.05</v>
      </c>
      <c r="Y32" s="3"/>
      <c r="Z32" s="22">
        <f t="shared" si="3"/>
        <v>0</v>
      </c>
    </row>
    <row r="33" spans="1:26" s="24" customFormat="1" hidden="1" outlineLevel="1" x14ac:dyDescent="0.25">
      <c r="A33" s="50"/>
      <c r="B33" s="11" t="str">
        <f>CONCATENATE("          ", "4311", " - ", "SALES RETURN NON TAXABLE-NO VA")</f>
        <v xml:space="preserve">          4311 - SALES RETURN NON TAXABLE-NO VA</v>
      </c>
      <c r="C33" s="11"/>
      <c r="D33" s="3">
        <f>0</f>
        <v>0</v>
      </c>
      <c r="E33" s="3"/>
      <c r="F33" s="22"/>
      <c r="G33" s="3"/>
      <c r="H33" s="3">
        <f>-31.98</f>
        <v>-31.98</v>
      </c>
      <c r="I33" s="3"/>
      <c r="J33" s="22"/>
      <c r="K33" s="3"/>
      <c r="L33" s="3">
        <f t="shared" si="0"/>
        <v>31.98</v>
      </c>
      <c r="M33" s="3"/>
      <c r="N33" s="22">
        <f t="shared" si="1"/>
        <v>-1</v>
      </c>
      <c r="O33" s="11"/>
      <c r="P33" s="3">
        <f>0</f>
        <v>0</v>
      </c>
      <c r="Q33" s="3"/>
      <c r="R33" s="22"/>
      <c r="S33" s="3"/>
      <c r="T33" s="3">
        <f>-31.98</f>
        <v>-31.98</v>
      </c>
      <c r="U33" s="3"/>
      <c r="V33" s="22"/>
      <c r="W33" s="3"/>
      <c r="X33" s="3">
        <f t="shared" si="2"/>
        <v>31.98</v>
      </c>
      <c r="Y33" s="3"/>
      <c r="Z33" s="22">
        <f t="shared" si="3"/>
        <v>-1</v>
      </c>
    </row>
    <row r="34" spans="1:26" x14ac:dyDescent="0.25">
      <c r="A34" s="9"/>
      <c r="B34" s="10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30817.280000000042</v>
      </c>
      <c r="E35" s="4"/>
      <c r="F35" s="12">
        <f t="shared" ref="F35:F47" si="10">IF(D$12=0,0,D35/D$12)</f>
        <v>0.64151131924021121</v>
      </c>
      <c r="G35" s="4"/>
      <c r="H35" s="4">
        <f>SUM(OSRRefH16x_0)</f>
        <v>75991.06</v>
      </c>
      <c r="I35" s="4"/>
      <c r="J35" s="12">
        <f t="shared" ref="J35:J47" si="11">IF(H$12=0,0,H35/H$12)</f>
        <v>0.82479562199076972</v>
      </c>
      <c r="K35" s="4"/>
      <c r="L35" s="4">
        <f t="shared" ref="L35:L47" si="12">+D35-H35</f>
        <v>-45173.779999999955</v>
      </c>
      <c r="M35" s="4"/>
      <c r="N35" s="12">
        <f t="shared" ref="N35:N47" si="13">IF(H35=0,0,L35/H35)</f>
        <v>-0.59446176958184238</v>
      </c>
      <c r="O35" s="10"/>
      <c r="P35" s="4">
        <f>SUM(OSRRefP16x_0)</f>
        <v>30817.280000000042</v>
      </c>
      <c r="Q35" s="4"/>
      <c r="R35" s="12">
        <f t="shared" ref="R35:R47" si="14">IF(P$12=0,0,P35/P$12)</f>
        <v>0.64151131924021121</v>
      </c>
      <c r="S35" s="4"/>
      <c r="T35" s="4">
        <f>SUM(OSRRefT16x_0)</f>
        <v>75991.06</v>
      </c>
      <c r="U35" s="4"/>
      <c r="V35" s="12">
        <f t="shared" ref="V35:V47" si="15">IF(T$12=0,0,T35/T$12)</f>
        <v>0.82479562199076972</v>
      </c>
      <c r="W35" s="4"/>
      <c r="X35" s="4">
        <f t="shared" ref="X35:X47" si="16">+P35-T35</f>
        <v>-45173.779999999955</v>
      </c>
      <c r="Y35" s="4"/>
      <c r="Z35" s="12">
        <f t="shared" ref="Z35:Z47" si="17">IF(T35=0,0,X35/T35)</f>
        <v>-0.59446176958184238</v>
      </c>
    </row>
    <row r="36" spans="1:26" s="24" customFormat="1" hidden="1" outlineLevel="1" x14ac:dyDescent="0.25">
      <c r="A36" s="50"/>
      <c r="B36" s="11" t="str">
        <f>CONCATENATE("          ", "5001", " - ", "PURCHASES @ COST-NEW TEXT")</f>
        <v xml:space="preserve">          5001 - PURCHASES @ COST-NEW TEXT</v>
      </c>
      <c r="C36" s="11"/>
      <c r="D36" s="3">
        <v>153110.63</v>
      </c>
      <c r="E36" s="3"/>
      <c r="F36" s="22">
        <f t="shared" si="10"/>
        <v>3.187244372021143</v>
      </c>
      <c r="G36" s="3"/>
      <c r="H36" s="3">
        <v>343994.56</v>
      </c>
      <c r="I36" s="3"/>
      <c r="J36" s="22">
        <f t="shared" si="11"/>
        <v>3.733665605883655</v>
      </c>
      <c r="K36" s="3"/>
      <c r="L36" s="3">
        <f t="shared" si="12"/>
        <v>-190883.93</v>
      </c>
      <c r="M36" s="3"/>
      <c r="N36" s="22">
        <f t="shared" si="13"/>
        <v>-0.5549039205736277</v>
      </c>
      <c r="O36" s="11"/>
      <c r="P36" s="3">
        <v>153110.63</v>
      </c>
      <c r="Q36" s="3"/>
      <c r="R36" s="22">
        <f t="shared" si="14"/>
        <v>3.187244372021143</v>
      </c>
      <c r="S36" s="3"/>
      <c r="T36" s="3">
        <v>343994.56</v>
      </c>
      <c r="U36" s="3"/>
      <c r="V36" s="22">
        <f t="shared" si="15"/>
        <v>3.733665605883655</v>
      </c>
      <c r="W36" s="3"/>
      <c r="X36" s="3">
        <f t="shared" si="16"/>
        <v>-190883.93</v>
      </c>
      <c r="Y36" s="3"/>
      <c r="Z36" s="22">
        <f t="shared" si="17"/>
        <v>-0.5549039205736277</v>
      </c>
    </row>
    <row r="37" spans="1:26" s="24" customFormat="1" hidden="1" outlineLevel="1" x14ac:dyDescent="0.25">
      <c r="A37" s="50"/>
      <c r="B37" s="11" t="str">
        <f>CONCATENATE("          ", "5002", " - ", "PURCHASES @ COST-USED TEXT")</f>
        <v xml:space="preserve">          5002 - PURCHASES @ COST-USED TEXT</v>
      </c>
      <c r="C37" s="11"/>
      <c r="D37" s="3">
        <v>60324.850000000006</v>
      </c>
      <c r="E37" s="3"/>
      <c r="F37" s="22">
        <f t="shared" si="10"/>
        <v>1.2557589153380118</v>
      </c>
      <c r="G37" s="3"/>
      <c r="H37" s="3">
        <v>110293.25</v>
      </c>
      <c r="I37" s="3"/>
      <c r="J37" s="22">
        <f t="shared" si="11"/>
        <v>1.1971064719341127</v>
      </c>
      <c r="K37" s="3"/>
      <c r="L37" s="3">
        <f t="shared" si="12"/>
        <v>-49968.399999999994</v>
      </c>
      <c r="M37" s="3"/>
      <c r="N37" s="22">
        <f t="shared" si="13"/>
        <v>-0.45305039066307318</v>
      </c>
      <c r="O37" s="11"/>
      <c r="P37" s="3">
        <v>60324.850000000006</v>
      </c>
      <c r="Q37" s="3"/>
      <c r="R37" s="22">
        <f t="shared" si="14"/>
        <v>1.2557589153380118</v>
      </c>
      <c r="S37" s="3"/>
      <c r="T37" s="3">
        <v>110293.25</v>
      </c>
      <c r="U37" s="3"/>
      <c r="V37" s="22">
        <f t="shared" si="15"/>
        <v>1.1971064719341127</v>
      </c>
      <c r="W37" s="3"/>
      <c r="X37" s="3">
        <f t="shared" si="16"/>
        <v>-49968.399999999994</v>
      </c>
      <c r="Y37" s="3"/>
      <c r="Z37" s="22">
        <f t="shared" si="17"/>
        <v>-0.45305039066307318</v>
      </c>
    </row>
    <row r="38" spans="1:26" s="24" customFormat="1" hidden="1" outlineLevel="1" x14ac:dyDescent="0.25">
      <c r="A38" s="50"/>
      <c r="B38" s="11" t="str">
        <f>CONCATENATE("          ", "5003", " - ", "PURCHASES @ COST-RENTAL TEXT")</f>
        <v xml:space="preserve">          5003 - PURCHASES @ COST-RENTAL TEXT</v>
      </c>
      <c r="C38" s="11"/>
      <c r="D38" s="3">
        <v>-11926.64</v>
      </c>
      <c r="E38" s="3"/>
      <c r="F38" s="22">
        <f t="shared" si="10"/>
        <v>-0.24827222131554313</v>
      </c>
      <c r="G38" s="3"/>
      <c r="H38" s="3">
        <v>38295.800000000003</v>
      </c>
      <c r="I38" s="3"/>
      <c r="J38" s="22">
        <f t="shared" si="11"/>
        <v>0.41565689675383033</v>
      </c>
      <c r="K38" s="3"/>
      <c r="L38" s="3">
        <f t="shared" si="12"/>
        <v>-50222.44</v>
      </c>
      <c r="M38" s="3"/>
      <c r="N38" s="22">
        <f t="shared" si="13"/>
        <v>-1.311434674298487</v>
      </c>
      <c r="O38" s="11"/>
      <c r="P38" s="3">
        <v>-11926.64</v>
      </c>
      <c r="Q38" s="3"/>
      <c r="R38" s="22">
        <f t="shared" si="14"/>
        <v>-0.24827222131554313</v>
      </c>
      <c r="S38" s="3"/>
      <c r="T38" s="3">
        <v>38295.800000000003</v>
      </c>
      <c r="U38" s="3"/>
      <c r="V38" s="22">
        <f t="shared" si="15"/>
        <v>0.41565689675383033</v>
      </c>
      <c r="W38" s="3"/>
      <c r="X38" s="3">
        <f t="shared" si="16"/>
        <v>-50222.44</v>
      </c>
      <c r="Y38" s="3"/>
      <c r="Z38" s="22">
        <f t="shared" si="17"/>
        <v>-1.311434674298487</v>
      </c>
    </row>
    <row r="39" spans="1:26" s="24" customFormat="1" hidden="1" outlineLevel="1" x14ac:dyDescent="0.25">
      <c r="A39" s="50"/>
      <c r="B39" s="11" t="str">
        <f>CONCATENATE("          ", "5004", " - ", "PURCHASES @ COST-DIGITAL TEXT")</f>
        <v xml:space="preserve">          5004 - PURCHASES @ COST-DIGITAL TEXT</v>
      </c>
      <c r="C39" s="11"/>
      <c r="D39" s="3">
        <v>4925.4799999999996</v>
      </c>
      <c r="E39" s="3"/>
      <c r="F39" s="22">
        <f t="shared" si="10"/>
        <v>0.10253179945443824</v>
      </c>
      <c r="G39" s="3"/>
      <c r="H39" s="3">
        <v>133958.57</v>
      </c>
      <c r="I39" s="3"/>
      <c r="J39" s="22">
        <f t="shared" si="11"/>
        <v>1.4539663226719575</v>
      </c>
      <c r="K39" s="3"/>
      <c r="L39" s="3">
        <f t="shared" si="12"/>
        <v>-129033.09000000001</v>
      </c>
      <c r="M39" s="3"/>
      <c r="N39" s="22">
        <f t="shared" si="13"/>
        <v>-0.96323131845913257</v>
      </c>
      <c r="O39" s="11"/>
      <c r="P39" s="3">
        <v>4925.4799999999996</v>
      </c>
      <c r="Q39" s="3"/>
      <c r="R39" s="22">
        <f t="shared" si="14"/>
        <v>0.10253179945443824</v>
      </c>
      <c r="S39" s="3"/>
      <c r="T39" s="3">
        <v>133958.57</v>
      </c>
      <c r="U39" s="3"/>
      <c r="V39" s="22">
        <f t="shared" si="15"/>
        <v>1.4539663226719575</v>
      </c>
      <c r="W39" s="3"/>
      <c r="X39" s="3">
        <f t="shared" si="16"/>
        <v>-129033.09000000001</v>
      </c>
      <c r="Y39" s="3"/>
      <c r="Z39" s="22">
        <f t="shared" si="17"/>
        <v>-0.96323131845913257</v>
      </c>
    </row>
    <row r="40" spans="1:26" s="24" customFormat="1" hidden="1" outlineLevel="1" x14ac:dyDescent="0.25">
      <c r="A40" s="50"/>
      <c r="B40" s="11" t="str">
        <f>CONCATENATE("          ", "5011", " - ", "PURCHASES @ COST-NO VALUE TEXT")</f>
        <v xml:space="preserve">          5011 - PURCHASES @ COST-NO VALUE TEXT</v>
      </c>
      <c r="C40" s="11"/>
      <c r="D40" s="3"/>
      <c r="E40" s="3"/>
      <c r="F40" s="22">
        <f t="shared" si="10"/>
        <v>0</v>
      </c>
      <c r="G40" s="3"/>
      <c r="H40" s="3">
        <v>288</v>
      </c>
      <c r="I40" s="3"/>
      <c r="J40" s="22">
        <f t="shared" si="11"/>
        <v>3.1259090099985667E-3</v>
      </c>
      <c r="K40" s="3"/>
      <c r="L40" s="3">
        <f t="shared" si="12"/>
        <v>-288</v>
      </c>
      <c r="M40" s="3"/>
      <c r="N40" s="22">
        <f t="shared" si="13"/>
        <v>-1</v>
      </c>
      <c r="O40" s="11"/>
      <c r="P40" s="3"/>
      <c r="Q40" s="3"/>
      <c r="R40" s="22">
        <f t="shared" si="14"/>
        <v>0</v>
      </c>
      <c r="S40" s="3"/>
      <c r="T40" s="3">
        <v>288</v>
      </c>
      <c r="U40" s="3"/>
      <c r="V40" s="22">
        <f t="shared" si="15"/>
        <v>3.1259090099985667E-3</v>
      </c>
      <c r="W40" s="3"/>
      <c r="X40" s="3">
        <f t="shared" si="16"/>
        <v>-288</v>
      </c>
      <c r="Y40" s="3"/>
      <c r="Z40" s="22">
        <f t="shared" si="17"/>
        <v>-1</v>
      </c>
    </row>
    <row r="41" spans="1:26" s="24" customFormat="1" hidden="1" outlineLevel="1" x14ac:dyDescent="0.25">
      <c r="A41" s="50"/>
      <c r="B41" s="11" t="str">
        <f>CONCATENATE("          ", "5013", " - ", "PURCHASES @ COST-TRADE BOOKS")</f>
        <v xml:space="preserve">          5013 - PURCHASES @ COST-TRADE BOOKS</v>
      </c>
      <c r="C41" s="11"/>
      <c r="D41" s="3">
        <v>108.54</v>
      </c>
      <c r="E41" s="3"/>
      <c r="F41" s="22">
        <f t="shared" si="10"/>
        <v>2.2594349206137734E-3</v>
      </c>
      <c r="G41" s="3"/>
      <c r="H41" s="3">
        <v>204.9</v>
      </c>
      <c r="I41" s="3"/>
      <c r="J41" s="22">
        <f t="shared" si="11"/>
        <v>2.2239540144052303E-3</v>
      </c>
      <c r="K41" s="3"/>
      <c r="L41" s="3">
        <f t="shared" si="12"/>
        <v>-96.36</v>
      </c>
      <c r="M41" s="3"/>
      <c r="N41" s="22">
        <f t="shared" si="13"/>
        <v>-0.47027818448023423</v>
      </c>
      <c r="O41" s="11"/>
      <c r="P41" s="3">
        <v>108.54</v>
      </c>
      <c r="Q41" s="3"/>
      <c r="R41" s="22">
        <f t="shared" si="14"/>
        <v>2.2594349206137734E-3</v>
      </c>
      <c r="S41" s="3"/>
      <c r="T41" s="3">
        <v>204.9</v>
      </c>
      <c r="U41" s="3"/>
      <c r="V41" s="22">
        <f t="shared" si="15"/>
        <v>2.2239540144052303E-3</v>
      </c>
      <c r="W41" s="3"/>
      <c r="X41" s="3">
        <f t="shared" si="16"/>
        <v>-96.36</v>
      </c>
      <c r="Y41" s="3"/>
      <c r="Z41" s="22">
        <f t="shared" si="17"/>
        <v>-0.47027818448023423</v>
      </c>
    </row>
    <row r="42" spans="1:26" s="24" customFormat="1" hidden="1" outlineLevel="1" x14ac:dyDescent="0.25">
      <c r="A42" s="50"/>
      <c r="B42" s="11" t="str">
        <f>CONCATENATE("          ", "5014", " - ", "PURCHASES @ COST-REMAINDERS")</f>
        <v xml:space="preserve">          5014 - PURCHASES @ COST-REMAINDERS</v>
      </c>
      <c r="C42" s="11"/>
      <c r="D42" s="3">
        <v>-12.51</v>
      </c>
      <c r="E42" s="3"/>
      <c r="F42" s="22">
        <f t="shared" si="10"/>
        <v>-2.6041579930788931E-4</v>
      </c>
      <c r="G42" s="3"/>
      <c r="H42" s="3">
        <v>100.48</v>
      </c>
      <c r="I42" s="3"/>
      <c r="J42" s="22">
        <f t="shared" si="11"/>
        <v>1.0905949212661667E-3</v>
      </c>
      <c r="K42" s="3"/>
      <c r="L42" s="3">
        <f t="shared" si="12"/>
        <v>-112.99000000000001</v>
      </c>
      <c r="M42" s="3"/>
      <c r="N42" s="22">
        <f t="shared" si="13"/>
        <v>-1.1245023885350318</v>
      </c>
      <c r="O42" s="11"/>
      <c r="P42" s="3">
        <v>-12.51</v>
      </c>
      <c r="Q42" s="3"/>
      <c r="R42" s="22">
        <f t="shared" si="14"/>
        <v>-2.6041579930788931E-4</v>
      </c>
      <c r="S42" s="3"/>
      <c r="T42" s="3">
        <v>100.48</v>
      </c>
      <c r="U42" s="3"/>
      <c r="V42" s="22">
        <f t="shared" si="15"/>
        <v>1.0905949212661667E-3</v>
      </c>
      <c r="W42" s="3"/>
      <c r="X42" s="3">
        <f t="shared" si="16"/>
        <v>-112.99000000000001</v>
      </c>
      <c r="Y42" s="3"/>
      <c r="Z42" s="22">
        <f t="shared" si="17"/>
        <v>-1.1245023885350318</v>
      </c>
    </row>
    <row r="43" spans="1:26" s="24" customFormat="1" hidden="1" outlineLevel="1" x14ac:dyDescent="0.25">
      <c r="A43" s="50"/>
      <c r="B43" s="11" t="str">
        <f>CONCATENATE("          ", "5018", " - ", "PURCHASES @ COST-STUDY GUIDES")</f>
        <v xml:space="preserve">          5018 - PURCHASES @ COST-STUDY GUIDES</v>
      </c>
      <c r="C43" s="11"/>
      <c r="D43" s="3"/>
      <c r="E43" s="3"/>
      <c r="F43" s="22">
        <f t="shared" si="10"/>
        <v>0</v>
      </c>
      <c r="G43" s="3"/>
      <c r="H43" s="3">
        <v>503.93</v>
      </c>
      <c r="I43" s="3"/>
      <c r="J43" s="22">
        <f t="shared" si="11"/>
        <v>5.4695809979464511E-3</v>
      </c>
      <c r="K43" s="3"/>
      <c r="L43" s="3">
        <f t="shared" si="12"/>
        <v>-503.93</v>
      </c>
      <c r="M43" s="3"/>
      <c r="N43" s="22">
        <f t="shared" si="13"/>
        <v>-1</v>
      </c>
      <c r="O43" s="11"/>
      <c r="P43" s="3"/>
      <c r="Q43" s="3"/>
      <c r="R43" s="22">
        <f t="shared" si="14"/>
        <v>0</v>
      </c>
      <c r="S43" s="3"/>
      <c r="T43" s="3">
        <v>503.93</v>
      </c>
      <c r="U43" s="3"/>
      <c r="V43" s="22">
        <f t="shared" si="15"/>
        <v>5.4695809979464511E-3</v>
      </c>
      <c r="W43" s="3"/>
      <c r="X43" s="3">
        <f t="shared" si="16"/>
        <v>-503.93</v>
      </c>
      <c r="Y43" s="3"/>
      <c r="Z43" s="22">
        <f t="shared" si="17"/>
        <v>-1</v>
      </c>
    </row>
    <row r="44" spans="1:26" s="24" customFormat="1" hidden="1" outlineLevel="1" x14ac:dyDescent="0.25">
      <c r="A44" s="50"/>
      <c r="B44" s="11" t="str">
        <f>CONCATENATE("          ", "5200", " - ", "PURCHASES OFFSET")</f>
        <v xml:space="preserve">          5200 - PURCHASES OFFSET</v>
      </c>
      <c r="C44" s="11"/>
      <c r="D44" s="3">
        <v>-202651.68</v>
      </c>
      <c r="E44" s="3"/>
      <c r="F44" s="22">
        <f t="shared" si="10"/>
        <v>-4.2185211213658356</v>
      </c>
      <c r="G44" s="3"/>
      <c r="H44" s="3">
        <v>-616930</v>
      </c>
      <c r="I44" s="3"/>
      <c r="J44" s="22">
        <f t="shared" si="11"/>
        <v>-6.6960661303417215</v>
      </c>
      <c r="K44" s="3"/>
      <c r="L44" s="3">
        <f t="shared" si="12"/>
        <v>414278.32</v>
      </c>
      <c r="M44" s="3"/>
      <c r="N44" s="22">
        <f t="shared" si="13"/>
        <v>-0.67151592563175722</v>
      </c>
      <c r="O44" s="11"/>
      <c r="P44" s="3">
        <v>-202651.68</v>
      </c>
      <c r="Q44" s="3"/>
      <c r="R44" s="22">
        <f t="shared" si="14"/>
        <v>-4.2185211213658356</v>
      </c>
      <c r="S44" s="3"/>
      <c r="T44" s="3">
        <v>-616930</v>
      </c>
      <c r="U44" s="3"/>
      <c r="V44" s="22">
        <f t="shared" si="15"/>
        <v>-6.6960661303417215</v>
      </c>
      <c r="W44" s="3"/>
      <c r="X44" s="3">
        <f t="shared" si="16"/>
        <v>414278.32</v>
      </c>
      <c r="Y44" s="3"/>
      <c r="Z44" s="22">
        <f t="shared" si="17"/>
        <v>-0.67151592563175722</v>
      </c>
    </row>
    <row r="45" spans="1:26" s="24" customFormat="1" hidden="1" outlineLevel="1" x14ac:dyDescent="0.25">
      <c r="A45" s="50"/>
      <c r="B45" s="11" t="str">
        <f>CONCATENATE("          ", "5300", " - ", "COG$ OFFSET")</f>
        <v xml:space="preserve">          5300 - COG$ OFFSET</v>
      </c>
      <c r="C45" s="11"/>
      <c r="D45" s="3">
        <v>26088</v>
      </c>
      <c r="E45" s="3"/>
      <c r="F45" s="22">
        <f t="shared" si="10"/>
        <v>0.54306373879650005</v>
      </c>
      <c r="G45" s="3"/>
      <c r="H45" s="3">
        <v>63288</v>
      </c>
      <c r="I45" s="3"/>
      <c r="J45" s="22">
        <f t="shared" si="11"/>
        <v>0.68691850494718509</v>
      </c>
      <c r="K45" s="3"/>
      <c r="L45" s="3">
        <f t="shared" si="12"/>
        <v>-37200</v>
      </c>
      <c r="M45" s="3"/>
      <c r="N45" s="22">
        <f t="shared" si="13"/>
        <v>-0.58778915434205536</v>
      </c>
      <c r="O45" s="11"/>
      <c r="P45" s="3">
        <v>26088</v>
      </c>
      <c r="Q45" s="3"/>
      <c r="R45" s="22">
        <f t="shared" si="14"/>
        <v>0.54306373879650005</v>
      </c>
      <c r="S45" s="3"/>
      <c r="T45" s="3">
        <v>63288</v>
      </c>
      <c r="U45" s="3"/>
      <c r="V45" s="22">
        <f t="shared" si="15"/>
        <v>0.68691850494718509</v>
      </c>
      <c r="W45" s="3"/>
      <c r="X45" s="3">
        <f t="shared" si="16"/>
        <v>-37200</v>
      </c>
      <c r="Y45" s="3"/>
      <c r="Z45" s="22">
        <f t="shared" si="17"/>
        <v>-0.58778915434205536</v>
      </c>
    </row>
    <row r="46" spans="1:26" s="24" customFormat="1" hidden="1" outlineLevel="1" x14ac:dyDescent="0.25">
      <c r="A46" s="50"/>
      <c r="B46" s="11" t="str">
        <f>CONCATENATE("          ", "5501", " - ", "FREIGHT-IN-NEW TEXT")</f>
        <v xml:space="preserve">          5501 - FREIGHT-IN-NEW TEXT</v>
      </c>
      <c r="C46" s="11"/>
      <c r="D46" s="3">
        <v>802.72</v>
      </c>
      <c r="E46" s="3"/>
      <c r="F46" s="22">
        <f t="shared" si="10"/>
        <v>1.6709909705869618E-2</v>
      </c>
      <c r="G46" s="3"/>
      <c r="H46" s="3">
        <v>1716.08</v>
      </c>
      <c r="I46" s="3"/>
      <c r="J46" s="22">
        <f t="shared" si="11"/>
        <v>1.8626076159299794E-2</v>
      </c>
      <c r="K46" s="3"/>
      <c r="L46" s="3">
        <f t="shared" si="12"/>
        <v>-913.3599999999999</v>
      </c>
      <c r="M46" s="3"/>
      <c r="N46" s="22">
        <f t="shared" si="13"/>
        <v>-0.53223625938184693</v>
      </c>
      <c r="O46" s="11"/>
      <c r="P46" s="3">
        <v>802.72</v>
      </c>
      <c r="Q46" s="3"/>
      <c r="R46" s="22">
        <f t="shared" si="14"/>
        <v>1.6709909705869618E-2</v>
      </c>
      <c r="S46" s="3"/>
      <c r="T46" s="3">
        <v>1716.08</v>
      </c>
      <c r="U46" s="3"/>
      <c r="V46" s="22">
        <f t="shared" si="15"/>
        <v>1.8626076159299794E-2</v>
      </c>
      <c r="W46" s="3"/>
      <c r="X46" s="3">
        <f t="shared" si="16"/>
        <v>-913.3599999999999</v>
      </c>
      <c r="Y46" s="3"/>
      <c r="Z46" s="22">
        <f t="shared" si="17"/>
        <v>-0.53223625938184693</v>
      </c>
    </row>
    <row r="47" spans="1:26" s="24" customFormat="1" hidden="1" outlineLevel="1" x14ac:dyDescent="0.25">
      <c r="A47" s="50"/>
      <c r="B47" s="11" t="str">
        <f>CONCATENATE("          ", "5502", " - ", "FREIGHT-IN-USED TEXT")</f>
        <v xml:space="preserve">          5502 - FREIGHT-IN-USED TEXT</v>
      </c>
      <c r="C47" s="11"/>
      <c r="D47" s="3">
        <v>47.89</v>
      </c>
      <c r="E47" s="3"/>
      <c r="F47" s="22">
        <f t="shared" si="10"/>
        <v>9.9690748432092885E-4</v>
      </c>
      <c r="G47" s="3"/>
      <c r="H47" s="3">
        <v>277.49</v>
      </c>
      <c r="I47" s="3"/>
      <c r="J47" s="22">
        <f t="shared" si="11"/>
        <v>3.0118350388350775E-3</v>
      </c>
      <c r="K47" s="3"/>
      <c r="L47" s="3">
        <f t="shared" si="12"/>
        <v>-229.60000000000002</v>
      </c>
      <c r="M47" s="3"/>
      <c r="N47" s="22">
        <f t="shared" si="13"/>
        <v>-0.82741720422357568</v>
      </c>
      <c r="O47" s="11"/>
      <c r="P47" s="3">
        <v>47.89</v>
      </c>
      <c r="Q47" s="3"/>
      <c r="R47" s="22">
        <f t="shared" si="14"/>
        <v>9.9690748432092885E-4</v>
      </c>
      <c r="S47" s="3"/>
      <c r="T47" s="3">
        <v>277.49</v>
      </c>
      <c r="U47" s="3"/>
      <c r="V47" s="22">
        <f t="shared" si="15"/>
        <v>3.0118350388350775E-3</v>
      </c>
      <c r="W47" s="3"/>
      <c r="X47" s="3">
        <f t="shared" si="16"/>
        <v>-229.60000000000002</v>
      </c>
      <c r="Y47" s="3"/>
      <c r="Z47" s="22">
        <f t="shared" si="17"/>
        <v>-0.82741720422357568</v>
      </c>
    </row>
    <row r="48" spans="1:26" x14ac:dyDescent="0.25">
      <c r="A48" s="9"/>
      <c r="B48" s="10"/>
      <c r="C48" s="10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O48" s="10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x14ac:dyDescent="0.25">
      <c r="A49" s="10"/>
      <c r="B49" s="26" t="s">
        <v>6</v>
      </c>
      <c r="C49" s="26"/>
      <c r="D49" s="19">
        <f>D12-D35</f>
        <v>17221.279999999962</v>
      </c>
      <c r="E49" s="13"/>
      <c r="F49" s="20">
        <f>IF(D$12=0,0,D49/D$12)</f>
        <v>0.35848868075978879</v>
      </c>
      <c r="G49" s="13"/>
      <c r="H49" s="19">
        <f>H12-H35</f>
        <v>16142.140000000014</v>
      </c>
      <c r="I49" s="13"/>
      <c r="J49" s="20">
        <f>IF(H$12=0,0,H49/H$12)</f>
        <v>0.17520437800923025</v>
      </c>
      <c r="K49" s="16"/>
      <c r="L49" s="19">
        <f>+D49-H49</f>
        <v>1079.1399999999485</v>
      </c>
      <c r="M49" s="16"/>
      <c r="N49" s="20">
        <f>IF(H49=0,0,L49/H49)</f>
        <v>6.6852350431847798E-2</v>
      </c>
      <c r="O49" s="25"/>
      <c r="P49" s="19">
        <f>P12-P35</f>
        <v>17221.279999999962</v>
      </c>
      <c r="Q49" s="13"/>
      <c r="R49" s="20">
        <f>IF(P$12=0,0,P49/P$12)</f>
        <v>0.35848868075978879</v>
      </c>
      <c r="S49" s="13"/>
      <c r="T49" s="19">
        <f>T12-T35</f>
        <v>16142.140000000014</v>
      </c>
      <c r="U49" s="13"/>
      <c r="V49" s="20">
        <f>IF(T$12=0,0,T49/T$12)</f>
        <v>0.17520437800923025</v>
      </c>
      <c r="W49" s="16"/>
      <c r="X49" s="19">
        <f>+P49-T49</f>
        <v>1079.1399999999485</v>
      </c>
      <c r="Y49" s="16"/>
      <c r="Z49" s="20">
        <f>IF(T49=0,0,X49/T49)</f>
        <v>6.6852350431847798E-2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9</v>
      </c>
      <c r="C51" s="10"/>
      <c r="D51" s="21">
        <f>SUM(OSRRefD22x_0)</f>
        <v>40144.11</v>
      </c>
      <c r="E51" s="21"/>
      <c r="F51" s="34">
        <f t="shared" ref="F51:F61" si="18">IF(D$12=0,0,D51/D$12)</f>
        <v>0.83566430800590186</v>
      </c>
      <c r="G51" s="21"/>
      <c r="H51" s="21">
        <f>SUM(OSRRefH22x_0)</f>
        <v>42991.349999999991</v>
      </c>
      <c r="I51" s="21"/>
      <c r="J51" s="34">
        <f t="shared" ref="J51:J61" si="19">IF(H$12=0,0,H51/H$12)</f>
        <v>0.46662169554514538</v>
      </c>
      <c r="K51" s="4"/>
      <c r="L51" s="21">
        <f t="shared" ref="L51:L61" si="20">+D51-H51</f>
        <v>-2847.2399999999907</v>
      </c>
      <c r="M51" s="4"/>
      <c r="N51" s="34">
        <f t="shared" ref="N51:N61" si="21">IF(H51=0,0,L51/H51)</f>
        <v>-6.6228206371746673E-2</v>
      </c>
      <c r="O51" s="10"/>
      <c r="P51" s="21">
        <f>SUM(OSRRefP22x_0)</f>
        <v>40144.11</v>
      </c>
      <c r="Q51" s="21"/>
      <c r="R51" s="34">
        <f t="shared" ref="R51:R61" si="22">IF(P$12=0,0,P51/P$12)</f>
        <v>0.83566430800590186</v>
      </c>
      <c r="S51" s="21"/>
      <c r="T51" s="21">
        <f>SUM(OSRRefT22x_0)</f>
        <v>42991.349999999991</v>
      </c>
      <c r="U51" s="21"/>
      <c r="V51" s="34">
        <f t="shared" ref="V51:V61" si="23">IF(T$12=0,0,T51/T$12)</f>
        <v>0.46662169554514538</v>
      </c>
      <c r="W51" s="4"/>
      <c r="X51" s="21">
        <f t="shared" ref="X51:X61" si="24">+P51-T51</f>
        <v>-2847.2399999999907</v>
      </c>
      <c r="Y51" s="4"/>
      <c r="Z51" s="34">
        <f t="shared" ref="Z51:Z61" si="25">IF(T51=0,0,X51/T51)</f>
        <v>-6.6228206371746673E-2</v>
      </c>
    </row>
    <row r="52" spans="1:26" s="27" customFormat="1" outlineLevel="1" collapsed="1" x14ac:dyDescent="0.25">
      <c r="A52" s="28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11154.429999999998</v>
      </c>
      <c r="E52" s="1"/>
      <c r="F52" s="5">
        <f t="shared" si="18"/>
        <v>0.2321974264007913</v>
      </c>
      <c r="G52" s="1"/>
      <c r="H52" s="1">
        <f>SUM(OSRRefH22_0x_0)</f>
        <v>11226.609999999999</v>
      </c>
      <c r="I52" s="1"/>
      <c r="J52" s="5">
        <f t="shared" si="19"/>
        <v>0.12185194913451391</v>
      </c>
      <c r="K52" s="1"/>
      <c r="L52" s="1">
        <f t="shared" si="20"/>
        <v>-72.180000000000291</v>
      </c>
      <c r="M52" s="1"/>
      <c r="N52" s="5">
        <f t="shared" si="21"/>
        <v>-6.4293673691346092E-3</v>
      </c>
      <c r="O52" s="14"/>
      <c r="P52" s="1">
        <f>SUM(OSRRefP22_0x_0)</f>
        <v>11154.429999999998</v>
      </c>
      <c r="Q52" s="1"/>
      <c r="R52" s="5">
        <f t="shared" si="22"/>
        <v>0.2321974264007913</v>
      </c>
      <c r="S52" s="1"/>
      <c r="T52" s="1">
        <f>SUM(OSRRefT22_0x_0)</f>
        <v>11226.609999999999</v>
      </c>
      <c r="U52" s="1"/>
      <c r="V52" s="5">
        <f t="shared" si="23"/>
        <v>0.12185194913451391</v>
      </c>
      <c r="W52" s="1"/>
      <c r="X52" s="1">
        <f t="shared" si="24"/>
        <v>-72.180000000000291</v>
      </c>
      <c r="Y52" s="1"/>
      <c r="Z52" s="5">
        <f t="shared" si="25"/>
        <v>-6.4293673691346092E-3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8">
        <v>1802.45</v>
      </c>
      <c r="E53" s="3"/>
      <c r="F53" s="7">
        <f t="shared" si="18"/>
        <v>3.752089987709873E-2</v>
      </c>
      <c r="G53" s="3"/>
      <c r="H53" s="8">
        <v>1620.75</v>
      </c>
      <c r="I53" s="3"/>
      <c r="J53" s="7">
        <f t="shared" si="19"/>
        <v>1.7591378569288808E-2</v>
      </c>
      <c r="K53" s="3"/>
      <c r="L53" s="8">
        <f t="shared" si="20"/>
        <v>181.70000000000005</v>
      </c>
      <c r="M53" s="3"/>
      <c r="N53" s="7">
        <f t="shared" si="21"/>
        <v>0.11210859170137286</v>
      </c>
      <c r="O53" s="11"/>
      <c r="P53" s="8">
        <v>1802.45</v>
      </c>
      <c r="Q53" s="3"/>
      <c r="R53" s="7">
        <f t="shared" si="22"/>
        <v>3.752089987709873E-2</v>
      </c>
      <c r="S53" s="3"/>
      <c r="T53" s="8">
        <v>1620.75</v>
      </c>
      <c r="U53" s="3"/>
      <c r="V53" s="7">
        <f t="shared" si="23"/>
        <v>1.7591378569288808E-2</v>
      </c>
      <c r="W53" s="3"/>
      <c r="X53" s="8">
        <f t="shared" si="24"/>
        <v>181.70000000000005</v>
      </c>
      <c r="Y53" s="3"/>
      <c r="Z53" s="7">
        <f t="shared" si="25"/>
        <v>0.11210859170137286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8">
        <v>147.41999999999999</v>
      </c>
      <c r="E54" s="3"/>
      <c r="F54" s="7">
        <f t="shared" si="18"/>
        <v>3.0687847429231845E-3</v>
      </c>
      <c r="G54" s="3"/>
      <c r="H54" s="8">
        <v>85.11</v>
      </c>
      <c r="I54" s="3"/>
      <c r="J54" s="7">
        <f t="shared" si="19"/>
        <v>9.2377123555895146E-4</v>
      </c>
      <c r="K54" s="3"/>
      <c r="L54" s="8">
        <f t="shared" si="20"/>
        <v>62.309999999999988</v>
      </c>
      <c r="M54" s="3"/>
      <c r="N54" s="7">
        <f t="shared" si="21"/>
        <v>0.73211138526612607</v>
      </c>
      <c r="O54" s="11"/>
      <c r="P54" s="8">
        <v>147.41999999999999</v>
      </c>
      <c r="Q54" s="3"/>
      <c r="R54" s="7">
        <f t="shared" si="22"/>
        <v>3.0687847429231845E-3</v>
      </c>
      <c r="S54" s="3"/>
      <c r="T54" s="8">
        <v>85.11</v>
      </c>
      <c r="U54" s="3"/>
      <c r="V54" s="7">
        <f t="shared" si="23"/>
        <v>9.2377123555895146E-4</v>
      </c>
      <c r="W54" s="3"/>
      <c r="X54" s="8">
        <f t="shared" si="24"/>
        <v>62.309999999999988</v>
      </c>
      <c r="Y54" s="3"/>
      <c r="Z54" s="7">
        <f t="shared" si="25"/>
        <v>0.73211138526612607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8">
        <v>4248.21</v>
      </c>
      <c r="E55" s="3"/>
      <c r="F55" s="7">
        <f t="shared" si="18"/>
        <v>8.8433333555377178E-2</v>
      </c>
      <c r="G55" s="3"/>
      <c r="H55" s="8">
        <v>4168.57</v>
      </c>
      <c r="I55" s="3"/>
      <c r="J55" s="7">
        <f t="shared" si="19"/>
        <v>4.5245036534061547E-2</v>
      </c>
      <c r="K55" s="3"/>
      <c r="L55" s="8">
        <f t="shared" si="20"/>
        <v>79.640000000000327</v>
      </c>
      <c r="M55" s="3"/>
      <c r="N55" s="7">
        <f t="shared" si="21"/>
        <v>1.9104872894062073E-2</v>
      </c>
      <c r="O55" s="11"/>
      <c r="P55" s="8">
        <v>4248.21</v>
      </c>
      <c r="Q55" s="3"/>
      <c r="R55" s="7">
        <f t="shared" si="22"/>
        <v>8.8433333555377178E-2</v>
      </c>
      <c r="S55" s="3"/>
      <c r="T55" s="8">
        <v>4168.57</v>
      </c>
      <c r="U55" s="3"/>
      <c r="V55" s="7">
        <f t="shared" si="23"/>
        <v>4.5245036534061547E-2</v>
      </c>
      <c r="W55" s="3"/>
      <c r="X55" s="8">
        <f t="shared" si="24"/>
        <v>79.640000000000327</v>
      </c>
      <c r="Y55" s="3"/>
      <c r="Z55" s="7">
        <f t="shared" si="25"/>
        <v>1.9104872894062073E-2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8">
        <v>61.43</v>
      </c>
      <c r="E56" s="3"/>
      <c r="F56" s="7">
        <f t="shared" si="18"/>
        <v>1.2787643926046074E-3</v>
      </c>
      <c r="G56" s="3"/>
      <c r="H56" s="8">
        <v>55.09</v>
      </c>
      <c r="I56" s="3"/>
      <c r="J56" s="7">
        <f t="shared" si="19"/>
        <v>5.9793863666951757E-4</v>
      </c>
      <c r="K56" s="3"/>
      <c r="L56" s="8">
        <f t="shared" si="20"/>
        <v>6.3399999999999963</v>
      </c>
      <c r="M56" s="3"/>
      <c r="N56" s="7">
        <f t="shared" si="21"/>
        <v>0.11508440733345428</v>
      </c>
      <c r="O56" s="11"/>
      <c r="P56" s="8">
        <v>61.43</v>
      </c>
      <c r="Q56" s="3"/>
      <c r="R56" s="7">
        <f t="shared" si="22"/>
        <v>1.2787643926046074E-3</v>
      </c>
      <c r="S56" s="3"/>
      <c r="T56" s="8">
        <v>55.09</v>
      </c>
      <c r="U56" s="3"/>
      <c r="V56" s="7">
        <f t="shared" si="23"/>
        <v>5.9793863666951757E-4</v>
      </c>
      <c r="W56" s="3"/>
      <c r="X56" s="8">
        <f t="shared" si="24"/>
        <v>6.3399999999999963</v>
      </c>
      <c r="Y56" s="3"/>
      <c r="Z56" s="7">
        <f t="shared" si="25"/>
        <v>0.11508440733345428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8">
        <v>2220.3200000000002</v>
      </c>
      <c r="E57" s="3"/>
      <c r="F57" s="7">
        <f t="shared" si="18"/>
        <v>4.6219536971965854E-2</v>
      </c>
      <c r="G57" s="3"/>
      <c r="H57" s="8">
        <v>1325.86</v>
      </c>
      <c r="I57" s="3"/>
      <c r="J57" s="7">
        <f t="shared" si="19"/>
        <v>1.4390686527766318E-2</v>
      </c>
      <c r="K57" s="3"/>
      <c r="L57" s="8">
        <f t="shared" si="20"/>
        <v>894.46000000000026</v>
      </c>
      <c r="M57" s="3"/>
      <c r="N57" s="7">
        <f t="shared" si="21"/>
        <v>0.67462628030108784</v>
      </c>
      <c r="O57" s="11"/>
      <c r="P57" s="8">
        <v>2220.3200000000002</v>
      </c>
      <c r="Q57" s="3"/>
      <c r="R57" s="7">
        <f t="shared" si="22"/>
        <v>4.6219536971965854E-2</v>
      </c>
      <c r="S57" s="3"/>
      <c r="T57" s="8">
        <v>1325.86</v>
      </c>
      <c r="U57" s="3"/>
      <c r="V57" s="7">
        <f t="shared" si="23"/>
        <v>1.4390686527766318E-2</v>
      </c>
      <c r="W57" s="3"/>
      <c r="X57" s="8">
        <f t="shared" si="24"/>
        <v>894.46000000000026</v>
      </c>
      <c r="Y57" s="3"/>
      <c r="Z57" s="7">
        <f t="shared" si="25"/>
        <v>0.67462628030108784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8">
        <v>333.14</v>
      </c>
      <c r="E58" s="3"/>
      <c r="F58" s="7">
        <f t="shared" si="18"/>
        <v>6.9348456739752387E-3</v>
      </c>
      <c r="G58" s="3"/>
      <c r="H58" s="8">
        <v>220.69</v>
      </c>
      <c r="I58" s="3"/>
      <c r="J58" s="7">
        <f t="shared" si="19"/>
        <v>2.3953363174186934E-3</v>
      </c>
      <c r="K58" s="3"/>
      <c r="L58" s="8">
        <f t="shared" si="20"/>
        <v>112.44999999999999</v>
      </c>
      <c r="M58" s="3"/>
      <c r="N58" s="7">
        <f t="shared" si="21"/>
        <v>0.50953826634645882</v>
      </c>
      <c r="O58" s="11"/>
      <c r="P58" s="8">
        <v>333.14</v>
      </c>
      <c r="Q58" s="3"/>
      <c r="R58" s="7">
        <f t="shared" si="22"/>
        <v>6.9348456739752387E-3</v>
      </c>
      <c r="S58" s="3"/>
      <c r="T58" s="8">
        <v>220.69</v>
      </c>
      <c r="U58" s="3"/>
      <c r="V58" s="7">
        <f t="shared" si="23"/>
        <v>2.3953363174186934E-3</v>
      </c>
      <c r="W58" s="3"/>
      <c r="X58" s="8">
        <f t="shared" si="24"/>
        <v>112.44999999999999</v>
      </c>
      <c r="Y58" s="3"/>
      <c r="Z58" s="7">
        <f t="shared" si="25"/>
        <v>0.50953826634645882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8">
        <v>967.81</v>
      </c>
      <c r="E59" s="3"/>
      <c r="F59" s="7">
        <f t="shared" si="18"/>
        <v>2.0146523959086199E-2</v>
      </c>
      <c r="G59" s="3"/>
      <c r="H59" s="8">
        <v>1479.92</v>
      </c>
      <c r="I59" s="3"/>
      <c r="J59" s="7">
        <f t="shared" si="19"/>
        <v>1.6062830771100971E-2</v>
      </c>
      <c r="K59" s="3"/>
      <c r="L59" s="8">
        <f t="shared" si="20"/>
        <v>-512.11000000000013</v>
      </c>
      <c r="M59" s="3"/>
      <c r="N59" s="7">
        <f t="shared" si="21"/>
        <v>-0.34603897507973413</v>
      </c>
      <c r="O59" s="11"/>
      <c r="P59" s="8">
        <v>967.81</v>
      </c>
      <c r="Q59" s="3"/>
      <c r="R59" s="7">
        <f t="shared" si="22"/>
        <v>2.0146523959086199E-2</v>
      </c>
      <c r="S59" s="3"/>
      <c r="T59" s="8">
        <v>1479.92</v>
      </c>
      <c r="U59" s="3"/>
      <c r="V59" s="7">
        <f t="shared" si="23"/>
        <v>1.6062830771100971E-2</v>
      </c>
      <c r="W59" s="3"/>
      <c r="X59" s="8">
        <f t="shared" si="24"/>
        <v>-512.11000000000013</v>
      </c>
      <c r="Y59" s="3"/>
      <c r="Z59" s="7">
        <f t="shared" si="25"/>
        <v>-0.34603897507973413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8">
        <v>944.6</v>
      </c>
      <c r="E60" s="3"/>
      <c r="F60" s="7">
        <f t="shared" si="18"/>
        <v>1.9663370425757973E-2</v>
      </c>
      <c r="G60" s="3"/>
      <c r="H60" s="8">
        <v>1710.54</v>
      </c>
      <c r="I60" s="3"/>
      <c r="J60" s="7">
        <f t="shared" si="19"/>
        <v>1.8565945826260238E-2</v>
      </c>
      <c r="K60" s="3"/>
      <c r="L60" s="8">
        <f t="shared" si="20"/>
        <v>-765.93999999999994</v>
      </c>
      <c r="M60" s="3"/>
      <c r="N60" s="7">
        <f t="shared" si="21"/>
        <v>-0.44777672547850383</v>
      </c>
      <c r="O60" s="11"/>
      <c r="P60" s="8">
        <v>944.6</v>
      </c>
      <c r="Q60" s="3"/>
      <c r="R60" s="7">
        <f t="shared" si="22"/>
        <v>1.9663370425757973E-2</v>
      </c>
      <c r="S60" s="3"/>
      <c r="T60" s="8">
        <v>1710.54</v>
      </c>
      <c r="U60" s="3"/>
      <c r="V60" s="7">
        <f t="shared" si="23"/>
        <v>1.8565945826260238E-2</v>
      </c>
      <c r="W60" s="3"/>
      <c r="X60" s="8">
        <f t="shared" si="24"/>
        <v>-765.93999999999994</v>
      </c>
      <c r="Y60" s="3"/>
      <c r="Z60" s="7">
        <f t="shared" si="25"/>
        <v>-0.44777672547850383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8">
        <v>429.05</v>
      </c>
      <c r="E61" s="3"/>
      <c r="F61" s="7">
        <f t="shared" si="18"/>
        <v>8.9313668020023912E-3</v>
      </c>
      <c r="G61" s="3"/>
      <c r="H61" s="8">
        <v>560.08000000000004</v>
      </c>
      <c r="I61" s="3"/>
      <c r="J61" s="7">
        <f t="shared" si="19"/>
        <v>6.0790247163888802E-3</v>
      </c>
      <c r="K61" s="3"/>
      <c r="L61" s="8">
        <f t="shared" si="20"/>
        <v>-131.03000000000003</v>
      </c>
      <c r="M61" s="3"/>
      <c r="N61" s="7">
        <f t="shared" si="21"/>
        <v>-0.23394872161119842</v>
      </c>
      <c r="O61" s="11"/>
      <c r="P61" s="8">
        <v>429.05</v>
      </c>
      <c r="Q61" s="3"/>
      <c r="R61" s="7">
        <f t="shared" si="22"/>
        <v>8.9313668020023912E-3</v>
      </c>
      <c r="S61" s="3"/>
      <c r="T61" s="8">
        <v>560.08000000000004</v>
      </c>
      <c r="U61" s="3"/>
      <c r="V61" s="7">
        <f t="shared" si="23"/>
        <v>6.0790247163888802E-3</v>
      </c>
      <c r="W61" s="3"/>
      <c r="X61" s="8">
        <f t="shared" si="24"/>
        <v>-131.03000000000003</v>
      </c>
      <c r="Y61" s="3"/>
      <c r="Z61" s="7">
        <f t="shared" si="25"/>
        <v>-0.23394872161119842</v>
      </c>
    </row>
    <row r="62" spans="1:26" s="27" customFormat="1" outlineLevel="1" collapsed="1" x14ac:dyDescent="0.25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29301.230000000003</v>
      </c>
      <c r="E62" s="1"/>
      <c r="F62" s="5">
        <f t="shared" ref="F62:F68" si="26">IF(D$12=0,0,D62/D$12)</f>
        <v>0.60995229665502049</v>
      </c>
      <c r="G62" s="1"/>
      <c r="H62" s="1">
        <f>SUM(OSRRefH22_1x_0)</f>
        <v>26073.31</v>
      </c>
      <c r="I62" s="1"/>
      <c r="J62" s="5">
        <f t="shared" ref="J62:J68" si="27">IF(H$12=0,0,H62/H$12)</f>
        <v>0.28299581475515884</v>
      </c>
      <c r="K62" s="1"/>
      <c r="L62" s="1">
        <f t="shared" ref="L62:L68" si="28">+D62-H62</f>
        <v>3227.9200000000019</v>
      </c>
      <c r="M62" s="1"/>
      <c r="N62" s="5">
        <f t="shared" ref="N62:N68" si="29">IF(H62=0,0,L62/H62)</f>
        <v>0.12380169606390604</v>
      </c>
      <c r="O62" s="14"/>
      <c r="P62" s="1">
        <f>SUM(OSRRefP22_1x_0)</f>
        <v>29301.230000000003</v>
      </c>
      <c r="Q62" s="1"/>
      <c r="R62" s="5">
        <f t="shared" ref="R62:R68" si="30">IF(P$12=0,0,P62/P$12)</f>
        <v>0.60995229665502049</v>
      </c>
      <c r="S62" s="1"/>
      <c r="T62" s="1">
        <f>SUM(OSRRefT22_1x_0)</f>
        <v>26073.31</v>
      </c>
      <c r="U62" s="1"/>
      <c r="V62" s="5">
        <f t="shared" ref="V62:V68" si="31">IF(T$12=0,0,T62/T$12)</f>
        <v>0.28299581475515884</v>
      </c>
      <c r="W62" s="1"/>
      <c r="X62" s="1">
        <f t="shared" ref="X62:X68" si="32">+P62-T62</f>
        <v>3227.9200000000019</v>
      </c>
      <c r="Y62" s="1"/>
      <c r="Z62" s="5">
        <f t="shared" ref="Z62:Z68" si="33">IF(T62=0,0,X62/T62)</f>
        <v>0.12380169606390604</v>
      </c>
    </row>
    <row r="63" spans="1:26" s="24" customFormat="1" hidden="1" outlineLevel="2" x14ac:dyDescent="0.25">
      <c r="A63" s="29"/>
      <c r="B63" s="11" t="str">
        <f>CONCATENATE("          ", "6001", " - ", "ADMINISTRATIVE SALARIES")</f>
        <v xml:space="preserve">          6001 - ADMINISTRATIVE SALARIES</v>
      </c>
      <c r="C63" s="11"/>
      <c r="D63" s="8">
        <v>-311.32</v>
      </c>
      <c r="E63" s="3"/>
      <c r="F63" s="7">
        <f t="shared" si="26"/>
        <v>-6.4806272294590005E-3</v>
      </c>
      <c r="G63" s="3"/>
      <c r="H63" s="8"/>
      <c r="I63" s="3"/>
      <c r="J63" s="7">
        <f t="shared" si="27"/>
        <v>0</v>
      </c>
      <c r="K63" s="3"/>
      <c r="L63" s="8">
        <f t="shared" si="28"/>
        <v>-311.32</v>
      </c>
      <c r="M63" s="3"/>
      <c r="N63" s="7">
        <f t="shared" si="29"/>
        <v>0</v>
      </c>
      <c r="O63" s="11"/>
      <c r="P63" s="8">
        <v>-311.32</v>
      </c>
      <c r="Q63" s="3"/>
      <c r="R63" s="7">
        <f t="shared" si="30"/>
        <v>-6.4806272294590005E-3</v>
      </c>
      <c r="S63" s="3"/>
      <c r="T63" s="8"/>
      <c r="U63" s="3"/>
      <c r="V63" s="7">
        <f t="shared" si="31"/>
        <v>0</v>
      </c>
      <c r="W63" s="3"/>
      <c r="X63" s="8">
        <f t="shared" si="32"/>
        <v>-311.32</v>
      </c>
      <c r="Y63" s="3"/>
      <c r="Z63" s="7">
        <f t="shared" si="33"/>
        <v>0</v>
      </c>
    </row>
    <row r="64" spans="1:26" s="24" customFormat="1" hidden="1" outlineLevel="2" x14ac:dyDescent="0.25">
      <c r="A64" s="29"/>
      <c r="B64" s="11" t="str">
        <f>CONCATENATE("          ", "6002", " - ", "STAFF SALARIES")</f>
        <v xml:space="preserve">          6002 - STAFF SALARIES</v>
      </c>
      <c r="C64" s="11"/>
      <c r="D64" s="8">
        <v>18429.759999999998</v>
      </c>
      <c r="E64" s="3"/>
      <c r="F64" s="7">
        <f t="shared" si="26"/>
        <v>0.38364513840548087</v>
      </c>
      <c r="G64" s="3"/>
      <c r="H64" s="8">
        <v>17629.36</v>
      </c>
      <c r="I64" s="3"/>
      <c r="J64" s="7">
        <f t="shared" si="27"/>
        <v>0.19134644189065395</v>
      </c>
      <c r="K64" s="3"/>
      <c r="L64" s="8">
        <f t="shared" si="28"/>
        <v>800.39999999999782</v>
      </c>
      <c r="M64" s="3"/>
      <c r="N64" s="7">
        <f t="shared" si="29"/>
        <v>4.5401534712547577E-2</v>
      </c>
      <c r="O64" s="11"/>
      <c r="P64" s="8">
        <v>18429.759999999998</v>
      </c>
      <c r="Q64" s="3"/>
      <c r="R64" s="7">
        <f t="shared" si="30"/>
        <v>0.38364513840548087</v>
      </c>
      <c r="S64" s="3"/>
      <c r="T64" s="8">
        <v>17629.36</v>
      </c>
      <c r="U64" s="3"/>
      <c r="V64" s="7">
        <f t="shared" si="31"/>
        <v>0.19134644189065395</v>
      </c>
      <c r="W64" s="3"/>
      <c r="X64" s="8">
        <f t="shared" si="32"/>
        <v>800.39999999999782</v>
      </c>
      <c r="Y64" s="3"/>
      <c r="Z64" s="7">
        <f t="shared" si="33"/>
        <v>4.5401534712547577E-2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8">
        <v>5507.97</v>
      </c>
      <c r="E65" s="3"/>
      <c r="F65" s="7">
        <f t="shared" si="26"/>
        <v>0.1146572669955136</v>
      </c>
      <c r="G65" s="3"/>
      <c r="H65" s="8">
        <v>2005.93</v>
      </c>
      <c r="I65" s="3"/>
      <c r="J65" s="7">
        <f t="shared" si="27"/>
        <v>2.1772064793147312E-2</v>
      </c>
      <c r="K65" s="3"/>
      <c r="L65" s="8">
        <f t="shared" si="28"/>
        <v>3502.04</v>
      </c>
      <c r="M65" s="3"/>
      <c r="N65" s="7">
        <f t="shared" si="29"/>
        <v>1.7458435738036719</v>
      </c>
      <c r="O65" s="11"/>
      <c r="P65" s="8">
        <v>5507.97</v>
      </c>
      <c r="Q65" s="3"/>
      <c r="R65" s="7">
        <f t="shared" si="30"/>
        <v>0.1146572669955136</v>
      </c>
      <c r="S65" s="3"/>
      <c r="T65" s="8">
        <v>2005.93</v>
      </c>
      <c r="U65" s="3"/>
      <c r="V65" s="7">
        <f t="shared" si="31"/>
        <v>2.1772064793147312E-2</v>
      </c>
      <c r="W65" s="3"/>
      <c r="X65" s="8">
        <f t="shared" si="32"/>
        <v>3502.04</v>
      </c>
      <c r="Y65" s="3"/>
      <c r="Z65" s="7">
        <f t="shared" si="33"/>
        <v>1.7458435738036719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8">
        <v>1986.02</v>
      </c>
      <c r="E66" s="3"/>
      <c r="F66" s="7">
        <f t="shared" si="26"/>
        <v>4.1342205095240149E-2</v>
      </c>
      <c r="G66" s="3"/>
      <c r="H66" s="8">
        <v>1192.4000000000001</v>
      </c>
      <c r="I66" s="3"/>
      <c r="J66" s="7">
        <f t="shared" si="27"/>
        <v>1.2942131609452401E-2</v>
      </c>
      <c r="K66" s="3"/>
      <c r="L66" s="8">
        <f t="shared" si="28"/>
        <v>793.61999999999989</v>
      </c>
      <c r="M66" s="3"/>
      <c r="N66" s="7">
        <f t="shared" si="29"/>
        <v>0.66556524656155636</v>
      </c>
      <c r="O66" s="11"/>
      <c r="P66" s="8">
        <v>1986.02</v>
      </c>
      <c r="Q66" s="3"/>
      <c r="R66" s="7">
        <f t="shared" si="30"/>
        <v>4.1342205095240149E-2</v>
      </c>
      <c r="S66" s="3"/>
      <c r="T66" s="8">
        <v>1192.4000000000001</v>
      </c>
      <c r="U66" s="3"/>
      <c r="V66" s="7">
        <f t="shared" si="31"/>
        <v>1.2942131609452401E-2</v>
      </c>
      <c r="W66" s="3"/>
      <c r="X66" s="8">
        <f t="shared" si="32"/>
        <v>793.61999999999989</v>
      </c>
      <c r="Y66" s="3"/>
      <c r="Z66" s="7">
        <f t="shared" si="33"/>
        <v>0.66556524656155636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8">
        <v>502.29</v>
      </c>
      <c r="E67" s="3"/>
      <c r="F67" s="7">
        <f t="shared" si="26"/>
        <v>1.0455975366455613E-2</v>
      </c>
      <c r="G67" s="3"/>
      <c r="H67" s="8"/>
      <c r="I67" s="3"/>
      <c r="J67" s="7">
        <f t="shared" si="27"/>
        <v>0</v>
      </c>
      <c r="K67" s="3"/>
      <c r="L67" s="8">
        <f t="shared" si="28"/>
        <v>502.29</v>
      </c>
      <c r="M67" s="3"/>
      <c r="N67" s="7">
        <f t="shared" si="29"/>
        <v>0</v>
      </c>
      <c r="O67" s="11"/>
      <c r="P67" s="8">
        <v>502.29</v>
      </c>
      <c r="Q67" s="3"/>
      <c r="R67" s="7">
        <f t="shared" si="30"/>
        <v>1.0455975366455613E-2</v>
      </c>
      <c r="S67" s="3"/>
      <c r="T67" s="8"/>
      <c r="U67" s="3"/>
      <c r="V67" s="7">
        <f t="shared" si="31"/>
        <v>0</v>
      </c>
      <c r="W67" s="3"/>
      <c r="X67" s="8">
        <f t="shared" si="32"/>
        <v>502.29</v>
      </c>
      <c r="Y67" s="3"/>
      <c r="Z67" s="7">
        <f t="shared" si="33"/>
        <v>0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8">
        <v>3186.51</v>
      </c>
      <c r="E68" s="3"/>
      <c r="F68" s="7">
        <f t="shared" si="26"/>
        <v>6.6332338021789158E-2</v>
      </c>
      <c r="G68" s="3"/>
      <c r="H68" s="8">
        <v>5245.62</v>
      </c>
      <c r="I68" s="3"/>
      <c r="J68" s="7">
        <f t="shared" si="27"/>
        <v>5.6935176461905143E-2</v>
      </c>
      <c r="K68" s="3"/>
      <c r="L68" s="8">
        <f t="shared" si="28"/>
        <v>-2059.1099999999997</v>
      </c>
      <c r="M68" s="3"/>
      <c r="N68" s="7">
        <f t="shared" si="29"/>
        <v>-0.39253891818316988</v>
      </c>
      <c r="O68" s="11"/>
      <c r="P68" s="8">
        <v>3186.51</v>
      </c>
      <c r="Q68" s="3"/>
      <c r="R68" s="7">
        <f t="shared" si="30"/>
        <v>6.6332338021789158E-2</v>
      </c>
      <c r="S68" s="3"/>
      <c r="T68" s="8">
        <v>5245.62</v>
      </c>
      <c r="U68" s="3"/>
      <c r="V68" s="7">
        <f t="shared" si="31"/>
        <v>5.6935176461905143E-2</v>
      </c>
      <c r="W68" s="3"/>
      <c r="X68" s="8">
        <f t="shared" si="32"/>
        <v>-2059.1099999999997</v>
      </c>
      <c r="Y68" s="3"/>
      <c r="Z68" s="7">
        <f t="shared" si="33"/>
        <v>-0.39253891818316988</v>
      </c>
    </row>
    <row r="69" spans="1:26" s="27" customFormat="1" outlineLevel="1" collapsed="1" x14ac:dyDescent="0.25">
      <c r="A69" s="28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1249.9000000000001</v>
      </c>
      <c r="E69" s="1"/>
      <c r="F69" s="5">
        <f t="shared" ref="F69:F89" si="34">IF(D$12=0,0,D69/D$12)</f>
        <v>2.6018681659067216E-2</v>
      </c>
      <c r="G69" s="1"/>
      <c r="H69" s="1">
        <f>SUM(OSRRefH22_2x_0)</f>
        <v>91</v>
      </c>
      <c r="I69" s="1"/>
      <c r="J69" s="5">
        <f t="shared" ref="J69:J89" si="35">IF(H$12=0,0,H69/H$12)</f>
        <v>9.8770041635371387E-4</v>
      </c>
      <c r="K69" s="1"/>
      <c r="L69" s="1">
        <f t="shared" ref="L69:L89" si="36">+D69-H69</f>
        <v>1158.9000000000001</v>
      </c>
      <c r="M69" s="1"/>
      <c r="N69" s="5">
        <f t="shared" ref="N69:N89" si="37">IF(H69=0,0,L69/H69)</f>
        <v>12.735164835164836</v>
      </c>
      <c r="O69" s="14"/>
      <c r="P69" s="1">
        <f>SUM(OSRRefP22_2x_0)</f>
        <v>1249.9000000000001</v>
      </c>
      <c r="Q69" s="1"/>
      <c r="R69" s="5">
        <f t="shared" ref="R69:R89" si="38">IF(P$12=0,0,P69/P$12)</f>
        <v>2.6018681659067216E-2</v>
      </c>
      <c r="S69" s="1"/>
      <c r="T69" s="1">
        <f>SUM(OSRRefT22_2x_0)</f>
        <v>91</v>
      </c>
      <c r="U69" s="1"/>
      <c r="V69" s="5">
        <f t="shared" ref="V69:V89" si="39">IF(T$12=0,0,T69/T$12)</f>
        <v>9.8770041635371387E-4</v>
      </c>
      <c r="W69" s="1"/>
      <c r="X69" s="1">
        <f t="shared" ref="X69:X89" si="40">+P69-T69</f>
        <v>1158.9000000000001</v>
      </c>
      <c r="Y69" s="1"/>
      <c r="Z69" s="5">
        <f t="shared" ref="Z69:Z89" si="41">IF(T69=0,0,X69/T69)</f>
        <v>12.735164835164836</v>
      </c>
    </row>
    <row r="70" spans="1:26" s="24" customFormat="1" hidden="1" outlineLevel="2" x14ac:dyDescent="0.25">
      <c r="A70" s="29"/>
      <c r="B70" s="11" t="str">
        <f>CONCATENATE("          ", "6362", " - ", "ADVERTISING EXPENSE")</f>
        <v xml:space="preserve">          6362 - ADVERTISING EXPENSE</v>
      </c>
      <c r="C70" s="11"/>
      <c r="D70" s="8">
        <v>1249.9000000000001</v>
      </c>
      <c r="E70" s="3"/>
      <c r="F70" s="7">
        <f t="shared" si="34"/>
        <v>2.6018681659067216E-2</v>
      </c>
      <c r="G70" s="3"/>
      <c r="H70" s="8">
        <v>91</v>
      </c>
      <c r="I70" s="3"/>
      <c r="J70" s="7">
        <f t="shared" si="35"/>
        <v>9.8770041635371387E-4</v>
      </c>
      <c r="K70" s="3"/>
      <c r="L70" s="8">
        <f t="shared" si="36"/>
        <v>1158.9000000000001</v>
      </c>
      <c r="M70" s="3"/>
      <c r="N70" s="7">
        <f t="shared" si="37"/>
        <v>12.735164835164836</v>
      </c>
      <c r="O70" s="11"/>
      <c r="P70" s="8">
        <v>1249.9000000000001</v>
      </c>
      <c r="Q70" s="3"/>
      <c r="R70" s="7">
        <f t="shared" si="38"/>
        <v>2.6018681659067216E-2</v>
      </c>
      <c r="S70" s="3"/>
      <c r="T70" s="8">
        <v>91</v>
      </c>
      <c r="U70" s="3"/>
      <c r="V70" s="7">
        <f t="shared" si="39"/>
        <v>9.8770041635371387E-4</v>
      </c>
      <c r="W70" s="3"/>
      <c r="X70" s="8">
        <f t="shared" si="40"/>
        <v>1158.9000000000001</v>
      </c>
      <c r="Y70" s="3"/>
      <c r="Z70" s="7">
        <f t="shared" si="41"/>
        <v>12.735164835164836</v>
      </c>
    </row>
    <row r="71" spans="1:26" s="27" customFormat="1" outlineLevel="1" collapsed="1" x14ac:dyDescent="0.25">
      <c r="A71" s="28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SUM(OSRRefD22_3x_0)</f>
        <v>0</v>
      </c>
      <c r="E71" s="1"/>
      <c r="F71" s="5">
        <f t="shared" si="34"/>
        <v>0</v>
      </c>
      <c r="G71" s="1"/>
      <c r="H71" s="1">
        <f>SUM(OSRRefH22_3x_0)</f>
        <v>2508.91</v>
      </c>
      <c r="I71" s="1"/>
      <c r="J71" s="5">
        <f t="shared" si="35"/>
        <v>2.7231334632901057E-2</v>
      </c>
      <c r="K71" s="1"/>
      <c r="L71" s="1">
        <f t="shared" si="36"/>
        <v>-2508.91</v>
      </c>
      <c r="M71" s="1"/>
      <c r="N71" s="5">
        <f t="shared" si="37"/>
        <v>-1</v>
      </c>
      <c r="O71" s="14"/>
      <c r="P71" s="1">
        <f>SUM(OSRRefP22_3x_0)</f>
        <v>0</v>
      </c>
      <c r="Q71" s="1"/>
      <c r="R71" s="5">
        <f t="shared" si="38"/>
        <v>0</v>
      </c>
      <c r="S71" s="1"/>
      <c r="T71" s="1">
        <f>SUM(OSRRefT22_3x_0)</f>
        <v>2508.91</v>
      </c>
      <c r="U71" s="1"/>
      <c r="V71" s="5">
        <f t="shared" si="39"/>
        <v>2.7231334632901057E-2</v>
      </c>
      <c r="W71" s="1"/>
      <c r="X71" s="1">
        <f t="shared" si="40"/>
        <v>-2508.91</v>
      </c>
      <c r="Y71" s="1"/>
      <c r="Z71" s="5">
        <f t="shared" si="41"/>
        <v>-1</v>
      </c>
    </row>
    <row r="72" spans="1:26" s="24" customFormat="1" hidden="1" outlineLevel="2" x14ac:dyDescent="0.25">
      <c r="A72" s="29"/>
      <c r="B72" s="11" t="str">
        <f>CONCATENATE("          ", "6382", " - ", "DISCOUNTS/MARK DOWNS")</f>
        <v xml:space="preserve">          6382 - DISCOUNTS/MARK DOWNS</v>
      </c>
      <c r="C72" s="11"/>
      <c r="D72" s="8"/>
      <c r="E72" s="3"/>
      <c r="F72" s="7">
        <f t="shared" si="34"/>
        <v>0</v>
      </c>
      <c r="G72" s="3"/>
      <c r="H72" s="8">
        <v>2508.91</v>
      </c>
      <c r="I72" s="3"/>
      <c r="J72" s="7">
        <f t="shared" si="35"/>
        <v>2.7231334632901057E-2</v>
      </c>
      <c r="K72" s="3"/>
      <c r="L72" s="8">
        <f t="shared" si="36"/>
        <v>-2508.91</v>
      </c>
      <c r="M72" s="3"/>
      <c r="N72" s="7">
        <f t="shared" si="37"/>
        <v>-1</v>
      </c>
      <c r="O72" s="11"/>
      <c r="P72" s="8"/>
      <c r="Q72" s="3"/>
      <c r="R72" s="7">
        <f t="shared" si="38"/>
        <v>0</v>
      </c>
      <c r="S72" s="3"/>
      <c r="T72" s="8">
        <v>2508.91</v>
      </c>
      <c r="U72" s="3"/>
      <c r="V72" s="7">
        <f t="shared" si="39"/>
        <v>2.7231334632901057E-2</v>
      </c>
      <c r="W72" s="3"/>
      <c r="X72" s="8">
        <f t="shared" si="40"/>
        <v>-2508.91</v>
      </c>
      <c r="Y72" s="3"/>
      <c r="Z72" s="7">
        <f t="shared" si="41"/>
        <v>-1</v>
      </c>
    </row>
    <row r="73" spans="1:26" s="27" customFormat="1" outlineLevel="1" collapsed="1" x14ac:dyDescent="0.25">
      <c r="A73" s="28"/>
      <c r="B73" s="14" t="str">
        <f>CONCATENATE("     ","Employees' Appreciation                           ")</f>
        <v xml:space="preserve">     Employees' Appreciation                           </v>
      </c>
      <c r="C73" s="14"/>
      <c r="D73" s="1">
        <f>SUM(OSRRefD22_4x_0)</f>
        <v>107.7</v>
      </c>
      <c r="E73" s="1"/>
      <c r="F73" s="5">
        <f t="shared" si="34"/>
        <v>2.2419489676626441E-3</v>
      </c>
      <c r="G73" s="1"/>
      <c r="H73" s="1">
        <f>SUM(OSRRefH22_4x_0)</f>
        <v>0</v>
      </c>
      <c r="I73" s="1"/>
      <c r="J73" s="5">
        <f t="shared" si="35"/>
        <v>0</v>
      </c>
      <c r="K73" s="1"/>
      <c r="L73" s="1">
        <f t="shared" si="36"/>
        <v>107.7</v>
      </c>
      <c r="M73" s="1"/>
      <c r="N73" s="5">
        <f t="shared" si="37"/>
        <v>0</v>
      </c>
      <c r="O73" s="14"/>
      <c r="P73" s="1">
        <f>SUM(OSRRefP22_4x_0)</f>
        <v>107.7</v>
      </c>
      <c r="Q73" s="1"/>
      <c r="R73" s="5">
        <f t="shared" si="38"/>
        <v>2.2419489676626441E-3</v>
      </c>
      <c r="S73" s="1"/>
      <c r="T73" s="1">
        <f>SUM(OSRRefT22_4x_0)</f>
        <v>0</v>
      </c>
      <c r="U73" s="1"/>
      <c r="V73" s="5">
        <f t="shared" si="39"/>
        <v>0</v>
      </c>
      <c r="W73" s="1"/>
      <c r="X73" s="1">
        <f t="shared" si="40"/>
        <v>107.7</v>
      </c>
      <c r="Y73" s="1"/>
      <c r="Z73" s="5">
        <f t="shared" si="41"/>
        <v>0</v>
      </c>
    </row>
    <row r="74" spans="1:26" s="24" customFormat="1" hidden="1" outlineLevel="2" x14ac:dyDescent="0.25">
      <c r="A74" s="29"/>
      <c r="B74" s="11" t="str">
        <f>CONCATENATE("          ", "6277", " - ", "EMPLOYEE APPRECIATION")</f>
        <v xml:space="preserve">          6277 - EMPLOYEE APPRECIATION</v>
      </c>
      <c r="C74" s="11"/>
      <c r="D74" s="8">
        <v>107.7</v>
      </c>
      <c r="E74" s="3"/>
      <c r="F74" s="7">
        <f t="shared" si="34"/>
        <v>2.2419489676626441E-3</v>
      </c>
      <c r="G74" s="3"/>
      <c r="H74" s="8"/>
      <c r="I74" s="3"/>
      <c r="J74" s="7">
        <f t="shared" si="35"/>
        <v>0</v>
      </c>
      <c r="K74" s="3"/>
      <c r="L74" s="8">
        <f t="shared" si="36"/>
        <v>107.7</v>
      </c>
      <c r="M74" s="3"/>
      <c r="N74" s="7">
        <f t="shared" si="37"/>
        <v>0</v>
      </c>
      <c r="O74" s="11"/>
      <c r="P74" s="8">
        <v>107.7</v>
      </c>
      <c r="Q74" s="3"/>
      <c r="R74" s="7">
        <f t="shared" si="38"/>
        <v>2.2419489676626441E-3</v>
      </c>
      <c r="S74" s="3"/>
      <c r="T74" s="8"/>
      <c r="U74" s="3"/>
      <c r="V74" s="7">
        <f t="shared" si="39"/>
        <v>0</v>
      </c>
      <c r="W74" s="3"/>
      <c r="X74" s="8">
        <f t="shared" si="40"/>
        <v>107.7</v>
      </c>
      <c r="Y74" s="3"/>
      <c r="Z74" s="7">
        <f t="shared" si="41"/>
        <v>0</v>
      </c>
    </row>
    <row r="75" spans="1:26" s="27" customFormat="1" outlineLevel="1" collapsed="1" x14ac:dyDescent="0.25">
      <c r="A75" s="28"/>
      <c r="B75" s="14" t="str">
        <f>CONCATENATE("     ","Equipment Rental                                  ")</f>
        <v xml:space="preserve">     Equipment Rental                                  </v>
      </c>
      <c r="C75" s="14"/>
      <c r="D75" s="1">
        <f>SUM(OSRRefD22_5x_0)</f>
        <v>91.26</v>
      </c>
      <c r="E75" s="1"/>
      <c r="F75" s="5">
        <f t="shared" si="34"/>
        <v>1.8997238884762573E-3</v>
      </c>
      <c r="G75" s="1"/>
      <c r="H75" s="1">
        <f>SUM(OSRRefH22_5x_0)</f>
        <v>91.26</v>
      </c>
      <c r="I75" s="1"/>
      <c r="J75" s="5">
        <f t="shared" si="35"/>
        <v>9.9052241754329592E-4</v>
      </c>
      <c r="K75" s="1"/>
      <c r="L75" s="1">
        <f t="shared" si="36"/>
        <v>0</v>
      </c>
      <c r="M75" s="1"/>
      <c r="N75" s="5">
        <f t="shared" si="37"/>
        <v>0</v>
      </c>
      <c r="O75" s="14"/>
      <c r="P75" s="1">
        <f>SUM(OSRRefP22_5x_0)</f>
        <v>91.26</v>
      </c>
      <c r="Q75" s="1"/>
      <c r="R75" s="5">
        <f t="shared" si="38"/>
        <v>1.8997238884762573E-3</v>
      </c>
      <c r="S75" s="1"/>
      <c r="T75" s="1">
        <f>SUM(OSRRefT22_5x_0)</f>
        <v>91.26</v>
      </c>
      <c r="U75" s="1"/>
      <c r="V75" s="5">
        <f t="shared" si="39"/>
        <v>9.9052241754329592E-4</v>
      </c>
      <c r="W75" s="1"/>
      <c r="X75" s="1">
        <f t="shared" si="40"/>
        <v>0</v>
      </c>
      <c r="Y75" s="1"/>
      <c r="Z75" s="5">
        <f t="shared" si="41"/>
        <v>0</v>
      </c>
    </row>
    <row r="76" spans="1:26" s="24" customFormat="1" hidden="1" outlineLevel="2" x14ac:dyDescent="0.25">
      <c r="A76" s="29"/>
      <c r="B76" s="11" t="str">
        <f>CONCATENATE("          ", "6351", " - ", "EQUIPMENT RENTAL")</f>
        <v xml:space="preserve">          6351 - EQUIPMENT RENTAL</v>
      </c>
      <c r="C76" s="11"/>
      <c r="D76" s="8">
        <v>91.26</v>
      </c>
      <c r="E76" s="3"/>
      <c r="F76" s="7">
        <f t="shared" si="34"/>
        <v>1.8997238884762573E-3</v>
      </c>
      <c r="G76" s="3"/>
      <c r="H76" s="8">
        <v>91.26</v>
      </c>
      <c r="I76" s="3"/>
      <c r="J76" s="7">
        <f t="shared" si="35"/>
        <v>9.9052241754329592E-4</v>
      </c>
      <c r="K76" s="3"/>
      <c r="L76" s="8">
        <f t="shared" si="36"/>
        <v>0</v>
      </c>
      <c r="M76" s="3"/>
      <c r="N76" s="7">
        <f t="shared" si="37"/>
        <v>0</v>
      </c>
      <c r="O76" s="11"/>
      <c r="P76" s="8">
        <v>91.26</v>
      </c>
      <c r="Q76" s="3"/>
      <c r="R76" s="7">
        <f t="shared" si="38"/>
        <v>1.8997238884762573E-3</v>
      </c>
      <c r="S76" s="3"/>
      <c r="T76" s="8">
        <v>91.26</v>
      </c>
      <c r="U76" s="3"/>
      <c r="V76" s="7">
        <f t="shared" si="39"/>
        <v>9.9052241754329592E-4</v>
      </c>
      <c r="W76" s="3"/>
      <c r="X76" s="8">
        <f t="shared" si="40"/>
        <v>0</v>
      </c>
      <c r="Y76" s="3"/>
      <c r="Z76" s="7">
        <f t="shared" si="41"/>
        <v>0</v>
      </c>
    </row>
    <row r="77" spans="1:26" s="27" customFormat="1" outlineLevel="1" collapsed="1" x14ac:dyDescent="0.25">
      <c r="A77" s="28"/>
      <c r="B77" s="14" t="str">
        <f>CONCATENATE("     ","Freight out/Postage                               ")</f>
        <v xml:space="preserve">     Freight out/Postage                               </v>
      </c>
      <c r="C77" s="14"/>
      <c r="D77" s="1">
        <f>SUM(OSRRefD22_6x_0)</f>
        <v>167.5</v>
      </c>
      <c r="E77" s="1"/>
      <c r="F77" s="5">
        <f t="shared" si="34"/>
        <v>3.4867822848977984E-3</v>
      </c>
      <c r="G77" s="1"/>
      <c r="H77" s="1">
        <f>SUM(OSRRefH22_6x_0)</f>
        <v>364.59</v>
      </c>
      <c r="I77" s="1"/>
      <c r="J77" s="5">
        <f t="shared" si="35"/>
        <v>3.9572054373450604E-3</v>
      </c>
      <c r="K77" s="1"/>
      <c r="L77" s="1">
        <f t="shared" si="36"/>
        <v>-197.08999999999997</v>
      </c>
      <c r="M77" s="1"/>
      <c r="N77" s="5">
        <f t="shared" si="37"/>
        <v>-0.54057982939740523</v>
      </c>
      <c r="O77" s="14"/>
      <c r="P77" s="1">
        <f>SUM(OSRRefP22_6x_0)</f>
        <v>167.5</v>
      </c>
      <c r="Q77" s="1"/>
      <c r="R77" s="5">
        <f t="shared" si="38"/>
        <v>3.4867822848977984E-3</v>
      </c>
      <c r="S77" s="1"/>
      <c r="T77" s="1">
        <f>SUM(OSRRefT22_6x_0)</f>
        <v>364.59</v>
      </c>
      <c r="U77" s="1"/>
      <c r="V77" s="5">
        <f t="shared" si="39"/>
        <v>3.9572054373450604E-3</v>
      </c>
      <c r="W77" s="1"/>
      <c r="X77" s="1">
        <f t="shared" si="40"/>
        <v>-197.08999999999997</v>
      </c>
      <c r="Y77" s="1"/>
      <c r="Z77" s="5">
        <f t="shared" si="41"/>
        <v>-0.54057982939740523</v>
      </c>
    </row>
    <row r="78" spans="1:26" s="24" customFormat="1" hidden="1" outlineLevel="2" x14ac:dyDescent="0.25">
      <c r="A78" s="29"/>
      <c r="B78" s="11" t="str">
        <f>CONCATENATE("          ", "6305", " - ", "FREIGHT OUT")</f>
        <v xml:space="preserve">          6305 - FREIGHT OUT</v>
      </c>
      <c r="C78" s="11"/>
      <c r="D78" s="8">
        <v>167.5</v>
      </c>
      <c r="E78" s="3"/>
      <c r="F78" s="7">
        <f t="shared" si="34"/>
        <v>3.4867822848977984E-3</v>
      </c>
      <c r="G78" s="3"/>
      <c r="H78" s="8">
        <v>364.59</v>
      </c>
      <c r="I78" s="3"/>
      <c r="J78" s="7">
        <f t="shared" si="35"/>
        <v>3.9572054373450604E-3</v>
      </c>
      <c r="K78" s="3"/>
      <c r="L78" s="8">
        <f t="shared" si="36"/>
        <v>-197.08999999999997</v>
      </c>
      <c r="M78" s="3"/>
      <c r="N78" s="7">
        <f t="shared" si="37"/>
        <v>-0.54057982939740523</v>
      </c>
      <c r="O78" s="11"/>
      <c r="P78" s="8">
        <v>167.5</v>
      </c>
      <c r="Q78" s="3"/>
      <c r="R78" s="7">
        <f t="shared" si="38"/>
        <v>3.4867822848977984E-3</v>
      </c>
      <c r="S78" s="3"/>
      <c r="T78" s="8">
        <v>364.59</v>
      </c>
      <c r="U78" s="3"/>
      <c r="V78" s="7">
        <f t="shared" si="39"/>
        <v>3.9572054373450604E-3</v>
      </c>
      <c r="W78" s="3"/>
      <c r="X78" s="8">
        <f t="shared" si="40"/>
        <v>-197.08999999999997</v>
      </c>
      <c r="Y78" s="3"/>
      <c r="Z78" s="7">
        <f t="shared" si="41"/>
        <v>-0.54057982939740523</v>
      </c>
    </row>
    <row r="79" spans="1:26" s="27" customFormat="1" outlineLevel="1" collapsed="1" x14ac:dyDescent="0.25">
      <c r="A79" s="28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SUM(OSRRefD22_7x_0)</f>
        <v>-4794.1899999999996</v>
      </c>
      <c r="E79" s="1"/>
      <c r="F79" s="5">
        <f t="shared" si="34"/>
        <v>-9.979878664139806E-2</v>
      </c>
      <c r="G79" s="1"/>
      <c r="H79" s="1">
        <f>SUM(OSRRefH22_7x_0)</f>
        <v>7.84</v>
      </c>
      <c r="I79" s="1"/>
      <c r="J79" s="5">
        <f t="shared" si="35"/>
        <v>8.5094189716627657E-5</v>
      </c>
      <c r="K79" s="1"/>
      <c r="L79" s="1">
        <f t="shared" si="36"/>
        <v>-4802.03</v>
      </c>
      <c r="M79" s="1"/>
      <c r="N79" s="5">
        <f t="shared" si="37"/>
        <v>-612.50382653061217</v>
      </c>
      <c r="O79" s="14"/>
      <c r="P79" s="1">
        <f>SUM(OSRRefP22_7x_0)</f>
        <v>-4794.1899999999996</v>
      </c>
      <c r="Q79" s="1"/>
      <c r="R79" s="5">
        <f t="shared" si="38"/>
        <v>-9.979878664139806E-2</v>
      </c>
      <c r="S79" s="1"/>
      <c r="T79" s="1">
        <f>SUM(OSRRefT22_7x_0)</f>
        <v>7.84</v>
      </c>
      <c r="U79" s="1"/>
      <c r="V79" s="5">
        <f t="shared" si="39"/>
        <v>8.5094189716627657E-5</v>
      </c>
      <c r="W79" s="1"/>
      <c r="X79" s="1">
        <f t="shared" si="40"/>
        <v>-4802.03</v>
      </c>
      <c r="Y79" s="1"/>
      <c r="Z79" s="5">
        <f t="shared" si="41"/>
        <v>-612.50382653061217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8">
        <v>-4794.1899999999996</v>
      </c>
      <c r="E80" s="3"/>
      <c r="F80" s="7">
        <f t="shared" si="34"/>
        <v>-9.979878664139806E-2</v>
      </c>
      <c r="G80" s="3"/>
      <c r="H80" s="8">
        <v>7.84</v>
      </c>
      <c r="I80" s="3"/>
      <c r="J80" s="7">
        <f t="shared" si="35"/>
        <v>8.5094189716627657E-5</v>
      </c>
      <c r="K80" s="3"/>
      <c r="L80" s="8">
        <f t="shared" si="36"/>
        <v>-4802.03</v>
      </c>
      <c r="M80" s="3"/>
      <c r="N80" s="7">
        <f t="shared" si="37"/>
        <v>-612.50382653061217</v>
      </c>
      <c r="O80" s="11"/>
      <c r="P80" s="8">
        <v>-4794.1899999999996</v>
      </c>
      <c r="Q80" s="3"/>
      <c r="R80" s="7">
        <f t="shared" si="38"/>
        <v>-9.979878664139806E-2</v>
      </c>
      <c r="S80" s="3"/>
      <c r="T80" s="8">
        <v>7.84</v>
      </c>
      <c r="U80" s="3"/>
      <c r="V80" s="7">
        <f t="shared" si="39"/>
        <v>8.5094189716627657E-5</v>
      </c>
      <c r="W80" s="3"/>
      <c r="X80" s="8">
        <f t="shared" si="40"/>
        <v>-4802.03</v>
      </c>
      <c r="Y80" s="3"/>
      <c r="Z80" s="7">
        <f t="shared" si="41"/>
        <v>-612.50382653061217</v>
      </c>
    </row>
    <row r="81" spans="1:26" s="27" customFormat="1" outlineLevel="1" collapsed="1" x14ac:dyDescent="0.25">
      <c r="A81" s="28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SUM(OSRRefD22_8x_0)</f>
        <v>1000</v>
      </c>
      <c r="E81" s="1"/>
      <c r="F81" s="5">
        <f t="shared" si="34"/>
        <v>2.0816610656106259E-2</v>
      </c>
      <c r="G81" s="1"/>
      <c r="H81" s="1">
        <f>SUM(OSRRefH22_8x_0)</f>
        <v>1000</v>
      </c>
      <c r="I81" s="1"/>
      <c r="J81" s="5">
        <f t="shared" si="35"/>
        <v>1.0853850729161691E-2</v>
      </c>
      <c r="K81" s="1"/>
      <c r="L81" s="1">
        <f t="shared" si="36"/>
        <v>0</v>
      </c>
      <c r="M81" s="1"/>
      <c r="N81" s="5">
        <f t="shared" si="37"/>
        <v>0</v>
      </c>
      <c r="O81" s="14"/>
      <c r="P81" s="1">
        <f>SUM(OSRRefP22_8x_0)</f>
        <v>1000</v>
      </c>
      <c r="Q81" s="1"/>
      <c r="R81" s="5">
        <f t="shared" si="38"/>
        <v>2.0816610656106259E-2</v>
      </c>
      <c r="S81" s="1"/>
      <c r="T81" s="1">
        <f>SUM(OSRRefT22_8x_0)</f>
        <v>1000</v>
      </c>
      <c r="U81" s="1"/>
      <c r="V81" s="5">
        <f t="shared" si="39"/>
        <v>1.0853850729161691E-2</v>
      </c>
      <c r="W81" s="1"/>
      <c r="X81" s="1">
        <f t="shared" si="40"/>
        <v>0</v>
      </c>
      <c r="Y81" s="1"/>
      <c r="Z81" s="5">
        <f t="shared" si="41"/>
        <v>0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8">
        <v>1000</v>
      </c>
      <c r="E82" s="3"/>
      <c r="F82" s="7">
        <f t="shared" si="34"/>
        <v>2.0816610656106259E-2</v>
      </c>
      <c r="G82" s="3"/>
      <c r="H82" s="8">
        <v>1000</v>
      </c>
      <c r="I82" s="3"/>
      <c r="J82" s="7">
        <f t="shared" si="35"/>
        <v>1.0853850729161691E-2</v>
      </c>
      <c r="K82" s="3"/>
      <c r="L82" s="8">
        <f t="shared" si="36"/>
        <v>0</v>
      </c>
      <c r="M82" s="3"/>
      <c r="N82" s="7">
        <f t="shared" si="37"/>
        <v>0</v>
      </c>
      <c r="O82" s="11"/>
      <c r="P82" s="8">
        <v>1000</v>
      </c>
      <c r="Q82" s="3"/>
      <c r="R82" s="7">
        <f t="shared" si="38"/>
        <v>2.0816610656106259E-2</v>
      </c>
      <c r="S82" s="3"/>
      <c r="T82" s="8">
        <v>1000</v>
      </c>
      <c r="U82" s="3"/>
      <c r="V82" s="7">
        <f t="shared" si="39"/>
        <v>1.0853850729161691E-2</v>
      </c>
      <c r="W82" s="3"/>
      <c r="X82" s="8">
        <f t="shared" si="40"/>
        <v>0</v>
      </c>
      <c r="Y82" s="3"/>
      <c r="Z82" s="7">
        <f t="shared" si="41"/>
        <v>0</v>
      </c>
    </row>
    <row r="83" spans="1:26" s="27" customFormat="1" outlineLevel="1" collapsed="1" x14ac:dyDescent="0.25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SUM(OSRRefD22_9x_0)</f>
        <v>22.86</v>
      </c>
      <c r="E83" s="1"/>
      <c r="F83" s="5">
        <f t="shared" si="34"/>
        <v>4.7586771959858909E-4</v>
      </c>
      <c r="G83" s="1"/>
      <c r="H83" s="1">
        <f>SUM(OSRRefH22_9x_0)</f>
        <v>20.46</v>
      </c>
      <c r="I83" s="1"/>
      <c r="J83" s="5">
        <f t="shared" si="35"/>
        <v>2.220697859186482E-4</v>
      </c>
      <c r="K83" s="1"/>
      <c r="L83" s="1">
        <f t="shared" si="36"/>
        <v>2.3999999999999986</v>
      </c>
      <c r="M83" s="1"/>
      <c r="N83" s="5">
        <f t="shared" si="37"/>
        <v>0.11730205278592368</v>
      </c>
      <c r="O83" s="14"/>
      <c r="P83" s="1">
        <f>SUM(OSRRefP22_9x_0)</f>
        <v>22.86</v>
      </c>
      <c r="Q83" s="1"/>
      <c r="R83" s="5">
        <f t="shared" si="38"/>
        <v>4.7586771959858909E-4</v>
      </c>
      <c r="S83" s="1"/>
      <c r="T83" s="1">
        <f>SUM(OSRRefT22_9x_0)</f>
        <v>20.46</v>
      </c>
      <c r="U83" s="1"/>
      <c r="V83" s="5">
        <f t="shared" si="39"/>
        <v>2.220697859186482E-4</v>
      </c>
      <c r="W83" s="1"/>
      <c r="X83" s="1">
        <f t="shared" si="40"/>
        <v>2.3999999999999986</v>
      </c>
      <c r="Y83" s="1"/>
      <c r="Z83" s="5">
        <f t="shared" si="41"/>
        <v>0.11730205278592368</v>
      </c>
    </row>
    <row r="84" spans="1:26" s="24" customFormat="1" hidden="1" outlineLevel="2" x14ac:dyDescent="0.25">
      <c r="A84" s="29"/>
      <c r="B84" s="11" t="str">
        <f>CONCATENATE("          ", "6373", " - ", "MAINTENANCE CONTRACTS")</f>
        <v xml:space="preserve">          6373 - MAINTENANCE CONTRACTS</v>
      </c>
      <c r="C84" s="11"/>
      <c r="D84" s="8">
        <v>22.86</v>
      </c>
      <c r="E84" s="3"/>
      <c r="F84" s="7">
        <f t="shared" si="34"/>
        <v>4.7586771959858909E-4</v>
      </c>
      <c r="G84" s="3"/>
      <c r="H84" s="8">
        <v>20.46</v>
      </c>
      <c r="I84" s="3"/>
      <c r="J84" s="7">
        <f t="shared" si="35"/>
        <v>2.220697859186482E-4</v>
      </c>
      <c r="K84" s="3"/>
      <c r="L84" s="8">
        <f t="shared" si="36"/>
        <v>2.3999999999999986</v>
      </c>
      <c r="M84" s="3"/>
      <c r="N84" s="7">
        <f t="shared" si="37"/>
        <v>0.11730205278592368</v>
      </c>
      <c r="O84" s="11"/>
      <c r="P84" s="8">
        <v>22.86</v>
      </c>
      <c r="Q84" s="3"/>
      <c r="R84" s="7">
        <f t="shared" si="38"/>
        <v>4.7586771959858909E-4</v>
      </c>
      <c r="S84" s="3"/>
      <c r="T84" s="8">
        <v>20.46</v>
      </c>
      <c r="U84" s="3"/>
      <c r="V84" s="7">
        <f t="shared" si="39"/>
        <v>2.220697859186482E-4</v>
      </c>
      <c r="W84" s="3"/>
      <c r="X84" s="8">
        <f t="shared" si="40"/>
        <v>2.3999999999999986</v>
      </c>
      <c r="Y84" s="3"/>
      <c r="Z84" s="7">
        <f t="shared" si="41"/>
        <v>0.11730205278592368</v>
      </c>
    </row>
    <row r="85" spans="1:26" s="27" customFormat="1" outlineLevel="1" collapsed="1" x14ac:dyDescent="0.25">
      <c r="A85" s="28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SUM(OSRRefD22_10x_0)</f>
        <v>290</v>
      </c>
      <c r="E85" s="1"/>
      <c r="F85" s="5">
        <f t="shared" si="34"/>
        <v>6.036817090270815E-3</v>
      </c>
      <c r="G85" s="1"/>
      <c r="H85" s="1">
        <f>SUM(OSRRefH22_10x_0)</f>
        <v>288.85000000000002</v>
      </c>
      <c r="I85" s="1"/>
      <c r="J85" s="5">
        <f t="shared" si="35"/>
        <v>3.1351347831183544E-3</v>
      </c>
      <c r="K85" s="1"/>
      <c r="L85" s="1">
        <f t="shared" si="36"/>
        <v>1.1499999999999773</v>
      </c>
      <c r="M85" s="1"/>
      <c r="N85" s="5">
        <f t="shared" si="37"/>
        <v>3.9813051756966492E-3</v>
      </c>
      <c r="O85" s="14"/>
      <c r="P85" s="1">
        <f>SUM(OSRRefP22_10x_0)</f>
        <v>290</v>
      </c>
      <c r="Q85" s="1"/>
      <c r="R85" s="5">
        <f t="shared" si="38"/>
        <v>6.036817090270815E-3</v>
      </c>
      <c r="S85" s="1"/>
      <c r="T85" s="1">
        <f>SUM(OSRRefT22_10x_0)</f>
        <v>288.85000000000002</v>
      </c>
      <c r="U85" s="1"/>
      <c r="V85" s="5">
        <f t="shared" si="39"/>
        <v>3.1351347831183544E-3</v>
      </c>
      <c r="W85" s="1"/>
      <c r="X85" s="1">
        <f t="shared" si="40"/>
        <v>1.1499999999999773</v>
      </c>
      <c r="Y85" s="1"/>
      <c r="Z85" s="5">
        <f t="shared" si="41"/>
        <v>3.9813051756966492E-3</v>
      </c>
    </row>
    <row r="86" spans="1:26" s="24" customFormat="1" hidden="1" outlineLevel="2" x14ac:dyDescent="0.25">
      <c r="A86" s="29"/>
      <c r="B86" s="11" t="str">
        <f>CONCATENATE("          ", "6258", " - ", "MEMBERSHIP DUES")</f>
        <v xml:space="preserve">          6258 - MEMBERSHIP DUES</v>
      </c>
      <c r="C86" s="11"/>
      <c r="D86" s="8">
        <v>290</v>
      </c>
      <c r="E86" s="3"/>
      <c r="F86" s="7">
        <f t="shared" si="34"/>
        <v>6.036817090270815E-3</v>
      </c>
      <c r="G86" s="3"/>
      <c r="H86" s="8">
        <v>288.85000000000002</v>
      </c>
      <c r="I86" s="3"/>
      <c r="J86" s="7">
        <f t="shared" si="35"/>
        <v>3.1351347831183544E-3</v>
      </c>
      <c r="K86" s="3"/>
      <c r="L86" s="8">
        <f t="shared" si="36"/>
        <v>1.1499999999999773</v>
      </c>
      <c r="M86" s="3"/>
      <c r="N86" s="7">
        <f t="shared" si="37"/>
        <v>3.9813051756966492E-3</v>
      </c>
      <c r="O86" s="11"/>
      <c r="P86" s="8">
        <v>290</v>
      </c>
      <c r="Q86" s="3"/>
      <c r="R86" s="7">
        <f t="shared" si="38"/>
        <v>6.036817090270815E-3</v>
      </c>
      <c r="S86" s="3"/>
      <c r="T86" s="8">
        <v>288.85000000000002</v>
      </c>
      <c r="U86" s="3"/>
      <c r="V86" s="7">
        <f t="shared" si="39"/>
        <v>3.1351347831183544E-3</v>
      </c>
      <c r="W86" s="3"/>
      <c r="X86" s="8">
        <f t="shared" si="40"/>
        <v>1.1499999999999773</v>
      </c>
      <c r="Y86" s="3"/>
      <c r="Z86" s="7">
        <f t="shared" si="41"/>
        <v>3.9813051756966492E-3</v>
      </c>
    </row>
    <row r="87" spans="1:26" s="27" customFormat="1" outlineLevel="1" collapsed="1" x14ac:dyDescent="0.25">
      <c r="A87" s="28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SUM(OSRRefD22_11x_0)</f>
        <v>792.76</v>
      </c>
      <c r="E87" s="1"/>
      <c r="F87" s="5">
        <f t="shared" si="34"/>
        <v>1.6502576263734799E-2</v>
      </c>
      <c r="G87" s="1"/>
      <c r="H87" s="1">
        <f>SUM(OSRRefH22_11x_0)</f>
        <v>277.56</v>
      </c>
      <c r="I87" s="1"/>
      <c r="J87" s="5">
        <f t="shared" si="35"/>
        <v>3.0125948083861188E-3</v>
      </c>
      <c r="K87" s="1"/>
      <c r="L87" s="1">
        <f t="shared" si="36"/>
        <v>515.20000000000005</v>
      </c>
      <c r="M87" s="1"/>
      <c r="N87" s="5">
        <f t="shared" si="37"/>
        <v>1.8561752413892494</v>
      </c>
      <c r="O87" s="14"/>
      <c r="P87" s="1">
        <f>SUM(OSRRefP22_11x_0)</f>
        <v>792.76</v>
      </c>
      <c r="Q87" s="1"/>
      <c r="R87" s="5">
        <f t="shared" si="38"/>
        <v>1.6502576263734799E-2</v>
      </c>
      <c r="S87" s="1"/>
      <c r="T87" s="1">
        <f>SUM(OSRRefT22_11x_0)</f>
        <v>277.56</v>
      </c>
      <c r="U87" s="1"/>
      <c r="V87" s="5">
        <f t="shared" si="39"/>
        <v>3.0125948083861188E-3</v>
      </c>
      <c r="W87" s="1"/>
      <c r="X87" s="1">
        <f t="shared" si="40"/>
        <v>515.20000000000005</v>
      </c>
      <c r="Y87" s="1"/>
      <c r="Z87" s="5">
        <f t="shared" si="41"/>
        <v>1.8561752413892494</v>
      </c>
    </row>
    <row r="88" spans="1:26" s="24" customFormat="1" hidden="1" outlineLevel="2" x14ac:dyDescent="0.25">
      <c r="A88" s="29"/>
      <c r="B88" s="11" t="str">
        <f>CONCATENATE("          ", "6241", " - ", "OFFICE EXPENSE")</f>
        <v xml:space="preserve">          6241 - OFFICE EXPENSE</v>
      </c>
      <c r="C88" s="11"/>
      <c r="D88" s="8">
        <v>159.66</v>
      </c>
      <c r="E88" s="3"/>
      <c r="F88" s="7">
        <f t="shared" si="34"/>
        <v>3.3235800573539255E-3</v>
      </c>
      <c r="G88" s="3"/>
      <c r="H88" s="8">
        <v>261.17</v>
      </c>
      <c r="I88" s="3"/>
      <c r="J88" s="7">
        <f t="shared" si="35"/>
        <v>2.8347001949351591E-3</v>
      </c>
      <c r="K88" s="3"/>
      <c r="L88" s="8">
        <f t="shared" si="36"/>
        <v>-101.51000000000002</v>
      </c>
      <c r="M88" s="3"/>
      <c r="N88" s="7">
        <f t="shared" si="37"/>
        <v>-0.38867404372630859</v>
      </c>
      <c r="O88" s="11"/>
      <c r="P88" s="8">
        <v>159.66</v>
      </c>
      <c r="Q88" s="3"/>
      <c r="R88" s="7">
        <f t="shared" si="38"/>
        <v>3.3235800573539255E-3</v>
      </c>
      <c r="S88" s="3"/>
      <c r="T88" s="8">
        <v>261.17</v>
      </c>
      <c r="U88" s="3"/>
      <c r="V88" s="7">
        <f t="shared" si="39"/>
        <v>2.8347001949351591E-3</v>
      </c>
      <c r="W88" s="3"/>
      <c r="X88" s="8">
        <f t="shared" si="40"/>
        <v>-101.51000000000002</v>
      </c>
      <c r="Y88" s="3"/>
      <c r="Z88" s="7">
        <f t="shared" si="41"/>
        <v>-0.38867404372630859</v>
      </c>
    </row>
    <row r="89" spans="1:26" s="24" customFormat="1" hidden="1" outlineLevel="2" x14ac:dyDescent="0.25">
      <c r="A89" s="29"/>
      <c r="B89" s="11" t="str">
        <f>CONCATENATE("          ", "6247", " - ", "STORE SUPPLIES")</f>
        <v xml:space="preserve">          6247 - STORE SUPPLIES</v>
      </c>
      <c r="C89" s="11"/>
      <c r="D89" s="8">
        <v>633.1</v>
      </c>
      <c r="E89" s="3"/>
      <c r="F89" s="7">
        <f t="shared" si="34"/>
        <v>1.3178996206380873E-2</v>
      </c>
      <c r="G89" s="3"/>
      <c r="H89" s="8">
        <v>16.39</v>
      </c>
      <c r="I89" s="3"/>
      <c r="J89" s="7">
        <f t="shared" si="35"/>
        <v>1.7789461345096012E-4</v>
      </c>
      <c r="K89" s="3"/>
      <c r="L89" s="8">
        <f t="shared" si="36"/>
        <v>616.71</v>
      </c>
      <c r="M89" s="3"/>
      <c r="N89" s="7">
        <f t="shared" si="37"/>
        <v>37.627211714460039</v>
      </c>
      <c r="O89" s="11"/>
      <c r="P89" s="8">
        <v>633.1</v>
      </c>
      <c r="Q89" s="3"/>
      <c r="R89" s="7">
        <f t="shared" si="38"/>
        <v>1.3178996206380873E-2</v>
      </c>
      <c r="S89" s="3"/>
      <c r="T89" s="8">
        <v>16.39</v>
      </c>
      <c r="U89" s="3"/>
      <c r="V89" s="7">
        <f t="shared" si="39"/>
        <v>1.7789461345096012E-4</v>
      </c>
      <c r="W89" s="3"/>
      <c r="X89" s="8">
        <f t="shared" si="40"/>
        <v>616.71</v>
      </c>
      <c r="Y89" s="3"/>
      <c r="Z89" s="7">
        <f t="shared" si="41"/>
        <v>37.627211714460039</v>
      </c>
    </row>
    <row r="90" spans="1:26" s="27" customFormat="1" outlineLevel="1" collapsed="1" x14ac:dyDescent="0.25">
      <c r="A90" s="28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SUM(OSRRefD22_12x_0)</f>
        <v>760.5</v>
      </c>
      <c r="E90" s="1"/>
      <c r="F90" s="5">
        <f t="shared" ref="F90:F92" si="42">IF(D$12=0,0,D90/D$12)</f>
        <v>1.5831032403968812E-2</v>
      </c>
      <c r="G90" s="1"/>
      <c r="H90" s="1">
        <f>SUM(OSRRefH22_12x_0)</f>
        <v>524.35</v>
      </c>
      <c r="I90" s="1"/>
      <c r="J90" s="5">
        <f t="shared" ref="J90:J92" si="43">IF(H$12=0,0,H90/H$12)</f>
        <v>5.6912166298359324E-3</v>
      </c>
      <c r="K90" s="1"/>
      <c r="L90" s="1">
        <f t="shared" ref="L90:L92" si="44">+D90-H90</f>
        <v>236.14999999999998</v>
      </c>
      <c r="M90" s="1"/>
      <c r="N90" s="5">
        <f t="shared" ref="N90:N92" si="45">IF(H90=0,0,L90/H90)</f>
        <v>0.45036712119767325</v>
      </c>
      <c r="O90" s="14"/>
      <c r="P90" s="1">
        <f>SUM(OSRRefP22_12x_0)</f>
        <v>760.5</v>
      </c>
      <c r="Q90" s="1"/>
      <c r="R90" s="5">
        <f t="shared" ref="R90:R92" si="46">IF(P$12=0,0,P90/P$12)</f>
        <v>1.5831032403968812E-2</v>
      </c>
      <c r="S90" s="1"/>
      <c r="T90" s="1">
        <f>SUM(OSRRefT22_12x_0)</f>
        <v>524.35</v>
      </c>
      <c r="U90" s="1"/>
      <c r="V90" s="5">
        <f t="shared" ref="V90:V92" si="47">IF(T$12=0,0,T90/T$12)</f>
        <v>5.6912166298359324E-3</v>
      </c>
      <c r="W90" s="1"/>
      <c r="X90" s="1">
        <f t="shared" ref="X90:X92" si="48">+P90-T90</f>
        <v>236.14999999999998</v>
      </c>
      <c r="Y90" s="1"/>
      <c r="Z90" s="5">
        <f t="shared" ref="Z90:Z92" si="49">IF(T90=0,0,X90/T90)</f>
        <v>0.45036712119767325</v>
      </c>
    </row>
    <row r="91" spans="1:26" s="24" customFormat="1" hidden="1" outlineLevel="2" x14ac:dyDescent="0.25">
      <c r="A91" s="29"/>
      <c r="B91" s="11" t="str">
        <f>CONCATENATE("          ", "6303", " - ", "DATA PHONE LINES")</f>
        <v xml:space="preserve">          6303 - DATA PHONE LINES</v>
      </c>
      <c r="C91" s="11"/>
      <c r="D91" s="8">
        <v>295</v>
      </c>
      <c r="E91" s="3"/>
      <c r="F91" s="7">
        <f t="shared" si="42"/>
        <v>6.1409001435513465E-3</v>
      </c>
      <c r="G91" s="3"/>
      <c r="H91" s="8">
        <v>295</v>
      </c>
      <c r="I91" s="3"/>
      <c r="J91" s="7">
        <f t="shared" si="43"/>
        <v>3.2018859651026989E-3</v>
      </c>
      <c r="K91" s="3"/>
      <c r="L91" s="8">
        <f t="shared" si="44"/>
        <v>0</v>
      </c>
      <c r="M91" s="3"/>
      <c r="N91" s="7">
        <f t="shared" si="45"/>
        <v>0</v>
      </c>
      <c r="O91" s="11"/>
      <c r="P91" s="8">
        <v>295</v>
      </c>
      <c r="Q91" s="3"/>
      <c r="R91" s="7">
        <f t="shared" si="46"/>
        <v>6.1409001435513465E-3</v>
      </c>
      <c r="S91" s="3"/>
      <c r="T91" s="8">
        <v>295</v>
      </c>
      <c r="U91" s="3"/>
      <c r="V91" s="7">
        <f t="shared" si="47"/>
        <v>3.2018859651026989E-3</v>
      </c>
      <c r="W91" s="3"/>
      <c r="X91" s="8">
        <f t="shared" si="48"/>
        <v>0</v>
      </c>
      <c r="Y91" s="3"/>
      <c r="Z91" s="7">
        <f t="shared" si="49"/>
        <v>0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8">
        <v>465.5</v>
      </c>
      <c r="E92" s="3"/>
      <c r="F92" s="7">
        <f t="shared" si="42"/>
        <v>9.6901322604174642E-3</v>
      </c>
      <c r="G92" s="3"/>
      <c r="H92" s="8">
        <v>229.35</v>
      </c>
      <c r="I92" s="3"/>
      <c r="J92" s="7">
        <f t="shared" si="43"/>
        <v>2.4893306647332338E-3</v>
      </c>
      <c r="K92" s="3"/>
      <c r="L92" s="8">
        <f t="shared" si="44"/>
        <v>236.15</v>
      </c>
      <c r="M92" s="3"/>
      <c r="N92" s="7">
        <f t="shared" si="45"/>
        <v>1.0296490080662744</v>
      </c>
      <c r="O92" s="11"/>
      <c r="P92" s="8">
        <v>465.5</v>
      </c>
      <c r="Q92" s="3"/>
      <c r="R92" s="7">
        <f t="shared" si="46"/>
        <v>9.6901322604174642E-3</v>
      </c>
      <c r="S92" s="3"/>
      <c r="T92" s="8">
        <v>229.35</v>
      </c>
      <c r="U92" s="3"/>
      <c r="V92" s="7">
        <f t="shared" si="47"/>
        <v>2.4893306647332338E-3</v>
      </c>
      <c r="W92" s="3"/>
      <c r="X92" s="8">
        <f t="shared" si="48"/>
        <v>236.15</v>
      </c>
      <c r="Y92" s="3"/>
      <c r="Z92" s="7">
        <f t="shared" si="49"/>
        <v>1.0296490080662744</v>
      </c>
    </row>
    <row r="93" spans="1:26" s="27" customFormat="1" outlineLevel="1" collapsed="1" x14ac:dyDescent="0.25">
      <c r="A93" s="28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SUM(OSRRefD22_13x_0)</f>
        <v>0</v>
      </c>
      <c r="E93" s="1"/>
      <c r="F93" s="5">
        <f t="shared" ref="F93:F96" si="50">IF(D$12=0,0,D93/D$12)</f>
        <v>0</v>
      </c>
      <c r="G93" s="1"/>
      <c r="H93" s="1">
        <f>SUM(OSRRefH22_13x_0)</f>
        <v>516.61</v>
      </c>
      <c r="I93" s="1"/>
      <c r="J93" s="5">
        <f t="shared" ref="J93:J96" si="51">IF(H$12=0,0,H93/H$12)</f>
        <v>5.6072078251922213E-3</v>
      </c>
      <c r="K93" s="1"/>
      <c r="L93" s="1">
        <f t="shared" ref="L93:L96" si="52">+D93-H93</f>
        <v>-516.61</v>
      </c>
      <c r="M93" s="1"/>
      <c r="N93" s="5">
        <f t="shared" ref="N93:N96" si="53">IF(H93=0,0,L93/H93)</f>
        <v>-1</v>
      </c>
      <c r="O93" s="14"/>
      <c r="P93" s="1">
        <f>SUM(OSRRefP22_13x_0)</f>
        <v>0</v>
      </c>
      <c r="Q93" s="1"/>
      <c r="R93" s="5">
        <f t="shared" ref="R93:R96" si="54">IF(P$12=0,0,P93/P$12)</f>
        <v>0</v>
      </c>
      <c r="S93" s="1"/>
      <c r="T93" s="1">
        <f>SUM(OSRRefT22_13x_0)</f>
        <v>516.61</v>
      </c>
      <c r="U93" s="1"/>
      <c r="V93" s="5">
        <f t="shared" ref="V93:V96" si="55">IF(T$12=0,0,T93/T$12)</f>
        <v>5.6072078251922213E-3</v>
      </c>
      <c r="W93" s="1"/>
      <c r="X93" s="1">
        <f t="shared" ref="X93:X96" si="56">+P93-T93</f>
        <v>-516.61</v>
      </c>
      <c r="Y93" s="1"/>
      <c r="Z93" s="5">
        <f t="shared" ref="Z93:Z96" si="57">IF(T93=0,0,X93/T93)</f>
        <v>-1</v>
      </c>
    </row>
    <row r="94" spans="1:26" s="24" customFormat="1" hidden="1" outlineLevel="2" x14ac:dyDescent="0.25">
      <c r="A94" s="29"/>
      <c r="B94" s="11" t="str">
        <f>CONCATENATE("          ", "6376", " - ", "TRAINING")</f>
        <v xml:space="preserve">          6376 - TRAINING</v>
      </c>
      <c r="C94" s="11"/>
      <c r="D94" s="8"/>
      <c r="E94" s="3"/>
      <c r="F94" s="7">
        <f t="shared" si="50"/>
        <v>0</v>
      </c>
      <c r="G94" s="3"/>
      <c r="H94" s="8">
        <v>516.61</v>
      </c>
      <c r="I94" s="3"/>
      <c r="J94" s="7">
        <f t="shared" si="51"/>
        <v>5.6072078251922213E-3</v>
      </c>
      <c r="K94" s="3"/>
      <c r="L94" s="8">
        <f t="shared" si="52"/>
        <v>-516.61</v>
      </c>
      <c r="M94" s="3"/>
      <c r="N94" s="7">
        <f t="shared" si="53"/>
        <v>-1</v>
      </c>
      <c r="O94" s="11"/>
      <c r="P94" s="8"/>
      <c r="Q94" s="3"/>
      <c r="R94" s="7">
        <f t="shared" si="54"/>
        <v>0</v>
      </c>
      <c r="S94" s="3"/>
      <c r="T94" s="8">
        <v>516.61</v>
      </c>
      <c r="U94" s="3"/>
      <c r="V94" s="7">
        <f t="shared" si="55"/>
        <v>5.6072078251922213E-3</v>
      </c>
      <c r="W94" s="3"/>
      <c r="X94" s="8">
        <f t="shared" si="56"/>
        <v>-516.61</v>
      </c>
      <c r="Y94" s="3"/>
      <c r="Z94" s="7">
        <f t="shared" si="57"/>
        <v>-1</v>
      </c>
    </row>
    <row r="95" spans="1:26" s="27" customFormat="1" outlineLevel="1" collapsed="1" x14ac:dyDescent="0.25">
      <c r="A95" s="28"/>
      <c r="B95" s="14" t="str">
        <f>CONCATENATE("     ","Travel                                            ")</f>
        <v xml:space="preserve">     Travel                                            </v>
      </c>
      <c r="C95" s="14"/>
      <c r="D95" s="1">
        <f>SUM(OSRRefD22_14x_0)</f>
        <v>0.16</v>
      </c>
      <c r="E95" s="1"/>
      <c r="F95" s="5">
        <f t="shared" si="50"/>
        <v>3.3306577049770017E-6</v>
      </c>
      <c r="G95" s="1"/>
      <c r="H95" s="1">
        <f>SUM(OSRRefH22_14x_0)</f>
        <v>0</v>
      </c>
      <c r="I95" s="1"/>
      <c r="J95" s="5">
        <f t="shared" si="51"/>
        <v>0</v>
      </c>
      <c r="K95" s="1"/>
      <c r="L95" s="1">
        <f t="shared" si="52"/>
        <v>0.16</v>
      </c>
      <c r="M95" s="1"/>
      <c r="N95" s="5">
        <f t="shared" si="53"/>
        <v>0</v>
      </c>
      <c r="O95" s="14"/>
      <c r="P95" s="1">
        <f>SUM(OSRRefP22_14x_0)</f>
        <v>0.16</v>
      </c>
      <c r="Q95" s="1"/>
      <c r="R95" s="5">
        <f t="shared" si="54"/>
        <v>3.3306577049770017E-6</v>
      </c>
      <c r="S95" s="1"/>
      <c r="T95" s="1">
        <f>SUM(OSRRefT22_14x_0)</f>
        <v>0</v>
      </c>
      <c r="U95" s="1"/>
      <c r="V95" s="5">
        <f t="shared" si="55"/>
        <v>0</v>
      </c>
      <c r="W95" s="1"/>
      <c r="X95" s="1">
        <f t="shared" si="56"/>
        <v>0.16</v>
      </c>
      <c r="Y95" s="1"/>
      <c r="Z95" s="5">
        <f t="shared" si="57"/>
        <v>0</v>
      </c>
    </row>
    <row r="96" spans="1:26" s="24" customFormat="1" hidden="1" outlineLevel="2" x14ac:dyDescent="0.25">
      <c r="A96" s="29"/>
      <c r="B96" s="11" t="str">
        <f>CONCATENATE("          ", "6292", " - ", "TRAVEL/CONFERENCE")</f>
        <v xml:space="preserve">          6292 - TRAVEL/CONFERENCE</v>
      </c>
      <c r="C96" s="11"/>
      <c r="D96" s="8">
        <v>0.16</v>
      </c>
      <c r="E96" s="3"/>
      <c r="F96" s="7">
        <f t="shared" si="50"/>
        <v>3.3306577049770017E-6</v>
      </c>
      <c r="G96" s="3"/>
      <c r="H96" s="8"/>
      <c r="I96" s="3"/>
      <c r="J96" s="7">
        <f t="shared" si="51"/>
        <v>0</v>
      </c>
      <c r="K96" s="3"/>
      <c r="L96" s="8">
        <f t="shared" si="52"/>
        <v>0.16</v>
      </c>
      <c r="M96" s="3"/>
      <c r="N96" s="7">
        <f t="shared" si="53"/>
        <v>0</v>
      </c>
      <c r="O96" s="11"/>
      <c r="P96" s="8">
        <v>0.16</v>
      </c>
      <c r="Q96" s="3"/>
      <c r="R96" s="7">
        <f t="shared" si="54"/>
        <v>3.3306577049770017E-6</v>
      </c>
      <c r="S96" s="3"/>
      <c r="T96" s="8"/>
      <c r="U96" s="3"/>
      <c r="V96" s="7">
        <f t="shared" si="55"/>
        <v>0</v>
      </c>
      <c r="W96" s="3"/>
      <c r="X96" s="8">
        <f t="shared" si="56"/>
        <v>0.16</v>
      </c>
      <c r="Y96" s="3"/>
      <c r="Z96" s="7">
        <f t="shared" si="57"/>
        <v>0</v>
      </c>
    </row>
    <row r="97" spans="1:26" s="61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5" t="s">
        <v>0</v>
      </c>
      <c r="C98" s="10"/>
      <c r="D98" s="4">
        <f>SUM(OSRRefD25x_0)</f>
        <v>2056.9300000000003</v>
      </c>
      <c r="E98" s="4"/>
      <c r="F98" s="12">
        <f t="shared" ref="F98:F100" si="58">IF(D$12=0,0,D98/D$12)</f>
        <v>4.2818310956864655E-2</v>
      </c>
      <c r="G98" s="4"/>
      <c r="H98" s="4">
        <f>SUM(OSRRefH25x_0)</f>
        <v>426.76</v>
      </c>
      <c r="I98" s="4"/>
      <c r="J98" s="12">
        <f t="shared" ref="J98:J100" si="59">IF(H$12=0,0,H98/H$12)</f>
        <v>4.6319893371770428E-3</v>
      </c>
      <c r="K98" s="4"/>
      <c r="L98" s="4">
        <f t="shared" ref="L98:L100" si="60">+D98-H98</f>
        <v>1630.1700000000003</v>
      </c>
      <c r="M98" s="4"/>
      <c r="N98" s="12">
        <f t="shared" ref="N98:N100" si="61">IF(H98=0,0,L98/H98)</f>
        <v>3.8198753397694261</v>
      </c>
      <c r="O98" s="10"/>
      <c r="P98" s="4">
        <f>SUM(OSRRefP25x_0)</f>
        <v>2056.9300000000003</v>
      </c>
      <c r="Q98" s="4"/>
      <c r="R98" s="12">
        <f t="shared" ref="R98:R100" si="62">IF(P$12=0,0,P98/P$12)</f>
        <v>4.2818310956864655E-2</v>
      </c>
      <c r="S98" s="4"/>
      <c r="T98" s="4">
        <f>SUM(OSRRefT25x_0)</f>
        <v>426.76</v>
      </c>
      <c r="U98" s="4"/>
      <c r="V98" s="12">
        <f t="shared" ref="V98:V100" si="63">IF(T$12=0,0,T98/T$12)</f>
        <v>4.6319893371770428E-3</v>
      </c>
      <c r="W98" s="4"/>
      <c r="X98" s="4">
        <f t="shared" ref="X98:X100" si="64">+P98-T98</f>
        <v>1630.1700000000003</v>
      </c>
      <c r="Y98" s="4"/>
      <c r="Z98" s="12">
        <f t="shared" ref="Z98:Z100" si="65">IF(T98=0,0,X98/T98)</f>
        <v>3.8198753397694261</v>
      </c>
    </row>
    <row r="99" spans="1:26" s="24" customFormat="1" hidden="1" outlineLevel="1" x14ac:dyDescent="0.25">
      <c r="A99" s="50"/>
      <c r="B99" s="11" t="str">
        <f>CONCATENATE("          ", "9150", " - ", "MISC. INCOME")</f>
        <v xml:space="preserve">          9150 - MISC. INCOME</v>
      </c>
      <c r="C99" s="11"/>
      <c r="D99" s="3">
        <f>--582.54</f>
        <v>582.54</v>
      </c>
      <c r="E99" s="3"/>
      <c r="F99" s="22">
        <f t="shared" si="58"/>
        <v>1.2126508371608139E-2</v>
      </c>
      <c r="G99" s="3"/>
      <c r="H99" s="3">
        <f>--426.76</f>
        <v>426.76</v>
      </c>
      <c r="I99" s="3"/>
      <c r="J99" s="22">
        <f t="shared" si="59"/>
        <v>4.6319893371770428E-3</v>
      </c>
      <c r="K99" s="3"/>
      <c r="L99" s="3">
        <f t="shared" si="60"/>
        <v>155.77999999999997</v>
      </c>
      <c r="M99" s="3"/>
      <c r="N99" s="22">
        <f t="shared" si="61"/>
        <v>0.36502952479145179</v>
      </c>
      <c r="O99" s="11"/>
      <c r="P99" s="3">
        <f>--582.54</f>
        <v>582.54</v>
      </c>
      <c r="Q99" s="3"/>
      <c r="R99" s="22">
        <f t="shared" si="62"/>
        <v>1.2126508371608139E-2</v>
      </c>
      <c r="S99" s="3"/>
      <c r="T99" s="3">
        <f>--426.76</f>
        <v>426.76</v>
      </c>
      <c r="U99" s="3"/>
      <c r="V99" s="22">
        <f t="shared" si="63"/>
        <v>4.6319893371770428E-3</v>
      </c>
      <c r="W99" s="3"/>
      <c r="X99" s="3">
        <f t="shared" si="64"/>
        <v>155.77999999999997</v>
      </c>
      <c r="Y99" s="3"/>
      <c r="Z99" s="22">
        <f t="shared" si="65"/>
        <v>0.36502952479145179</v>
      </c>
    </row>
    <row r="100" spans="1:26" s="24" customFormat="1" hidden="1" outlineLevel="1" x14ac:dyDescent="0.25">
      <c r="A100" s="50"/>
      <c r="B100" s="11" t="str">
        <f>CONCATENATE("          ", "9152", " - ", "MISC. INCOME")</f>
        <v xml:space="preserve">          9152 - MISC. INCOME</v>
      </c>
      <c r="C100" s="11"/>
      <c r="D100" s="3">
        <f>--1474.39</f>
        <v>1474.39</v>
      </c>
      <c r="E100" s="3"/>
      <c r="F100" s="22">
        <f t="shared" si="58"/>
        <v>3.0691802585256511E-2</v>
      </c>
      <c r="G100" s="3"/>
      <c r="H100" s="3">
        <f>0</f>
        <v>0</v>
      </c>
      <c r="I100" s="3"/>
      <c r="J100" s="22">
        <f t="shared" si="59"/>
        <v>0</v>
      </c>
      <c r="K100" s="3"/>
      <c r="L100" s="3">
        <f t="shared" si="60"/>
        <v>1474.39</v>
      </c>
      <c r="M100" s="3"/>
      <c r="N100" s="22">
        <f t="shared" si="61"/>
        <v>0</v>
      </c>
      <c r="O100" s="11"/>
      <c r="P100" s="3">
        <f>--1474.39</f>
        <v>1474.39</v>
      </c>
      <c r="Q100" s="3"/>
      <c r="R100" s="22">
        <f t="shared" si="62"/>
        <v>3.0691802585256511E-2</v>
      </c>
      <c r="S100" s="3"/>
      <c r="T100" s="3">
        <f>0</f>
        <v>0</v>
      </c>
      <c r="U100" s="3"/>
      <c r="V100" s="22">
        <f t="shared" si="63"/>
        <v>0</v>
      </c>
      <c r="W100" s="3"/>
      <c r="X100" s="3">
        <f t="shared" si="64"/>
        <v>1474.39</v>
      </c>
      <c r="Y100" s="3"/>
      <c r="Z100" s="22">
        <f t="shared" si="65"/>
        <v>0</v>
      </c>
    </row>
    <row r="101" spans="1:26" x14ac:dyDescent="0.25">
      <c r="A101" s="9"/>
      <c r="B101" s="10"/>
      <c r="C101" s="10"/>
      <c r="D101" s="2"/>
      <c r="E101" s="2"/>
      <c r="F101" s="6"/>
      <c r="G101" s="2"/>
      <c r="H101" s="2"/>
      <c r="I101" s="2"/>
      <c r="J101" s="6"/>
      <c r="K101" s="2"/>
      <c r="L101" s="2"/>
      <c r="M101" s="2"/>
      <c r="N101" s="6"/>
      <c r="O101" s="10"/>
      <c r="P101" s="2"/>
      <c r="Q101" s="2"/>
      <c r="R101" s="6"/>
      <c r="S101" s="2"/>
      <c r="T101" s="2"/>
      <c r="U101" s="2"/>
      <c r="V101" s="6"/>
      <c r="W101" s="2"/>
      <c r="X101" s="2"/>
      <c r="Y101" s="2"/>
      <c r="Z101" s="6"/>
    </row>
    <row r="102" spans="1:26" s="23" customFormat="1" x14ac:dyDescent="0.25">
      <c r="A102" s="10"/>
      <c r="B102" s="26" t="s">
        <v>3</v>
      </c>
      <c r="C102" s="26"/>
      <c r="D102" s="19">
        <f>+D49-D51+D98</f>
        <v>-20865.900000000038</v>
      </c>
      <c r="E102" s="13"/>
      <c r="F102" s="20">
        <f>IF(D$12=0,0,D102/D$12)</f>
        <v>-0.4343573162892484</v>
      </c>
      <c r="G102" s="13"/>
      <c r="H102" s="19">
        <f>+H49-H51+H98</f>
        <v>-26422.449999999979</v>
      </c>
      <c r="I102" s="13"/>
      <c r="J102" s="20">
        <f>IF(H$12=0,0,H102/H$12)</f>
        <v>-0.28678532819873809</v>
      </c>
      <c r="K102" s="16"/>
      <c r="L102" s="19">
        <f>+D102-H102</f>
        <v>5556.5499999999411</v>
      </c>
      <c r="M102" s="16"/>
      <c r="N102" s="20">
        <f>IF(H102=0,0,L102/H102)</f>
        <v>-0.21029654706508841</v>
      </c>
      <c r="O102" s="25"/>
      <c r="P102" s="19">
        <f>+P49-P51+P98</f>
        <v>-20865.900000000038</v>
      </c>
      <c r="Q102" s="13"/>
      <c r="R102" s="20">
        <f>IF(P$12=0,0,P102/P$12)</f>
        <v>-0.4343573162892484</v>
      </c>
      <c r="S102" s="13"/>
      <c r="T102" s="19">
        <f>+T49-T51+T98</f>
        <v>-26422.449999999979</v>
      </c>
      <c r="U102" s="13"/>
      <c r="V102" s="20">
        <f>IF(T$12=0,0,T102/T$12)</f>
        <v>-0.28678532819873809</v>
      </c>
      <c r="W102" s="16"/>
      <c r="X102" s="19">
        <f>+P102-T102</f>
        <v>5556.5499999999411</v>
      </c>
      <c r="Y102" s="16"/>
      <c r="Z102" s="20">
        <f>IF(T102=0,0,X102/T102)</f>
        <v>-0.21029654706508841</v>
      </c>
    </row>
    <row r="103" spans="1:26" x14ac:dyDescent="0.25">
      <c r="A103" s="9"/>
      <c r="B103" s="10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x14ac:dyDescent="0.25">
      <c r="A104" s="51"/>
      <c r="B104" s="10" t="s">
        <v>13</v>
      </c>
      <c r="C104" s="10"/>
      <c r="D104" s="4">
        <v>23474.36</v>
      </c>
      <c r="E104" s="4"/>
      <c r="F104" s="12">
        <f>IF(D$12=0,0,D104/D$12)</f>
        <v>0.48865661252127451</v>
      </c>
      <c r="G104" s="4"/>
      <c r="H104" s="4">
        <v>19157.21</v>
      </c>
      <c r="I104" s="4"/>
      <c r="J104" s="12">
        <f>IF(H$12=0,0,H104/H$12)</f>
        <v>0.20792949772720362</v>
      </c>
      <c r="K104" s="4"/>
      <c r="L104" s="4">
        <f>+D104-H104</f>
        <v>4317.1500000000015</v>
      </c>
      <c r="M104" s="4"/>
      <c r="N104" s="12">
        <f>IF(H104=0,0,L104/H104)</f>
        <v>0.22535379629914803</v>
      </c>
      <c r="O104" s="10"/>
      <c r="P104" s="4">
        <v>23474.36</v>
      </c>
      <c r="Q104" s="4"/>
      <c r="R104" s="12">
        <f>IF(P$12=0,0,P104/P$12)</f>
        <v>0.48865661252127451</v>
      </c>
      <c r="S104" s="4"/>
      <c r="T104" s="4">
        <v>19157.21</v>
      </c>
      <c r="U104" s="4"/>
      <c r="V104" s="12">
        <f>IF(T$12=0,0,T104/T$12)</f>
        <v>0.20792949772720362</v>
      </c>
      <c r="W104" s="4"/>
      <c r="X104" s="4">
        <f>+P104-T104</f>
        <v>4317.1500000000015</v>
      </c>
      <c r="Y104" s="4"/>
      <c r="Z104" s="12">
        <f>IF(T104=0,0,X104/T104)</f>
        <v>0.22535379629914803</v>
      </c>
    </row>
    <row r="105" spans="1:26" x14ac:dyDescent="0.25">
      <c r="A105" s="9"/>
      <c r="B105" s="10"/>
      <c r="C105" s="10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O105" s="10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s="23" customFormat="1" ht="15.75" thickBot="1" x14ac:dyDescent="0.3">
      <c r="A106" s="10"/>
      <c r="B106" s="26" t="s">
        <v>4</v>
      </c>
      <c r="C106" s="26"/>
      <c r="D106" s="35">
        <f>+D102-D104</f>
        <v>-44340.260000000038</v>
      </c>
      <c r="E106" s="13"/>
      <c r="F106" s="30">
        <f>IF(D$12=0,0,D106/D$12)</f>
        <v>-0.92301392881052291</v>
      </c>
      <c r="G106" s="13"/>
      <c r="H106" s="35">
        <f>+H102-H104</f>
        <v>-45579.659999999974</v>
      </c>
      <c r="I106" s="13"/>
      <c r="J106" s="30">
        <f>IF(H$12=0,0,H106/H$12)</f>
        <v>-0.49471482592594168</v>
      </c>
      <c r="K106" s="16"/>
      <c r="L106" s="35">
        <f>D106-H106</f>
        <v>1239.399999999936</v>
      </c>
      <c r="M106" s="16"/>
      <c r="N106" s="30">
        <f>IF(H106=0,0,L106/H106)</f>
        <v>-2.7191953603864897E-2</v>
      </c>
      <c r="O106" s="25"/>
      <c r="P106" s="35">
        <f>+P102-P104</f>
        <v>-44340.260000000038</v>
      </c>
      <c r="Q106" s="13"/>
      <c r="R106" s="30">
        <f>IF(P$12=0,0,P106/P$12)</f>
        <v>-0.92301392881052291</v>
      </c>
      <c r="S106" s="13"/>
      <c r="T106" s="35">
        <f>+T102-T104</f>
        <v>-45579.659999999974</v>
      </c>
      <c r="U106" s="13"/>
      <c r="V106" s="30">
        <f>IF(T$12=0,0,T106/T$12)</f>
        <v>-0.49471482592594168</v>
      </c>
      <c r="W106" s="16"/>
      <c r="X106" s="35">
        <f>P106-T106</f>
        <v>1239.399999999936</v>
      </c>
      <c r="Y106" s="16"/>
      <c r="Z106" s="30">
        <f>IF(T106=0,0,X106/T106)</f>
        <v>-2.7191953603864897E-2</v>
      </c>
    </row>
    <row r="107" spans="1:26" ht="15.75" thickTop="1" x14ac:dyDescent="0.25">
      <c r="A107" s="9"/>
      <c r="B107" s="9"/>
      <c r="C107" s="9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x14ac:dyDescent="0.25">
      <c r="A108" s="9"/>
      <c r="B108" s="9"/>
      <c r="C108" s="9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3" customFormat="1" ht="15.75" thickBot="1" x14ac:dyDescent="0.3">
      <c r="A109" s="10"/>
      <c r="B109" s="26" t="s">
        <v>5</v>
      </c>
      <c r="C109" s="26"/>
      <c r="D109" s="31">
        <f>SUM(D106:D108)</f>
        <v>-44340.260000000038</v>
      </c>
      <c r="E109" s="13"/>
      <c r="F109" s="32">
        <f>IF(D$12=0,0,D109/D$12)</f>
        <v>-0.92301392881052291</v>
      </c>
      <c r="G109" s="13"/>
      <c r="H109" s="31">
        <f>SUM(H106:H108)</f>
        <v>-45579.659999999974</v>
      </c>
      <c r="I109" s="13"/>
      <c r="J109" s="32">
        <f>IF(H$12=0,0,H109/H$12)</f>
        <v>-0.49471482592594168</v>
      </c>
      <c r="K109" s="16"/>
      <c r="L109" s="31">
        <f>+D109-H109</f>
        <v>1239.399999999936</v>
      </c>
      <c r="M109" s="16"/>
      <c r="N109" s="32">
        <f>IF(H109=0,0,L109/H109)</f>
        <v>-2.7191953603864897E-2</v>
      </c>
      <c r="O109" s="25"/>
      <c r="P109" s="31">
        <f>SUM(P106:P108)</f>
        <v>-44340.260000000038</v>
      </c>
      <c r="Q109" s="13"/>
      <c r="R109" s="32">
        <f>IF(P$12=0,0,P109/P$12)</f>
        <v>-0.92301392881052291</v>
      </c>
      <c r="S109" s="13"/>
      <c r="T109" s="31">
        <f>SUM(T106:T108)</f>
        <v>-45579.659999999974</v>
      </c>
      <c r="U109" s="13"/>
      <c r="V109" s="32">
        <f>IF(T$12=0,0,T109/T$12)</f>
        <v>-0.49471482592594168</v>
      </c>
      <c r="W109" s="16"/>
      <c r="X109" s="31">
        <f>+P109-T109</f>
        <v>1239.399999999936</v>
      </c>
      <c r="Y109" s="16"/>
      <c r="Z109" s="32">
        <f>IF(T109=0,0,X109/T109)</f>
        <v>-2.7191953603864897E-2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9">
        <v>44109.413696527779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2" t="s">
        <v>313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6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40738.920000000006</v>
      </c>
      <c r="E12" s="4"/>
      <c r="F12" s="12"/>
      <c r="G12" s="4"/>
      <c r="H12" s="4">
        <f>SUM(OSRRefH13x_0)</f>
        <v>77536.040000000023</v>
      </c>
      <c r="I12" s="4"/>
      <c r="J12" s="12"/>
      <c r="K12" s="4"/>
      <c r="L12" s="4">
        <f t="shared" ref="L12:L32" si="0">+D12-H12</f>
        <v>-36797.120000000017</v>
      </c>
      <c r="M12" s="4"/>
      <c r="N12" s="12">
        <f t="shared" ref="N12:N32" si="1">IF(H12=0,0,L12/H12)</f>
        <v>-0.47458085298140074</v>
      </c>
      <c r="O12" s="10"/>
      <c r="P12" s="4">
        <f>SUM(OSRRefP13x_0)</f>
        <v>40738.920000000006</v>
      </c>
      <c r="Q12" s="4"/>
      <c r="R12" s="12"/>
      <c r="S12" s="4"/>
      <c r="T12" s="4">
        <f>SUM(OSRRefT13x_0)</f>
        <v>77536.040000000023</v>
      </c>
      <c r="U12" s="4"/>
      <c r="V12" s="12"/>
      <c r="W12" s="4"/>
      <c r="X12" s="4">
        <f t="shared" ref="X12:X32" si="2">+P12-T12</f>
        <v>-36797.120000000017</v>
      </c>
      <c r="Y12" s="4"/>
      <c r="Z12" s="12">
        <f t="shared" ref="Z12:Z32" si="3">IF(T12=0,0,X12/T12)</f>
        <v>-0.47458085298140074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-770.07</f>
        <v>-770.07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-770.07</v>
      </c>
      <c r="M13" s="3"/>
      <c r="N13" s="22">
        <f t="shared" si="1"/>
        <v>0</v>
      </c>
      <c r="O13" s="11"/>
      <c r="P13" s="3">
        <f>-770.07</f>
        <v>-770.07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-770.07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"4001", " - ", "TAXABLE SALES-NEW TEXT")</f>
        <v xml:space="preserve">          4001 - TAXABLE SALES-NEW TEXT</v>
      </c>
      <c r="C14" s="11"/>
      <c r="D14" s="3">
        <f>--10034.9</f>
        <v>10034.9</v>
      </c>
      <c r="E14" s="3"/>
      <c r="F14" s="22"/>
      <c r="G14" s="3"/>
      <c r="H14" s="3">
        <f>--33938.15</f>
        <v>33938.15</v>
      </c>
      <c r="I14" s="3"/>
      <c r="J14" s="22"/>
      <c r="K14" s="3"/>
      <c r="L14" s="3">
        <f t="shared" si="0"/>
        <v>-23903.25</v>
      </c>
      <c r="M14" s="3"/>
      <c r="N14" s="22">
        <f t="shared" si="1"/>
        <v>-0.7043180020124844</v>
      </c>
      <c r="O14" s="11"/>
      <c r="P14" s="3">
        <f>--10034.9</f>
        <v>10034.9</v>
      </c>
      <c r="Q14" s="3"/>
      <c r="R14" s="22"/>
      <c r="S14" s="3"/>
      <c r="T14" s="3">
        <f>--33938.15</f>
        <v>33938.15</v>
      </c>
      <c r="U14" s="3"/>
      <c r="V14" s="22"/>
      <c r="W14" s="3"/>
      <c r="X14" s="3">
        <f t="shared" si="2"/>
        <v>-23903.25</v>
      </c>
      <c r="Y14" s="3"/>
      <c r="Z14" s="22">
        <f t="shared" si="3"/>
        <v>-0.7043180020124844</v>
      </c>
    </row>
    <row r="15" spans="1:26" s="24" customFormat="1" hidden="1" outlineLevel="1" x14ac:dyDescent="0.25">
      <c r="A15" s="50"/>
      <c r="B15" s="11" t="str">
        <f>CONCATENATE("          ", "4002", " - ", "TAXABLE SALES-USED TEXT")</f>
        <v xml:space="preserve">          4002 - TAXABLE SALES-USED TEXT</v>
      </c>
      <c r="C15" s="11"/>
      <c r="D15" s="3">
        <f>--10680.95</f>
        <v>10680.95</v>
      </c>
      <c r="E15" s="3"/>
      <c r="F15" s="22"/>
      <c r="G15" s="3"/>
      <c r="H15" s="3">
        <f>--13833.95</f>
        <v>13833.95</v>
      </c>
      <c r="I15" s="3"/>
      <c r="J15" s="22"/>
      <c r="K15" s="3"/>
      <c r="L15" s="3">
        <f t="shared" si="0"/>
        <v>-3153</v>
      </c>
      <c r="M15" s="3"/>
      <c r="N15" s="22">
        <f t="shared" si="1"/>
        <v>-0.22791755066340416</v>
      </c>
      <c r="O15" s="11"/>
      <c r="P15" s="3">
        <f>--10680.95</f>
        <v>10680.95</v>
      </c>
      <c r="Q15" s="3"/>
      <c r="R15" s="22"/>
      <c r="S15" s="3"/>
      <c r="T15" s="3">
        <f>--13833.95</f>
        <v>13833.95</v>
      </c>
      <c r="U15" s="3"/>
      <c r="V15" s="22"/>
      <c r="W15" s="3"/>
      <c r="X15" s="3">
        <f t="shared" si="2"/>
        <v>-3153</v>
      </c>
      <c r="Y15" s="3"/>
      <c r="Z15" s="22">
        <f t="shared" si="3"/>
        <v>-0.22791755066340416</v>
      </c>
    </row>
    <row r="16" spans="1:26" s="24" customFormat="1" hidden="1" outlineLevel="1" x14ac:dyDescent="0.25">
      <c r="A16" s="50"/>
      <c r="B16" s="11" t="str">
        <f>CONCATENATE("          ", "4003", " - ", "TAXABLE SALES-RENTAL TEXT")</f>
        <v xml:space="preserve">          4003 - TAXABLE SALES-RENTAL TEXT</v>
      </c>
      <c r="C16" s="11"/>
      <c r="D16" s="3">
        <f t="shared" ref="D16:D18" si="4">0</f>
        <v>0</v>
      </c>
      <c r="E16" s="3"/>
      <c r="F16" s="22"/>
      <c r="G16" s="3"/>
      <c r="H16" s="3">
        <f>--433.98</f>
        <v>433.98</v>
      </c>
      <c r="I16" s="3"/>
      <c r="J16" s="22"/>
      <c r="K16" s="3"/>
      <c r="L16" s="3">
        <f t="shared" si="0"/>
        <v>-433.98</v>
      </c>
      <c r="M16" s="3"/>
      <c r="N16" s="22">
        <f t="shared" si="1"/>
        <v>-1</v>
      </c>
      <c r="O16" s="11"/>
      <c r="P16" s="3">
        <f t="shared" ref="P16:P18" si="5">0</f>
        <v>0</v>
      </c>
      <c r="Q16" s="3"/>
      <c r="R16" s="22"/>
      <c r="S16" s="3"/>
      <c r="T16" s="3">
        <f>--433.98</f>
        <v>433.98</v>
      </c>
      <c r="U16" s="3"/>
      <c r="V16" s="22"/>
      <c r="W16" s="3"/>
      <c r="X16" s="3">
        <f t="shared" si="2"/>
        <v>-433.98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"4004", " - ", "TAXABLE SALES-DIGITAL TEXT")</f>
        <v xml:space="preserve">          4004 - TAXABLE SALES-DIGITAL TEXT</v>
      </c>
      <c r="C17" s="11"/>
      <c r="D17" s="3">
        <f t="shared" si="4"/>
        <v>0</v>
      </c>
      <c r="E17" s="3"/>
      <c r="F17" s="22"/>
      <c r="G17" s="3"/>
      <c r="H17" s="3">
        <f>--133.35</f>
        <v>133.35</v>
      </c>
      <c r="I17" s="3"/>
      <c r="J17" s="22"/>
      <c r="K17" s="3"/>
      <c r="L17" s="3">
        <f t="shared" si="0"/>
        <v>-133.35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--133.35</f>
        <v>133.35</v>
      </c>
      <c r="U17" s="3"/>
      <c r="V17" s="22"/>
      <c r="W17" s="3"/>
      <c r="X17" s="3">
        <f t="shared" si="2"/>
        <v>-133.35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"4013", " - ", "TAXABLE SALES-TRADE BOOKS")</f>
        <v xml:space="preserve">          4013 - TAXABLE SALES-TRADE BOOKS</v>
      </c>
      <c r="C18" s="11"/>
      <c r="D18" s="3">
        <f t="shared" si="4"/>
        <v>0</v>
      </c>
      <c r="E18" s="3"/>
      <c r="F18" s="22"/>
      <c r="G18" s="3"/>
      <c r="H18" s="3">
        <f>--39.95</f>
        <v>39.950000000000003</v>
      </c>
      <c r="I18" s="3"/>
      <c r="J18" s="22"/>
      <c r="K18" s="3"/>
      <c r="L18" s="3">
        <f t="shared" si="0"/>
        <v>-39.950000000000003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--39.95</f>
        <v>39.950000000000003</v>
      </c>
      <c r="U18" s="3"/>
      <c r="V18" s="22"/>
      <c r="W18" s="3"/>
      <c r="X18" s="3">
        <f t="shared" si="2"/>
        <v>-39.950000000000003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"4014", " - ", "TAXABLE SALES-REMAINDERS")</f>
        <v xml:space="preserve">          4014 - TAXABLE SALES-REMAINDERS</v>
      </c>
      <c r="C19" s="11"/>
      <c r="D19" s="3">
        <f>--31.84</f>
        <v>31.84</v>
      </c>
      <c r="E19" s="3"/>
      <c r="F19" s="22"/>
      <c r="G19" s="3"/>
      <c r="H19" s="3">
        <f>--250.65</f>
        <v>250.65</v>
      </c>
      <c r="I19" s="3"/>
      <c r="J19" s="22"/>
      <c r="K19" s="3"/>
      <c r="L19" s="3">
        <f t="shared" si="0"/>
        <v>-218.81</v>
      </c>
      <c r="M19" s="3"/>
      <c r="N19" s="22">
        <f t="shared" si="1"/>
        <v>-0.87297027727907439</v>
      </c>
      <c r="O19" s="11"/>
      <c r="P19" s="3">
        <f>--31.84</f>
        <v>31.84</v>
      </c>
      <c r="Q19" s="3"/>
      <c r="R19" s="22"/>
      <c r="S19" s="3"/>
      <c r="T19" s="3">
        <f>--250.65</f>
        <v>250.65</v>
      </c>
      <c r="U19" s="3"/>
      <c r="V19" s="22"/>
      <c r="W19" s="3"/>
      <c r="X19" s="3">
        <f t="shared" si="2"/>
        <v>-218.81</v>
      </c>
      <c r="Y19" s="3"/>
      <c r="Z19" s="22">
        <f t="shared" si="3"/>
        <v>-0.87297027727907439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3">
        <f>--16.99</f>
        <v>16.989999999999998</v>
      </c>
      <c r="E20" s="3"/>
      <c r="F20" s="22"/>
      <c r="G20" s="3"/>
      <c r="H20" s="3">
        <f>--179.29</f>
        <v>179.29</v>
      </c>
      <c r="I20" s="3"/>
      <c r="J20" s="22"/>
      <c r="K20" s="3"/>
      <c r="L20" s="3">
        <f t="shared" si="0"/>
        <v>-162.29999999999998</v>
      </c>
      <c r="M20" s="3"/>
      <c r="N20" s="22">
        <f t="shared" si="1"/>
        <v>-0.90523732500418308</v>
      </c>
      <c r="O20" s="11"/>
      <c r="P20" s="3">
        <f>--16.99</f>
        <v>16.989999999999998</v>
      </c>
      <c r="Q20" s="3"/>
      <c r="R20" s="22"/>
      <c r="S20" s="3"/>
      <c r="T20" s="3">
        <f>--179.29</f>
        <v>179.29</v>
      </c>
      <c r="U20" s="3"/>
      <c r="V20" s="22"/>
      <c r="W20" s="3"/>
      <c r="X20" s="3">
        <f t="shared" si="2"/>
        <v>-162.29999999999998</v>
      </c>
      <c r="Y20" s="3"/>
      <c r="Z20" s="22">
        <f t="shared" si="3"/>
        <v>-0.90523732500418308</v>
      </c>
    </row>
    <row r="21" spans="1:26" s="24" customFormat="1" hidden="1" outlineLevel="1" x14ac:dyDescent="0.25">
      <c r="A21" s="50"/>
      <c r="B21" s="11" t="str">
        <f>CONCATENATE("          ", "4101", " - ", "NON-TAXABLE SALES-NEW TEXT")</f>
        <v xml:space="preserve">          4101 - NON-TAXABLE SALES-NEW TEXT</v>
      </c>
      <c r="C21" s="11"/>
      <c r="D21" s="3">
        <f>--10341.86</f>
        <v>10341.86</v>
      </c>
      <c r="E21" s="3"/>
      <c r="F21" s="22"/>
      <c r="G21" s="3"/>
      <c r="H21" s="3">
        <f>--7736.58</f>
        <v>7736.58</v>
      </c>
      <c r="I21" s="3"/>
      <c r="J21" s="22"/>
      <c r="K21" s="3"/>
      <c r="L21" s="3">
        <f t="shared" si="0"/>
        <v>2605.2800000000007</v>
      </c>
      <c r="M21" s="3"/>
      <c r="N21" s="22">
        <f t="shared" si="1"/>
        <v>0.33674827895530074</v>
      </c>
      <c r="O21" s="11"/>
      <c r="P21" s="3">
        <f>--10341.86</f>
        <v>10341.86</v>
      </c>
      <c r="Q21" s="3"/>
      <c r="R21" s="22"/>
      <c r="S21" s="3"/>
      <c r="T21" s="3">
        <f>--7736.58</f>
        <v>7736.58</v>
      </c>
      <c r="U21" s="3"/>
      <c r="V21" s="22"/>
      <c r="W21" s="3"/>
      <c r="X21" s="3">
        <f t="shared" si="2"/>
        <v>2605.2800000000007</v>
      </c>
      <c r="Y21" s="3"/>
      <c r="Z21" s="22">
        <f t="shared" si="3"/>
        <v>0.33674827895530074</v>
      </c>
    </row>
    <row r="22" spans="1:26" s="24" customFormat="1" hidden="1" outlineLevel="1" x14ac:dyDescent="0.25">
      <c r="A22" s="50"/>
      <c r="B22" s="11" t="str">
        <f>CONCATENATE("          ", "4102", " - ", "NON-TAXABLE SALES-USED TEXT")</f>
        <v xml:space="preserve">          4102 - NON-TAXABLE SALES-USED TEXT</v>
      </c>
      <c r="C22" s="11"/>
      <c r="D22" s="3">
        <f>--4190.44</f>
        <v>4190.4399999999996</v>
      </c>
      <c r="E22" s="3"/>
      <c r="F22" s="22"/>
      <c r="G22" s="3"/>
      <c r="H22" s="3">
        <f>--5359.24</f>
        <v>5359.24</v>
      </c>
      <c r="I22" s="3"/>
      <c r="J22" s="22"/>
      <c r="K22" s="3"/>
      <c r="L22" s="3">
        <f t="shared" si="0"/>
        <v>-1168.8000000000002</v>
      </c>
      <c r="M22" s="3"/>
      <c r="N22" s="22">
        <f t="shared" si="1"/>
        <v>-0.2180906247900822</v>
      </c>
      <c r="O22" s="11"/>
      <c r="P22" s="3">
        <f>--4190.44</f>
        <v>4190.4399999999996</v>
      </c>
      <c r="Q22" s="3"/>
      <c r="R22" s="22"/>
      <c r="S22" s="3"/>
      <c r="T22" s="3">
        <f>--5359.24</f>
        <v>5359.24</v>
      </c>
      <c r="U22" s="3"/>
      <c r="V22" s="22"/>
      <c r="W22" s="3"/>
      <c r="X22" s="3">
        <f t="shared" si="2"/>
        <v>-1168.8000000000002</v>
      </c>
      <c r="Y22" s="3"/>
      <c r="Z22" s="22">
        <f t="shared" si="3"/>
        <v>-0.2180906247900822</v>
      </c>
    </row>
    <row r="23" spans="1:26" s="24" customFormat="1" hidden="1" outlineLevel="1" x14ac:dyDescent="0.25">
      <c r="A23" s="50"/>
      <c r="B23" s="11" t="str">
        <f>CONCATENATE("          ", "4104", " - ", "NON-TAXABLE SALES-DIGITAL TEXT")</f>
        <v xml:space="preserve">          4104 - NON-TAXABLE SALES-DIGITAL TEXT</v>
      </c>
      <c r="C23" s="11"/>
      <c r="D23" s="3">
        <f>--7485.52</f>
        <v>7485.52</v>
      </c>
      <c r="E23" s="3"/>
      <c r="F23" s="22"/>
      <c r="G23" s="3"/>
      <c r="H23" s="3">
        <f>--13424.17</f>
        <v>13424.17</v>
      </c>
      <c r="I23" s="3"/>
      <c r="J23" s="22"/>
      <c r="K23" s="3"/>
      <c r="L23" s="3">
        <f t="shared" si="0"/>
        <v>-5938.65</v>
      </c>
      <c r="M23" s="3"/>
      <c r="N23" s="22">
        <f t="shared" si="1"/>
        <v>-0.44238489232481409</v>
      </c>
      <c r="O23" s="11"/>
      <c r="P23" s="3">
        <f>--7485.52</f>
        <v>7485.52</v>
      </c>
      <c r="Q23" s="3"/>
      <c r="R23" s="22"/>
      <c r="S23" s="3"/>
      <c r="T23" s="3">
        <f>--13424.17</f>
        <v>13424.17</v>
      </c>
      <c r="U23" s="3"/>
      <c r="V23" s="22"/>
      <c r="W23" s="3"/>
      <c r="X23" s="3">
        <f t="shared" si="2"/>
        <v>-5938.65</v>
      </c>
      <c r="Y23" s="3"/>
      <c r="Z23" s="22">
        <f t="shared" si="3"/>
        <v>-0.44238489232481409</v>
      </c>
    </row>
    <row r="24" spans="1:26" s="24" customFormat="1" hidden="1" outlineLevel="1" x14ac:dyDescent="0.25">
      <c r="A24" s="50"/>
      <c r="B24" s="11" t="str">
        <f>CONCATENATE("          ", "4111", " - ", "NON-TAXABLE SALES-NO VALUE TEX")</f>
        <v xml:space="preserve">          4111 - NON-TAXABLE SALES-NO VALUE TEX</v>
      </c>
      <c r="C24" s="11"/>
      <c r="D24" s="3">
        <f t="shared" ref="D24:D25" si="6">0</f>
        <v>0</v>
      </c>
      <c r="E24" s="3"/>
      <c r="F24" s="22"/>
      <c r="G24" s="3"/>
      <c r="H24" s="3">
        <f>--2680.95</f>
        <v>2680.95</v>
      </c>
      <c r="I24" s="3"/>
      <c r="J24" s="22"/>
      <c r="K24" s="3"/>
      <c r="L24" s="3">
        <f t="shared" si="0"/>
        <v>-2680.95</v>
      </c>
      <c r="M24" s="3"/>
      <c r="N24" s="22">
        <f t="shared" si="1"/>
        <v>-1</v>
      </c>
      <c r="O24" s="11"/>
      <c r="P24" s="3">
        <f t="shared" ref="P24:P25" si="7">0</f>
        <v>0</v>
      </c>
      <c r="Q24" s="3"/>
      <c r="R24" s="22"/>
      <c r="S24" s="3"/>
      <c r="T24" s="3">
        <f>--2680.95</f>
        <v>2680.95</v>
      </c>
      <c r="U24" s="3"/>
      <c r="V24" s="22"/>
      <c r="W24" s="3"/>
      <c r="X24" s="3">
        <f t="shared" si="2"/>
        <v>-2680.95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"4113", " - ", "NON-TAXABLE SALES-TRADE BOOKS")</f>
        <v xml:space="preserve">          4113 - NON-TAXABLE SALES-TRADE BOOKS</v>
      </c>
      <c r="C25" s="11"/>
      <c r="D25" s="3">
        <f t="shared" si="6"/>
        <v>0</v>
      </c>
      <c r="E25" s="3"/>
      <c r="F25" s="22"/>
      <c r="G25" s="3"/>
      <c r="H25" s="3">
        <f>--1134</f>
        <v>1134</v>
      </c>
      <c r="I25" s="3"/>
      <c r="J25" s="22"/>
      <c r="K25" s="3"/>
      <c r="L25" s="3">
        <f t="shared" si="0"/>
        <v>-1134</v>
      </c>
      <c r="M25" s="3"/>
      <c r="N25" s="22">
        <f t="shared" si="1"/>
        <v>-1</v>
      </c>
      <c r="O25" s="11"/>
      <c r="P25" s="3">
        <f t="shared" si="7"/>
        <v>0</v>
      </c>
      <c r="Q25" s="3"/>
      <c r="R25" s="22"/>
      <c r="S25" s="3"/>
      <c r="T25" s="3">
        <f>--1134</f>
        <v>1134</v>
      </c>
      <c r="U25" s="3"/>
      <c r="V25" s="22"/>
      <c r="W25" s="3"/>
      <c r="X25" s="3">
        <f t="shared" si="2"/>
        <v>-1134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"4118", " - ", "NON-TAXABLE SALES-STUDY GUIDES")</f>
        <v xml:space="preserve">          4118 - NON-TAXABLE SALES-STUDY GUIDES</v>
      </c>
      <c r="C26" s="11"/>
      <c r="D26" s="3">
        <f>--53.96</f>
        <v>53.96</v>
      </c>
      <c r="E26" s="3"/>
      <c r="F26" s="22"/>
      <c r="G26" s="3"/>
      <c r="H26" s="3">
        <f>--6.95</f>
        <v>6.95</v>
      </c>
      <c r="I26" s="3"/>
      <c r="J26" s="22"/>
      <c r="K26" s="3"/>
      <c r="L26" s="3">
        <f t="shared" si="0"/>
        <v>47.01</v>
      </c>
      <c r="M26" s="3"/>
      <c r="N26" s="22">
        <f t="shared" si="1"/>
        <v>6.7640287769784164</v>
      </c>
      <c r="O26" s="11"/>
      <c r="P26" s="3">
        <f>--53.96</f>
        <v>53.96</v>
      </c>
      <c r="Q26" s="3"/>
      <c r="R26" s="22"/>
      <c r="S26" s="3"/>
      <c r="T26" s="3">
        <f>--6.95</f>
        <v>6.95</v>
      </c>
      <c r="U26" s="3"/>
      <c r="V26" s="22"/>
      <c r="W26" s="3"/>
      <c r="X26" s="3">
        <f t="shared" si="2"/>
        <v>47.01</v>
      </c>
      <c r="Y26" s="3"/>
      <c r="Z26" s="22">
        <f t="shared" si="3"/>
        <v>6.7640287769784164</v>
      </c>
    </row>
    <row r="27" spans="1:26" s="24" customFormat="1" hidden="1" outlineLevel="1" x14ac:dyDescent="0.25">
      <c r="A27" s="50"/>
      <c r="B27" s="11" t="str">
        <f>CONCATENATE("          ", "4201", " - ", "SALES RETURN TAXABLE-NEW TEXT")</f>
        <v xml:space="preserve">          4201 - SALES RETURN TAXABLE-NEW TEXT</v>
      </c>
      <c r="C27" s="11"/>
      <c r="D27" s="3">
        <f>-633.4</f>
        <v>-633.4</v>
      </c>
      <c r="E27" s="3"/>
      <c r="F27" s="22"/>
      <c r="G27" s="3"/>
      <c r="H27" s="3">
        <f>-607.15</f>
        <v>-607.15</v>
      </c>
      <c r="I27" s="3"/>
      <c r="J27" s="22"/>
      <c r="K27" s="3"/>
      <c r="L27" s="3">
        <f t="shared" si="0"/>
        <v>-26.25</v>
      </c>
      <c r="M27" s="3"/>
      <c r="N27" s="22">
        <f t="shared" si="1"/>
        <v>4.3234785473112082E-2</v>
      </c>
      <c r="O27" s="11"/>
      <c r="P27" s="3">
        <f>-633.4</f>
        <v>-633.4</v>
      </c>
      <c r="Q27" s="3"/>
      <c r="R27" s="22"/>
      <c r="S27" s="3"/>
      <c r="T27" s="3">
        <f>-607.15</f>
        <v>-607.15</v>
      </c>
      <c r="U27" s="3"/>
      <c r="V27" s="22"/>
      <c r="W27" s="3"/>
      <c r="X27" s="3">
        <f t="shared" si="2"/>
        <v>-26.25</v>
      </c>
      <c r="Y27" s="3"/>
      <c r="Z27" s="22">
        <f t="shared" si="3"/>
        <v>4.3234785473112082E-2</v>
      </c>
    </row>
    <row r="28" spans="1:26" s="24" customFormat="1" hidden="1" outlineLevel="1" x14ac:dyDescent="0.25">
      <c r="A28" s="50"/>
      <c r="B28" s="11" t="str">
        <f>CONCATENATE("          ", "4202", " - ", "SALES RETURN TAXABLE-USED TEXT")</f>
        <v xml:space="preserve">          4202 - SALES RETURN TAXABLE-USED TEXT</v>
      </c>
      <c r="C28" s="11"/>
      <c r="D28" s="3">
        <f>-178.35</f>
        <v>-178.35</v>
      </c>
      <c r="E28" s="3"/>
      <c r="F28" s="22"/>
      <c r="G28" s="3"/>
      <c r="H28" s="3">
        <f>-721.45</f>
        <v>-721.45</v>
      </c>
      <c r="I28" s="3"/>
      <c r="J28" s="22"/>
      <c r="K28" s="3"/>
      <c r="L28" s="3">
        <f t="shared" si="0"/>
        <v>543.1</v>
      </c>
      <c r="M28" s="3"/>
      <c r="N28" s="22">
        <f t="shared" si="1"/>
        <v>-0.75278952110333353</v>
      </c>
      <c r="O28" s="11"/>
      <c r="P28" s="3">
        <f>-178.35</f>
        <v>-178.35</v>
      </c>
      <c r="Q28" s="3"/>
      <c r="R28" s="22"/>
      <c r="S28" s="3"/>
      <c r="T28" s="3">
        <f>-721.45</f>
        <v>-721.45</v>
      </c>
      <c r="U28" s="3"/>
      <c r="V28" s="22"/>
      <c r="W28" s="3"/>
      <c r="X28" s="3">
        <f t="shared" si="2"/>
        <v>543.1</v>
      </c>
      <c r="Y28" s="3"/>
      <c r="Z28" s="22">
        <f t="shared" si="3"/>
        <v>-0.75278952110333353</v>
      </c>
    </row>
    <row r="29" spans="1:26" s="24" customFormat="1" hidden="1" outlineLevel="1" x14ac:dyDescent="0.25">
      <c r="A29" s="50"/>
      <c r="B29" s="11" t="str">
        <f>CONCATENATE("          ", "4301", " - ", "SALES RETURN NON TAXABLE-NEW T")</f>
        <v xml:space="preserve">          4301 - SALES RETURN NON TAXABLE-NEW T</v>
      </c>
      <c r="C29" s="11"/>
      <c r="D29" s="3">
        <f>0</f>
        <v>0</v>
      </c>
      <c r="E29" s="3"/>
      <c r="F29" s="22"/>
      <c r="G29" s="3"/>
      <c r="H29" s="3">
        <f>-254.59</f>
        <v>-254.59</v>
      </c>
      <c r="I29" s="3"/>
      <c r="J29" s="22"/>
      <c r="K29" s="3"/>
      <c r="L29" s="3">
        <f t="shared" si="0"/>
        <v>254.59</v>
      </c>
      <c r="M29" s="3"/>
      <c r="N29" s="22">
        <f t="shared" si="1"/>
        <v>-1</v>
      </c>
      <c r="O29" s="11"/>
      <c r="P29" s="3">
        <f>0</f>
        <v>0</v>
      </c>
      <c r="Q29" s="3"/>
      <c r="R29" s="22"/>
      <c r="S29" s="3"/>
      <c r="T29" s="3">
        <f>-254.59</f>
        <v>-254.59</v>
      </c>
      <c r="U29" s="3"/>
      <c r="V29" s="22"/>
      <c r="W29" s="3"/>
      <c r="X29" s="3">
        <f t="shared" si="2"/>
        <v>254.59</v>
      </c>
      <c r="Y29" s="3"/>
      <c r="Z29" s="22">
        <f t="shared" si="3"/>
        <v>-1</v>
      </c>
    </row>
    <row r="30" spans="1:26" s="24" customFormat="1" hidden="1" outlineLevel="1" x14ac:dyDescent="0.25">
      <c r="A30" s="50"/>
      <c r="B30" s="11" t="str">
        <f>CONCATENATE("          ", "4302", " - ", "SALES RETURN NON TAXABLE-TEXT")</f>
        <v xml:space="preserve">          4302 - SALES RETURN NON TAXABLE-TEXT</v>
      </c>
      <c r="C30" s="11"/>
      <c r="D30" s="3">
        <f>-63.67</f>
        <v>-63.67</v>
      </c>
      <c r="E30" s="3"/>
      <c r="F30" s="22"/>
      <c r="G30" s="3"/>
      <c r="H30" s="3">
        <f t="shared" ref="H30:H31" si="8">0</f>
        <v>0</v>
      </c>
      <c r="I30" s="3"/>
      <c r="J30" s="22"/>
      <c r="K30" s="3"/>
      <c r="L30" s="3">
        <f t="shared" si="0"/>
        <v>-63.67</v>
      </c>
      <c r="M30" s="3"/>
      <c r="N30" s="22">
        <f t="shared" si="1"/>
        <v>0</v>
      </c>
      <c r="O30" s="11"/>
      <c r="P30" s="3">
        <f>-63.67</f>
        <v>-63.67</v>
      </c>
      <c r="Q30" s="3"/>
      <c r="R30" s="22"/>
      <c r="S30" s="3"/>
      <c r="T30" s="3">
        <f t="shared" ref="T30:T31" si="9">0</f>
        <v>0</v>
      </c>
      <c r="U30" s="3"/>
      <c r="V30" s="22"/>
      <c r="W30" s="3"/>
      <c r="X30" s="3">
        <f t="shared" si="2"/>
        <v>-63.67</v>
      </c>
      <c r="Y30" s="3"/>
      <c r="Z30" s="22">
        <f t="shared" si="3"/>
        <v>0</v>
      </c>
    </row>
    <row r="31" spans="1:26" s="24" customFormat="1" hidden="1" outlineLevel="1" x14ac:dyDescent="0.25">
      <c r="A31" s="50"/>
      <c r="B31" s="11" t="str">
        <f>CONCATENATE("          ", "4304", " - ", "SALES RETURN NON TAXABLE-DIGIT")</f>
        <v xml:space="preserve">          4304 - SALES RETURN NON TAXABLE-DIGIT</v>
      </c>
      <c r="C31" s="11"/>
      <c r="D31" s="3">
        <f>-452.05</f>
        <v>-452.05</v>
      </c>
      <c r="E31" s="3"/>
      <c r="F31" s="22"/>
      <c r="G31" s="3"/>
      <c r="H31" s="3">
        <f t="shared" si="8"/>
        <v>0</v>
      </c>
      <c r="I31" s="3"/>
      <c r="J31" s="22"/>
      <c r="K31" s="3"/>
      <c r="L31" s="3">
        <f t="shared" si="0"/>
        <v>-452.05</v>
      </c>
      <c r="M31" s="3"/>
      <c r="N31" s="22">
        <f t="shared" si="1"/>
        <v>0</v>
      </c>
      <c r="O31" s="11"/>
      <c r="P31" s="3">
        <f>-452.05</f>
        <v>-452.05</v>
      </c>
      <c r="Q31" s="3"/>
      <c r="R31" s="22"/>
      <c r="S31" s="3"/>
      <c r="T31" s="3">
        <f t="shared" si="9"/>
        <v>0</v>
      </c>
      <c r="U31" s="3"/>
      <c r="V31" s="22"/>
      <c r="W31" s="3"/>
      <c r="X31" s="3">
        <f t="shared" si="2"/>
        <v>-452.05</v>
      </c>
      <c r="Y31" s="3"/>
      <c r="Z31" s="22">
        <f t="shared" si="3"/>
        <v>0</v>
      </c>
    </row>
    <row r="32" spans="1:26" s="24" customFormat="1" hidden="1" outlineLevel="1" x14ac:dyDescent="0.25">
      <c r="A32" s="50"/>
      <c r="B32" s="11" t="str">
        <f>CONCATENATE("          ", "4311", " - ", "SALES RETURN NON TAXABLE-NO VA")</f>
        <v xml:space="preserve">          4311 - SALES RETURN NON TAXABLE-NO VA</v>
      </c>
      <c r="C32" s="11"/>
      <c r="D32" s="3">
        <f>0</f>
        <v>0</v>
      </c>
      <c r="E32" s="3"/>
      <c r="F32" s="22"/>
      <c r="G32" s="3"/>
      <c r="H32" s="3">
        <f>-31.98</f>
        <v>-31.98</v>
      </c>
      <c r="I32" s="3"/>
      <c r="J32" s="22"/>
      <c r="K32" s="3"/>
      <c r="L32" s="3">
        <f t="shared" si="0"/>
        <v>31.98</v>
      </c>
      <c r="M32" s="3"/>
      <c r="N32" s="22">
        <f t="shared" si="1"/>
        <v>-1</v>
      </c>
      <c r="O32" s="11"/>
      <c r="P32" s="3">
        <f>0</f>
        <v>0</v>
      </c>
      <c r="Q32" s="3"/>
      <c r="R32" s="22"/>
      <c r="S32" s="3"/>
      <c r="T32" s="3">
        <f>-31.98</f>
        <v>-31.98</v>
      </c>
      <c r="U32" s="3"/>
      <c r="V32" s="22"/>
      <c r="W32" s="3"/>
      <c r="X32" s="3">
        <f t="shared" si="2"/>
        <v>31.98</v>
      </c>
      <c r="Y32" s="3"/>
      <c r="Z32" s="22">
        <f t="shared" si="3"/>
        <v>-1</v>
      </c>
    </row>
    <row r="33" spans="1:26" x14ac:dyDescent="0.25">
      <c r="A33" s="9"/>
      <c r="B33" s="10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26088.000000000015</v>
      </c>
      <c r="E34" s="4"/>
      <c r="F34" s="12">
        <f t="shared" ref="F34:F46" si="10">IF(D$12=0,0,D34/D$12)</f>
        <v>0.64037043691879925</v>
      </c>
      <c r="G34" s="4"/>
      <c r="H34" s="4">
        <f>SUM(OSRRefH16x_0)</f>
        <v>63287.460000000014</v>
      </c>
      <c r="I34" s="4"/>
      <c r="J34" s="12">
        <f t="shared" ref="J34:J46" si="11">IF(H$12=0,0,H34/H$12)</f>
        <v>0.81623281250886681</v>
      </c>
      <c r="K34" s="4"/>
      <c r="L34" s="4">
        <f t="shared" ref="L34:L46" si="12">+D34-H34</f>
        <v>-37199.46</v>
      </c>
      <c r="M34" s="4"/>
      <c r="N34" s="12">
        <f t="shared" ref="N34:N46" si="13">IF(H34=0,0,L34/H34)</f>
        <v>-0.58778563715465892</v>
      </c>
      <c r="O34" s="10"/>
      <c r="P34" s="4">
        <f>SUM(OSRRefP16x_0)</f>
        <v>26088.000000000015</v>
      </c>
      <c r="Q34" s="4"/>
      <c r="R34" s="12">
        <f t="shared" ref="R34:R46" si="14">IF(P$12=0,0,P34/P$12)</f>
        <v>0.64037043691879925</v>
      </c>
      <c r="S34" s="4"/>
      <c r="T34" s="4">
        <f>SUM(OSRRefT16x_0)</f>
        <v>63287.460000000014</v>
      </c>
      <c r="U34" s="4"/>
      <c r="V34" s="12">
        <f t="shared" ref="V34:V46" si="15">IF(T$12=0,0,T34/T$12)</f>
        <v>0.81623281250886681</v>
      </c>
      <c r="W34" s="4"/>
      <c r="X34" s="4">
        <f t="shared" ref="X34:X46" si="16">+P34-T34</f>
        <v>-37199.46</v>
      </c>
      <c r="Y34" s="4"/>
      <c r="Z34" s="12">
        <f t="shared" ref="Z34:Z46" si="17">IF(T34=0,0,X34/T34)</f>
        <v>-0.58778563715465892</v>
      </c>
    </row>
    <row r="35" spans="1:26" s="24" customFormat="1" hidden="1" outlineLevel="1" x14ac:dyDescent="0.25">
      <c r="A35" s="50"/>
      <c r="B35" s="11" t="str">
        <f>CONCATENATE("          ", "5001", " - ", "PURCHASES @ COST-NEW TEXT")</f>
        <v xml:space="preserve">          5001 - PURCHASES @ COST-NEW TEXT</v>
      </c>
      <c r="C35" s="11"/>
      <c r="D35" s="3">
        <v>151457.41</v>
      </c>
      <c r="E35" s="3"/>
      <c r="F35" s="22">
        <f t="shared" si="10"/>
        <v>3.7177571226728636</v>
      </c>
      <c r="G35" s="3"/>
      <c r="H35" s="3">
        <v>341200.05</v>
      </c>
      <c r="I35" s="3"/>
      <c r="J35" s="22">
        <f t="shared" si="11"/>
        <v>4.4005348996415075</v>
      </c>
      <c r="K35" s="3"/>
      <c r="L35" s="3">
        <f t="shared" si="12"/>
        <v>-189742.63999999998</v>
      </c>
      <c r="M35" s="3"/>
      <c r="N35" s="22">
        <f t="shared" si="13"/>
        <v>-0.55610378720636178</v>
      </c>
      <c r="O35" s="11"/>
      <c r="P35" s="3">
        <v>151457.41</v>
      </c>
      <c r="Q35" s="3"/>
      <c r="R35" s="22">
        <f t="shared" si="14"/>
        <v>3.7177571226728636</v>
      </c>
      <c r="S35" s="3"/>
      <c r="T35" s="3">
        <v>341200.05</v>
      </c>
      <c r="U35" s="3"/>
      <c r="V35" s="22">
        <f t="shared" si="15"/>
        <v>4.4005348996415075</v>
      </c>
      <c r="W35" s="3"/>
      <c r="X35" s="3">
        <f t="shared" si="16"/>
        <v>-189742.63999999998</v>
      </c>
      <c r="Y35" s="3"/>
      <c r="Z35" s="22">
        <f t="shared" si="17"/>
        <v>-0.55610378720636178</v>
      </c>
    </row>
    <row r="36" spans="1:26" s="24" customFormat="1" hidden="1" outlineLevel="1" x14ac:dyDescent="0.25">
      <c r="A36" s="50"/>
      <c r="B36" s="11" t="str">
        <f>CONCATENATE("          ", "5002", " - ", "PURCHASES @ COST-USED TEXT")</f>
        <v xml:space="preserve">          5002 - PURCHASES @ COST-USED TEXT</v>
      </c>
      <c r="C36" s="11"/>
      <c r="D36" s="3">
        <v>57248.79</v>
      </c>
      <c r="E36" s="3"/>
      <c r="F36" s="22">
        <f t="shared" si="10"/>
        <v>1.4052603750909447</v>
      </c>
      <c r="G36" s="3"/>
      <c r="H36" s="3">
        <v>100384.16</v>
      </c>
      <c r="I36" s="3"/>
      <c r="J36" s="22">
        <f t="shared" si="11"/>
        <v>1.2946774171082245</v>
      </c>
      <c r="K36" s="3"/>
      <c r="L36" s="3">
        <f t="shared" si="12"/>
        <v>-43135.37</v>
      </c>
      <c r="M36" s="3"/>
      <c r="N36" s="22">
        <f t="shared" si="13"/>
        <v>-0.42970295313523571</v>
      </c>
      <c r="O36" s="11"/>
      <c r="P36" s="3">
        <v>57248.79</v>
      </c>
      <c r="Q36" s="3"/>
      <c r="R36" s="22">
        <f t="shared" si="14"/>
        <v>1.4052603750909447</v>
      </c>
      <c r="S36" s="3"/>
      <c r="T36" s="3">
        <v>100384.16</v>
      </c>
      <c r="U36" s="3"/>
      <c r="V36" s="22">
        <f t="shared" si="15"/>
        <v>1.2946774171082245</v>
      </c>
      <c r="W36" s="3"/>
      <c r="X36" s="3">
        <f t="shared" si="16"/>
        <v>-43135.37</v>
      </c>
      <c r="Y36" s="3"/>
      <c r="Z36" s="22">
        <f t="shared" si="17"/>
        <v>-0.42970295313523571</v>
      </c>
    </row>
    <row r="37" spans="1:26" s="24" customFormat="1" hidden="1" outlineLevel="1" x14ac:dyDescent="0.25">
      <c r="A37" s="50"/>
      <c r="B37" s="11" t="str">
        <f>CONCATENATE("          ", "5003", " - ", "PURCHASES @ COST-RENTAL TEXT")</f>
        <v xml:space="preserve">          5003 - PURCHASES @ COST-RENTAL TEXT</v>
      </c>
      <c r="C37" s="11"/>
      <c r="D37" s="3">
        <v>-11926.64</v>
      </c>
      <c r="E37" s="3"/>
      <c r="F37" s="22">
        <f t="shared" si="10"/>
        <v>-0.29275788361596228</v>
      </c>
      <c r="G37" s="3"/>
      <c r="H37" s="3">
        <v>38295.800000000003</v>
      </c>
      <c r="I37" s="3"/>
      <c r="J37" s="22">
        <f t="shared" si="11"/>
        <v>0.49390967090916676</v>
      </c>
      <c r="K37" s="3"/>
      <c r="L37" s="3">
        <f t="shared" si="12"/>
        <v>-50222.44</v>
      </c>
      <c r="M37" s="3"/>
      <c r="N37" s="22">
        <f t="shared" si="13"/>
        <v>-1.311434674298487</v>
      </c>
      <c r="O37" s="11"/>
      <c r="P37" s="3">
        <v>-11926.64</v>
      </c>
      <c r="Q37" s="3"/>
      <c r="R37" s="22">
        <f t="shared" si="14"/>
        <v>-0.29275788361596228</v>
      </c>
      <c r="S37" s="3"/>
      <c r="T37" s="3">
        <v>38295.800000000003</v>
      </c>
      <c r="U37" s="3"/>
      <c r="V37" s="22">
        <f t="shared" si="15"/>
        <v>0.49390967090916676</v>
      </c>
      <c r="W37" s="3"/>
      <c r="X37" s="3">
        <f t="shared" si="16"/>
        <v>-50222.44</v>
      </c>
      <c r="Y37" s="3"/>
      <c r="Z37" s="22">
        <f t="shared" si="17"/>
        <v>-1.311434674298487</v>
      </c>
    </row>
    <row r="38" spans="1:26" s="24" customFormat="1" hidden="1" outlineLevel="1" x14ac:dyDescent="0.25">
      <c r="A38" s="50"/>
      <c r="B38" s="11" t="str">
        <f>CONCATENATE("          ", "5004", " - ", "PURCHASES @ COST-DIGITAL TEXT")</f>
        <v xml:space="preserve">          5004 - PURCHASES @ COST-DIGITAL TEXT</v>
      </c>
      <c r="C38" s="11"/>
      <c r="D38" s="3">
        <v>4925.4799999999996</v>
      </c>
      <c r="E38" s="3"/>
      <c r="F38" s="22">
        <f t="shared" si="10"/>
        <v>0.12090354874405111</v>
      </c>
      <c r="G38" s="3"/>
      <c r="H38" s="3">
        <v>133958.57</v>
      </c>
      <c r="I38" s="3"/>
      <c r="J38" s="22">
        <f t="shared" si="11"/>
        <v>1.7276942438638854</v>
      </c>
      <c r="K38" s="3"/>
      <c r="L38" s="3">
        <f t="shared" si="12"/>
        <v>-129033.09000000001</v>
      </c>
      <c r="M38" s="3"/>
      <c r="N38" s="22">
        <f t="shared" si="13"/>
        <v>-0.96323131845913257</v>
      </c>
      <c r="O38" s="11"/>
      <c r="P38" s="3">
        <v>4925.4799999999996</v>
      </c>
      <c r="Q38" s="3"/>
      <c r="R38" s="22">
        <f t="shared" si="14"/>
        <v>0.12090354874405111</v>
      </c>
      <c r="S38" s="3"/>
      <c r="T38" s="3">
        <v>133958.57</v>
      </c>
      <c r="U38" s="3"/>
      <c r="V38" s="22">
        <f t="shared" si="15"/>
        <v>1.7276942438638854</v>
      </c>
      <c r="W38" s="3"/>
      <c r="X38" s="3">
        <f t="shared" si="16"/>
        <v>-129033.09000000001</v>
      </c>
      <c r="Y38" s="3"/>
      <c r="Z38" s="22">
        <f t="shared" si="17"/>
        <v>-0.96323131845913257</v>
      </c>
    </row>
    <row r="39" spans="1:26" s="24" customFormat="1" hidden="1" outlineLevel="1" x14ac:dyDescent="0.25">
      <c r="A39" s="50"/>
      <c r="B39" s="11" t="str">
        <f>CONCATENATE("          ", "5011", " - ", "PURCHASES @ COST-NO VALUE TEXT")</f>
        <v xml:space="preserve">          5011 - PURCHASES @ COST-NO VALUE TEXT</v>
      </c>
      <c r="C39" s="11"/>
      <c r="D39" s="3"/>
      <c r="E39" s="3"/>
      <c r="F39" s="22">
        <f t="shared" si="10"/>
        <v>0</v>
      </c>
      <c r="G39" s="3"/>
      <c r="H39" s="3">
        <v>288</v>
      </c>
      <c r="I39" s="3"/>
      <c r="J39" s="22">
        <f t="shared" si="11"/>
        <v>3.7144017156408803E-3</v>
      </c>
      <c r="K39" s="3"/>
      <c r="L39" s="3">
        <f t="shared" si="12"/>
        <v>-288</v>
      </c>
      <c r="M39" s="3"/>
      <c r="N39" s="22">
        <f t="shared" si="13"/>
        <v>-1</v>
      </c>
      <c r="O39" s="11"/>
      <c r="P39" s="3"/>
      <c r="Q39" s="3"/>
      <c r="R39" s="22">
        <f t="shared" si="14"/>
        <v>0</v>
      </c>
      <c r="S39" s="3"/>
      <c r="T39" s="3">
        <v>288</v>
      </c>
      <c r="U39" s="3"/>
      <c r="V39" s="22">
        <f t="shared" si="15"/>
        <v>3.7144017156408803E-3</v>
      </c>
      <c r="W39" s="3"/>
      <c r="X39" s="3">
        <f t="shared" si="16"/>
        <v>-288</v>
      </c>
      <c r="Y39" s="3"/>
      <c r="Z39" s="22">
        <f t="shared" si="17"/>
        <v>-1</v>
      </c>
    </row>
    <row r="40" spans="1:26" s="24" customFormat="1" hidden="1" outlineLevel="1" x14ac:dyDescent="0.25">
      <c r="A40" s="50"/>
      <c r="B40" s="11" t="str">
        <f>CONCATENATE("          ", "5013", " - ", "PURCHASES @ COST-TRADE BOOKS")</f>
        <v xml:space="preserve">          5013 - PURCHASES @ COST-TRADE BOOKS</v>
      </c>
      <c r="C40" s="11"/>
      <c r="D40" s="3">
        <v>108.54</v>
      </c>
      <c r="E40" s="3"/>
      <c r="F40" s="22">
        <f t="shared" si="10"/>
        <v>2.6642827055798238E-3</v>
      </c>
      <c r="G40" s="3"/>
      <c r="H40" s="3">
        <v>204.9</v>
      </c>
      <c r="I40" s="3"/>
      <c r="J40" s="22">
        <f t="shared" si="11"/>
        <v>2.6426420539403346E-3</v>
      </c>
      <c r="K40" s="3"/>
      <c r="L40" s="3">
        <f t="shared" si="12"/>
        <v>-96.36</v>
      </c>
      <c r="M40" s="3"/>
      <c r="N40" s="22">
        <f t="shared" si="13"/>
        <v>-0.47027818448023423</v>
      </c>
      <c r="O40" s="11"/>
      <c r="P40" s="3">
        <v>108.54</v>
      </c>
      <c r="Q40" s="3"/>
      <c r="R40" s="22">
        <f t="shared" si="14"/>
        <v>2.6642827055798238E-3</v>
      </c>
      <c r="S40" s="3"/>
      <c r="T40" s="3">
        <v>204.9</v>
      </c>
      <c r="U40" s="3"/>
      <c r="V40" s="22">
        <f t="shared" si="15"/>
        <v>2.6426420539403346E-3</v>
      </c>
      <c r="W40" s="3"/>
      <c r="X40" s="3">
        <f t="shared" si="16"/>
        <v>-96.36</v>
      </c>
      <c r="Y40" s="3"/>
      <c r="Z40" s="22">
        <f t="shared" si="17"/>
        <v>-0.47027818448023423</v>
      </c>
    </row>
    <row r="41" spans="1:26" s="24" customFormat="1" hidden="1" outlineLevel="1" x14ac:dyDescent="0.25">
      <c r="A41" s="50"/>
      <c r="B41" s="11" t="str">
        <f>CONCATENATE("          ", "5014", " - ", "PURCHASES @ COST-REMAINDERS")</f>
        <v xml:space="preserve">          5014 - PURCHASES @ COST-REMAINDERS</v>
      </c>
      <c r="C41" s="11"/>
      <c r="D41" s="3">
        <v>-12.51</v>
      </c>
      <c r="E41" s="3"/>
      <c r="F41" s="22">
        <f t="shared" si="10"/>
        <v>-3.0707735993001282E-4</v>
      </c>
      <c r="G41" s="3"/>
      <c r="H41" s="3">
        <v>100.48</v>
      </c>
      <c r="I41" s="3"/>
      <c r="J41" s="22">
        <f t="shared" si="11"/>
        <v>1.2959134874569293E-3</v>
      </c>
      <c r="K41" s="3"/>
      <c r="L41" s="3">
        <f t="shared" si="12"/>
        <v>-112.99000000000001</v>
      </c>
      <c r="M41" s="3"/>
      <c r="N41" s="22">
        <f t="shared" si="13"/>
        <v>-1.1245023885350318</v>
      </c>
      <c r="O41" s="11"/>
      <c r="P41" s="3">
        <v>-12.51</v>
      </c>
      <c r="Q41" s="3"/>
      <c r="R41" s="22">
        <f t="shared" si="14"/>
        <v>-3.0707735993001282E-4</v>
      </c>
      <c r="S41" s="3"/>
      <c r="T41" s="3">
        <v>100.48</v>
      </c>
      <c r="U41" s="3"/>
      <c r="V41" s="22">
        <f t="shared" si="15"/>
        <v>1.2959134874569293E-3</v>
      </c>
      <c r="W41" s="3"/>
      <c r="X41" s="3">
        <f t="shared" si="16"/>
        <v>-112.99000000000001</v>
      </c>
      <c r="Y41" s="3"/>
      <c r="Z41" s="22">
        <f t="shared" si="17"/>
        <v>-1.1245023885350318</v>
      </c>
    </row>
    <row r="42" spans="1:26" s="24" customFormat="1" hidden="1" outlineLevel="1" x14ac:dyDescent="0.25">
      <c r="A42" s="50"/>
      <c r="B42" s="11" t="str">
        <f>CONCATENATE("          ", "5018", " - ", "PURCHASES @ COST-STUDY GUIDES")</f>
        <v xml:space="preserve">          5018 - PURCHASES @ COST-STUDY GUIDES</v>
      </c>
      <c r="C42" s="11"/>
      <c r="D42" s="3"/>
      <c r="E42" s="3"/>
      <c r="F42" s="22">
        <f t="shared" si="10"/>
        <v>0</v>
      </c>
      <c r="G42" s="3"/>
      <c r="H42" s="3">
        <v>503.93</v>
      </c>
      <c r="I42" s="3"/>
      <c r="J42" s="22">
        <f t="shared" si="11"/>
        <v>6.4993001963989886E-3</v>
      </c>
      <c r="K42" s="3"/>
      <c r="L42" s="3">
        <f t="shared" si="12"/>
        <v>-503.93</v>
      </c>
      <c r="M42" s="3"/>
      <c r="N42" s="22">
        <f t="shared" si="13"/>
        <v>-1</v>
      </c>
      <c r="O42" s="11"/>
      <c r="P42" s="3"/>
      <c r="Q42" s="3"/>
      <c r="R42" s="22">
        <f t="shared" si="14"/>
        <v>0</v>
      </c>
      <c r="S42" s="3"/>
      <c r="T42" s="3">
        <v>503.93</v>
      </c>
      <c r="U42" s="3"/>
      <c r="V42" s="22">
        <f t="shared" si="15"/>
        <v>6.4993001963989886E-3</v>
      </c>
      <c r="W42" s="3"/>
      <c r="X42" s="3">
        <f t="shared" si="16"/>
        <v>-503.93</v>
      </c>
      <c r="Y42" s="3"/>
      <c r="Z42" s="22">
        <f t="shared" si="17"/>
        <v>-1</v>
      </c>
    </row>
    <row r="43" spans="1:26" s="24" customFormat="1" hidden="1" outlineLevel="1" x14ac:dyDescent="0.25">
      <c r="A43" s="50"/>
      <c r="B43" s="11" t="str">
        <f>CONCATENATE("          ", "5200", " - ", "PURCHASES OFFSET")</f>
        <v xml:space="preserve">          5200 - PURCHASES OFFSET</v>
      </c>
      <c r="C43" s="11"/>
      <c r="D43" s="3">
        <v>-202651.68</v>
      </c>
      <c r="E43" s="3"/>
      <c r="F43" s="22">
        <f t="shared" si="10"/>
        <v>-4.9743999104541787</v>
      </c>
      <c r="G43" s="3"/>
      <c r="H43" s="3">
        <v>-616930</v>
      </c>
      <c r="I43" s="3"/>
      <c r="J43" s="22">
        <f t="shared" si="11"/>
        <v>-7.9566869806608622</v>
      </c>
      <c r="K43" s="3"/>
      <c r="L43" s="3">
        <f t="shared" si="12"/>
        <v>414278.32</v>
      </c>
      <c r="M43" s="3"/>
      <c r="N43" s="22">
        <f t="shared" si="13"/>
        <v>-0.67151592563175722</v>
      </c>
      <c r="O43" s="11"/>
      <c r="P43" s="3">
        <v>-202651.68</v>
      </c>
      <c r="Q43" s="3"/>
      <c r="R43" s="22">
        <f t="shared" si="14"/>
        <v>-4.9743999104541787</v>
      </c>
      <c r="S43" s="3"/>
      <c r="T43" s="3">
        <v>-616930</v>
      </c>
      <c r="U43" s="3"/>
      <c r="V43" s="22">
        <f t="shared" si="15"/>
        <v>-7.9566869806608622</v>
      </c>
      <c r="W43" s="3"/>
      <c r="X43" s="3">
        <f t="shared" si="16"/>
        <v>414278.32</v>
      </c>
      <c r="Y43" s="3"/>
      <c r="Z43" s="22">
        <f t="shared" si="17"/>
        <v>-0.67151592563175722</v>
      </c>
    </row>
    <row r="44" spans="1:26" s="24" customFormat="1" hidden="1" outlineLevel="1" x14ac:dyDescent="0.25">
      <c r="A44" s="50"/>
      <c r="B44" s="11" t="str">
        <f>CONCATENATE("          ", "5300", " - ", "COG$ OFFSET")</f>
        <v xml:space="preserve">          5300 - COG$ OFFSET</v>
      </c>
      <c r="C44" s="11"/>
      <c r="D44" s="3">
        <v>26088</v>
      </c>
      <c r="E44" s="3"/>
      <c r="F44" s="22">
        <f t="shared" si="10"/>
        <v>0.64037043691879891</v>
      </c>
      <c r="G44" s="3"/>
      <c r="H44" s="3">
        <v>63288</v>
      </c>
      <c r="I44" s="3"/>
      <c r="J44" s="22">
        <f t="shared" si="11"/>
        <v>0.81623977701208339</v>
      </c>
      <c r="K44" s="3"/>
      <c r="L44" s="3">
        <f t="shared" si="12"/>
        <v>-37200</v>
      </c>
      <c r="M44" s="3"/>
      <c r="N44" s="22">
        <f t="shared" si="13"/>
        <v>-0.58778915434205536</v>
      </c>
      <c r="O44" s="11"/>
      <c r="P44" s="3">
        <v>26088</v>
      </c>
      <c r="Q44" s="3"/>
      <c r="R44" s="22">
        <f t="shared" si="14"/>
        <v>0.64037043691879891</v>
      </c>
      <c r="S44" s="3"/>
      <c r="T44" s="3">
        <v>63288</v>
      </c>
      <c r="U44" s="3"/>
      <c r="V44" s="22">
        <f t="shared" si="15"/>
        <v>0.81623977701208339</v>
      </c>
      <c r="W44" s="3"/>
      <c r="X44" s="3">
        <f t="shared" si="16"/>
        <v>-37200</v>
      </c>
      <c r="Y44" s="3"/>
      <c r="Z44" s="22">
        <f t="shared" si="17"/>
        <v>-0.58778915434205536</v>
      </c>
    </row>
    <row r="45" spans="1:26" s="24" customFormat="1" hidden="1" outlineLevel="1" x14ac:dyDescent="0.25">
      <c r="A45" s="50"/>
      <c r="B45" s="11" t="str">
        <f>CONCATENATE("          ", "5501", " - ", "FREIGHT-IN-NEW TEXT")</f>
        <v xml:space="preserve">          5501 - FREIGHT-IN-NEW TEXT</v>
      </c>
      <c r="C45" s="11"/>
      <c r="D45" s="3">
        <v>802.72</v>
      </c>
      <c r="E45" s="3"/>
      <c r="F45" s="22">
        <f t="shared" si="10"/>
        <v>1.970400786275139E-2</v>
      </c>
      <c r="G45" s="3"/>
      <c r="H45" s="3">
        <v>1716.08</v>
      </c>
      <c r="I45" s="3"/>
      <c r="J45" s="22">
        <f t="shared" si="11"/>
        <v>2.2132675333947922E-2</v>
      </c>
      <c r="K45" s="3"/>
      <c r="L45" s="3">
        <f t="shared" si="12"/>
        <v>-913.3599999999999</v>
      </c>
      <c r="M45" s="3"/>
      <c r="N45" s="22">
        <f t="shared" si="13"/>
        <v>-0.53223625938184693</v>
      </c>
      <c r="O45" s="11"/>
      <c r="P45" s="3">
        <v>802.72</v>
      </c>
      <c r="Q45" s="3"/>
      <c r="R45" s="22">
        <f t="shared" si="14"/>
        <v>1.970400786275139E-2</v>
      </c>
      <c r="S45" s="3"/>
      <c r="T45" s="3">
        <v>1716.08</v>
      </c>
      <c r="U45" s="3"/>
      <c r="V45" s="22">
        <f t="shared" si="15"/>
        <v>2.2132675333947922E-2</v>
      </c>
      <c r="W45" s="3"/>
      <c r="X45" s="3">
        <f t="shared" si="16"/>
        <v>-913.3599999999999</v>
      </c>
      <c r="Y45" s="3"/>
      <c r="Z45" s="22">
        <f t="shared" si="17"/>
        <v>-0.53223625938184693</v>
      </c>
    </row>
    <row r="46" spans="1:26" s="24" customFormat="1" hidden="1" outlineLevel="1" x14ac:dyDescent="0.25">
      <c r="A46" s="50"/>
      <c r="B46" s="11" t="str">
        <f>CONCATENATE("          ", "5502", " - ", "FREIGHT-IN-USED TEXT")</f>
        <v xml:space="preserve">          5502 - FREIGHT-IN-USED TEXT</v>
      </c>
      <c r="C46" s="11"/>
      <c r="D46" s="3">
        <v>47.89</v>
      </c>
      <c r="E46" s="3"/>
      <c r="F46" s="22">
        <f t="shared" si="10"/>
        <v>1.1755343538807606E-3</v>
      </c>
      <c r="G46" s="3"/>
      <c r="H46" s="3">
        <v>277.49</v>
      </c>
      <c r="I46" s="3"/>
      <c r="J46" s="22">
        <f t="shared" si="11"/>
        <v>3.578851847476347E-3</v>
      </c>
      <c r="K46" s="3"/>
      <c r="L46" s="3">
        <f t="shared" si="12"/>
        <v>-229.60000000000002</v>
      </c>
      <c r="M46" s="3"/>
      <c r="N46" s="22">
        <f t="shared" si="13"/>
        <v>-0.82741720422357568</v>
      </c>
      <c r="O46" s="11"/>
      <c r="P46" s="3">
        <v>47.89</v>
      </c>
      <c r="Q46" s="3"/>
      <c r="R46" s="22">
        <f t="shared" si="14"/>
        <v>1.1755343538807606E-3</v>
      </c>
      <c r="S46" s="3"/>
      <c r="T46" s="3">
        <v>277.49</v>
      </c>
      <c r="U46" s="3"/>
      <c r="V46" s="22">
        <f t="shared" si="15"/>
        <v>3.578851847476347E-3</v>
      </c>
      <c r="W46" s="3"/>
      <c r="X46" s="3">
        <f t="shared" si="16"/>
        <v>-229.60000000000002</v>
      </c>
      <c r="Y46" s="3"/>
      <c r="Z46" s="22">
        <f t="shared" si="17"/>
        <v>-0.82741720422357568</v>
      </c>
    </row>
    <row r="47" spans="1:26" x14ac:dyDescent="0.25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x14ac:dyDescent="0.25">
      <c r="A48" s="10"/>
      <c r="B48" s="26" t="s">
        <v>6</v>
      </c>
      <c r="C48" s="26"/>
      <c r="D48" s="19">
        <f>D12-D34</f>
        <v>14650.919999999991</v>
      </c>
      <c r="E48" s="13"/>
      <c r="F48" s="20">
        <f>IF(D$12=0,0,D48/D$12)</f>
        <v>0.3596295630812007</v>
      </c>
      <c r="G48" s="13"/>
      <c r="H48" s="19">
        <f>H12-H34</f>
        <v>14248.580000000009</v>
      </c>
      <c r="I48" s="13"/>
      <c r="J48" s="20">
        <f>IF(H$12=0,0,H48/H$12)</f>
        <v>0.18376718749113322</v>
      </c>
      <c r="K48" s="16"/>
      <c r="L48" s="19">
        <f>+D48-H48</f>
        <v>402.33999999998196</v>
      </c>
      <c r="M48" s="16"/>
      <c r="N48" s="20">
        <f>IF(H48=0,0,L48/H48)</f>
        <v>2.823719977709931E-2</v>
      </c>
      <c r="O48" s="25"/>
      <c r="P48" s="19">
        <f>P12-P34</f>
        <v>14650.919999999991</v>
      </c>
      <c r="Q48" s="13"/>
      <c r="R48" s="20">
        <f>IF(P$12=0,0,P48/P$12)</f>
        <v>0.3596295630812007</v>
      </c>
      <c r="S48" s="13"/>
      <c r="T48" s="19">
        <f>T12-T34</f>
        <v>14248.580000000009</v>
      </c>
      <c r="U48" s="13"/>
      <c r="V48" s="20">
        <f>IF(T$12=0,0,T48/T$12)</f>
        <v>0.18376718749113322</v>
      </c>
      <c r="W48" s="16"/>
      <c r="X48" s="19">
        <f>+P48-T48</f>
        <v>402.33999999998196</v>
      </c>
      <c r="Y48" s="16"/>
      <c r="Z48" s="20">
        <f>IF(T48=0,0,X48/T48)</f>
        <v>2.823719977709931E-2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5" t="s">
        <v>9</v>
      </c>
      <c r="C50" s="10"/>
      <c r="D50" s="21">
        <f>SUM(OSRRefD22x_0)</f>
        <v>40144.11</v>
      </c>
      <c r="E50" s="21"/>
      <c r="F50" s="34">
        <f t="shared" ref="F50:F60" si="18">IF(D$12=0,0,D50/D$12)</f>
        <v>0.98539946567066572</v>
      </c>
      <c r="G50" s="21"/>
      <c r="H50" s="21">
        <f>SUM(OSRRefH22x_0)</f>
        <v>42991.349999999991</v>
      </c>
      <c r="I50" s="21"/>
      <c r="J50" s="34">
        <f t="shared" ref="J50:J60" si="19">IF(H$12=0,0,H50/H$12)</f>
        <v>0.5544692506865192</v>
      </c>
      <c r="K50" s="4"/>
      <c r="L50" s="21">
        <f t="shared" ref="L50:L60" si="20">+D50-H50</f>
        <v>-2847.2399999999907</v>
      </c>
      <c r="M50" s="4"/>
      <c r="N50" s="34">
        <f t="shared" ref="N50:N60" si="21">IF(H50=0,0,L50/H50)</f>
        <v>-6.6228206371746673E-2</v>
      </c>
      <c r="O50" s="10"/>
      <c r="P50" s="21">
        <f>SUM(OSRRefP22x_0)</f>
        <v>40144.11</v>
      </c>
      <c r="Q50" s="21"/>
      <c r="R50" s="34">
        <f t="shared" ref="R50:R60" si="22">IF(P$12=0,0,P50/P$12)</f>
        <v>0.98539946567066572</v>
      </c>
      <c r="S50" s="21"/>
      <c r="T50" s="21">
        <f>SUM(OSRRefT22x_0)</f>
        <v>42991.349999999991</v>
      </c>
      <c r="U50" s="21"/>
      <c r="V50" s="34">
        <f t="shared" ref="V50:V60" si="23">IF(T$12=0,0,T50/T$12)</f>
        <v>0.5544692506865192</v>
      </c>
      <c r="W50" s="4"/>
      <c r="X50" s="21">
        <f t="shared" ref="X50:X60" si="24">+P50-T50</f>
        <v>-2847.2399999999907</v>
      </c>
      <c r="Y50" s="4"/>
      <c r="Z50" s="34">
        <f t="shared" ref="Z50:Z60" si="25">IF(T50=0,0,X50/T50)</f>
        <v>-6.6228206371746673E-2</v>
      </c>
    </row>
    <row r="51" spans="1:26" s="27" customFormat="1" outlineLevel="1" collapsed="1" x14ac:dyDescent="0.25">
      <c r="A51" s="28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11154.429999999998</v>
      </c>
      <c r="E51" s="1"/>
      <c r="F51" s="5">
        <f t="shared" si="18"/>
        <v>0.27380279104109773</v>
      </c>
      <c r="G51" s="1"/>
      <c r="H51" s="1">
        <f>SUM(OSRRefH22_0x_0)</f>
        <v>11226.609999999999</v>
      </c>
      <c r="I51" s="1"/>
      <c r="J51" s="5">
        <f t="shared" si="19"/>
        <v>0.14479215085010785</v>
      </c>
      <c r="K51" s="1"/>
      <c r="L51" s="1">
        <f t="shared" si="20"/>
        <v>-72.180000000000291</v>
      </c>
      <c r="M51" s="1"/>
      <c r="N51" s="5">
        <f t="shared" si="21"/>
        <v>-6.4293673691346092E-3</v>
      </c>
      <c r="O51" s="14"/>
      <c r="P51" s="1">
        <f>SUM(OSRRefP22_0x_0)</f>
        <v>11154.429999999998</v>
      </c>
      <c r="Q51" s="1"/>
      <c r="R51" s="5">
        <f t="shared" si="22"/>
        <v>0.27380279104109773</v>
      </c>
      <c r="S51" s="1"/>
      <c r="T51" s="1">
        <f>SUM(OSRRefT22_0x_0)</f>
        <v>11226.609999999999</v>
      </c>
      <c r="U51" s="1"/>
      <c r="V51" s="5">
        <f t="shared" si="23"/>
        <v>0.14479215085010785</v>
      </c>
      <c r="W51" s="1"/>
      <c r="X51" s="1">
        <f t="shared" si="24"/>
        <v>-72.180000000000291</v>
      </c>
      <c r="Y51" s="1"/>
      <c r="Z51" s="5">
        <f t="shared" si="25"/>
        <v>-6.4293673691346092E-3</v>
      </c>
    </row>
    <row r="52" spans="1:26" s="24" customFormat="1" hidden="1" outlineLevel="2" x14ac:dyDescent="0.25">
      <c r="A52" s="29"/>
      <c r="B52" s="11" t="str">
        <f>CONCATENATE("          ", "6111", " - ", "F.I.C.A.")</f>
        <v xml:space="preserve">          6111 - F.I.C.A.</v>
      </c>
      <c r="C52" s="11"/>
      <c r="D52" s="8">
        <v>1802.45</v>
      </c>
      <c r="E52" s="3"/>
      <c r="F52" s="7">
        <f t="shared" si="18"/>
        <v>4.424393184699054E-2</v>
      </c>
      <c r="G52" s="3"/>
      <c r="H52" s="8">
        <v>1620.75</v>
      </c>
      <c r="I52" s="3"/>
      <c r="J52" s="7">
        <f t="shared" si="19"/>
        <v>2.0903182571614432E-2</v>
      </c>
      <c r="K52" s="3"/>
      <c r="L52" s="8">
        <f t="shared" si="20"/>
        <v>181.70000000000005</v>
      </c>
      <c r="M52" s="3"/>
      <c r="N52" s="7">
        <f t="shared" si="21"/>
        <v>0.11210859170137286</v>
      </c>
      <c r="O52" s="11"/>
      <c r="P52" s="8">
        <v>1802.45</v>
      </c>
      <c r="Q52" s="3"/>
      <c r="R52" s="7">
        <f t="shared" si="22"/>
        <v>4.424393184699054E-2</v>
      </c>
      <c r="S52" s="3"/>
      <c r="T52" s="8">
        <v>1620.75</v>
      </c>
      <c r="U52" s="3"/>
      <c r="V52" s="7">
        <f t="shared" si="23"/>
        <v>2.0903182571614432E-2</v>
      </c>
      <c r="W52" s="3"/>
      <c r="X52" s="8">
        <f t="shared" si="24"/>
        <v>181.70000000000005</v>
      </c>
      <c r="Y52" s="3"/>
      <c r="Z52" s="7">
        <f t="shared" si="25"/>
        <v>0.11210859170137286</v>
      </c>
    </row>
    <row r="53" spans="1:26" s="24" customFormat="1" hidden="1" outlineLevel="2" x14ac:dyDescent="0.25">
      <c r="A53" s="29"/>
      <c r="B53" s="11" t="str">
        <f>CONCATENATE("          ", "6112", " - ", "COMPENSATION INSURANCE")</f>
        <v xml:space="preserve">          6112 - COMPENSATION INSURANCE</v>
      </c>
      <c r="C53" s="11"/>
      <c r="D53" s="8">
        <v>147.41999999999999</v>
      </c>
      <c r="E53" s="3"/>
      <c r="F53" s="7">
        <f t="shared" si="18"/>
        <v>3.6186526299666257E-3</v>
      </c>
      <c r="G53" s="3"/>
      <c r="H53" s="8">
        <v>85.11</v>
      </c>
      <c r="I53" s="3"/>
      <c r="J53" s="7">
        <f t="shared" si="19"/>
        <v>1.097683090340956E-3</v>
      </c>
      <c r="K53" s="3"/>
      <c r="L53" s="8">
        <f t="shared" si="20"/>
        <v>62.309999999999988</v>
      </c>
      <c r="M53" s="3"/>
      <c r="N53" s="7">
        <f t="shared" si="21"/>
        <v>0.73211138526612607</v>
      </c>
      <c r="O53" s="11"/>
      <c r="P53" s="8">
        <v>147.41999999999999</v>
      </c>
      <c r="Q53" s="3"/>
      <c r="R53" s="7">
        <f t="shared" si="22"/>
        <v>3.6186526299666257E-3</v>
      </c>
      <c r="S53" s="3"/>
      <c r="T53" s="8">
        <v>85.11</v>
      </c>
      <c r="U53" s="3"/>
      <c r="V53" s="7">
        <f t="shared" si="23"/>
        <v>1.097683090340956E-3</v>
      </c>
      <c r="W53" s="3"/>
      <c r="X53" s="8">
        <f t="shared" si="24"/>
        <v>62.309999999999988</v>
      </c>
      <c r="Y53" s="3"/>
      <c r="Z53" s="7">
        <f t="shared" si="25"/>
        <v>0.73211138526612607</v>
      </c>
    </row>
    <row r="54" spans="1:26" s="24" customFormat="1" hidden="1" outlineLevel="2" x14ac:dyDescent="0.25">
      <c r="A54" s="29"/>
      <c r="B54" s="11" t="str">
        <f>CONCATENATE("          ", "6113", " - ", "GROUP INSURANCE")</f>
        <v xml:space="preserve">          6113 - GROUP INSURANCE</v>
      </c>
      <c r="C54" s="11"/>
      <c r="D54" s="8">
        <v>4248.21</v>
      </c>
      <c r="E54" s="3"/>
      <c r="F54" s="7">
        <f t="shared" si="18"/>
        <v>0.10427890577364347</v>
      </c>
      <c r="G54" s="3"/>
      <c r="H54" s="8">
        <v>4168.57</v>
      </c>
      <c r="I54" s="3"/>
      <c r="J54" s="7">
        <f t="shared" si="19"/>
        <v>5.3762998471420499E-2</v>
      </c>
      <c r="K54" s="3"/>
      <c r="L54" s="8">
        <f t="shared" si="20"/>
        <v>79.640000000000327</v>
      </c>
      <c r="M54" s="3"/>
      <c r="N54" s="7">
        <f t="shared" si="21"/>
        <v>1.9104872894062073E-2</v>
      </c>
      <c r="O54" s="11"/>
      <c r="P54" s="8">
        <v>4248.21</v>
      </c>
      <c r="Q54" s="3"/>
      <c r="R54" s="7">
        <f t="shared" si="22"/>
        <v>0.10427890577364347</v>
      </c>
      <c r="S54" s="3"/>
      <c r="T54" s="8">
        <v>4168.57</v>
      </c>
      <c r="U54" s="3"/>
      <c r="V54" s="7">
        <f t="shared" si="23"/>
        <v>5.3762998471420499E-2</v>
      </c>
      <c r="W54" s="3"/>
      <c r="X54" s="8">
        <f t="shared" si="24"/>
        <v>79.640000000000327</v>
      </c>
      <c r="Y54" s="3"/>
      <c r="Z54" s="7">
        <f t="shared" si="25"/>
        <v>1.9104872894062073E-2</v>
      </c>
    </row>
    <row r="55" spans="1:26" s="24" customFormat="1" hidden="1" outlineLevel="2" x14ac:dyDescent="0.25">
      <c r="A55" s="29"/>
      <c r="B55" s="11" t="str">
        <f>CONCATENATE("          ", "6114", " - ", "STATE UNEMPLOYMENT INSURANCE")</f>
        <v xml:space="preserve">          6114 - STATE UNEMPLOYMENT INSURANCE</v>
      </c>
      <c r="C55" s="11"/>
      <c r="D55" s="8">
        <v>61.43</v>
      </c>
      <c r="E55" s="3"/>
      <c r="F55" s="7">
        <f t="shared" si="18"/>
        <v>1.5078946619105267E-3</v>
      </c>
      <c r="G55" s="3"/>
      <c r="H55" s="8">
        <v>55.09</v>
      </c>
      <c r="I55" s="3"/>
      <c r="J55" s="7">
        <f t="shared" si="19"/>
        <v>7.1050830039811144E-4</v>
      </c>
      <c r="K55" s="3"/>
      <c r="L55" s="8">
        <f t="shared" si="20"/>
        <v>6.3399999999999963</v>
      </c>
      <c r="M55" s="3"/>
      <c r="N55" s="7">
        <f t="shared" si="21"/>
        <v>0.11508440733345428</v>
      </c>
      <c r="O55" s="11"/>
      <c r="P55" s="8">
        <v>61.43</v>
      </c>
      <c r="Q55" s="3"/>
      <c r="R55" s="7">
        <f t="shared" si="22"/>
        <v>1.5078946619105267E-3</v>
      </c>
      <c r="S55" s="3"/>
      <c r="T55" s="8">
        <v>55.09</v>
      </c>
      <c r="U55" s="3"/>
      <c r="V55" s="7">
        <f t="shared" si="23"/>
        <v>7.1050830039811144E-4</v>
      </c>
      <c r="W55" s="3"/>
      <c r="X55" s="8">
        <f t="shared" si="24"/>
        <v>6.3399999999999963</v>
      </c>
      <c r="Y55" s="3"/>
      <c r="Z55" s="7">
        <f t="shared" si="25"/>
        <v>0.11508440733345428</v>
      </c>
    </row>
    <row r="56" spans="1:26" s="24" customFormat="1" hidden="1" outlineLevel="2" x14ac:dyDescent="0.25">
      <c r="A56" s="29"/>
      <c r="B56" s="11" t="str">
        <f>CONCATENATE("          ", "6115", " - ", "P.E.R.S.")</f>
        <v xml:space="preserve">          6115 - P.E.R.S.</v>
      </c>
      <c r="C56" s="11"/>
      <c r="D56" s="8">
        <v>2220.3200000000002</v>
      </c>
      <c r="E56" s="3"/>
      <c r="F56" s="7">
        <f t="shared" si="18"/>
        <v>5.4501199344508887E-2</v>
      </c>
      <c r="G56" s="3"/>
      <c r="H56" s="8">
        <v>1325.86</v>
      </c>
      <c r="I56" s="3"/>
      <c r="J56" s="7">
        <f t="shared" si="19"/>
        <v>1.7099918953818113E-2</v>
      </c>
      <c r="K56" s="3"/>
      <c r="L56" s="8">
        <f t="shared" si="20"/>
        <v>894.46000000000026</v>
      </c>
      <c r="M56" s="3"/>
      <c r="N56" s="7">
        <f t="shared" si="21"/>
        <v>0.67462628030108784</v>
      </c>
      <c r="O56" s="11"/>
      <c r="P56" s="8">
        <v>2220.3200000000002</v>
      </c>
      <c r="Q56" s="3"/>
      <c r="R56" s="7">
        <f t="shared" si="22"/>
        <v>5.4501199344508887E-2</v>
      </c>
      <c r="S56" s="3"/>
      <c r="T56" s="8">
        <v>1325.86</v>
      </c>
      <c r="U56" s="3"/>
      <c r="V56" s="7">
        <f t="shared" si="23"/>
        <v>1.7099918953818113E-2</v>
      </c>
      <c r="W56" s="3"/>
      <c r="X56" s="8">
        <f t="shared" si="24"/>
        <v>894.46000000000026</v>
      </c>
      <c r="Y56" s="3"/>
      <c r="Z56" s="7">
        <f t="shared" si="25"/>
        <v>0.67462628030108784</v>
      </c>
    </row>
    <row r="57" spans="1:26" s="24" customFormat="1" hidden="1" outlineLevel="2" x14ac:dyDescent="0.25">
      <c r="A57" s="29"/>
      <c r="B57" s="11" t="str">
        <f>CONCATENATE("          ", "6117", " - ", "RETIREMENT STAFF HOURLY")</f>
        <v xml:space="preserve">          6117 - RETIREMENT STAFF HOURLY</v>
      </c>
      <c r="C57" s="11"/>
      <c r="D57" s="8">
        <v>333.14</v>
      </c>
      <c r="E57" s="3"/>
      <c r="F57" s="7">
        <f t="shared" si="18"/>
        <v>8.1774381844192216E-3</v>
      </c>
      <c r="G57" s="3"/>
      <c r="H57" s="8">
        <v>220.69</v>
      </c>
      <c r="I57" s="3"/>
      <c r="J57" s="7">
        <f t="shared" si="19"/>
        <v>2.8462892868916173E-3</v>
      </c>
      <c r="K57" s="3"/>
      <c r="L57" s="8">
        <f t="shared" si="20"/>
        <v>112.44999999999999</v>
      </c>
      <c r="M57" s="3"/>
      <c r="N57" s="7">
        <f t="shared" si="21"/>
        <v>0.50953826634645882</v>
      </c>
      <c r="O57" s="11"/>
      <c r="P57" s="8">
        <v>333.14</v>
      </c>
      <c r="Q57" s="3"/>
      <c r="R57" s="7">
        <f t="shared" si="22"/>
        <v>8.1774381844192216E-3</v>
      </c>
      <c r="S57" s="3"/>
      <c r="T57" s="8">
        <v>220.69</v>
      </c>
      <c r="U57" s="3"/>
      <c r="V57" s="7">
        <f t="shared" si="23"/>
        <v>2.8462892868916173E-3</v>
      </c>
      <c r="W57" s="3"/>
      <c r="X57" s="8">
        <f t="shared" si="24"/>
        <v>112.44999999999999</v>
      </c>
      <c r="Y57" s="3"/>
      <c r="Z57" s="7">
        <f t="shared" si="25"/>
        <v>0.50953826634645882</v>
      </c>
    </row>
    <row r="58" spans="1:26" s="24" customFormat="1" hidden="1" outlineLevel="2" x14ac:dyDescent="0.25">
      <c r="A58" s="29"/>
      <c r="B58" s="11" t="str">
        <f>CONCATENATE("          ", "6118", " - ", "VACATION")</f>
        <v xml:space="preserve">          6118 - VACATION</v>
      </c>
      <c r="C58" s="11"/>
      <c r="D58" s="8">
        <v>967.81</v>
      </c>
      <c r="E58" s="3"/>
      <c r="F58" s="7">
        <f t="shared" si="18"/>
        <v>2.3756398058662326E-2</v>
      </c>
      <c r="G58" s="3"/>
      <c r="H58" s="8">
        <v>1479.92</v>
      </c>
      <c r="I58" s="3"/>
      <c r="J58" s="7">
        <f t="shared" si="19"/>
        <v>1.9086865927122401E-2</v>
      </c>
      <c r="K58" s="3"/>
      <c r="L58" s="8">
        <f t="shared" si="20"/>
        <v>-512.11000000000013</v>
      </c>
      <c r="M58" s="3"/>
      <c r="N58" s="7">
        <f t="shared" si="21"/>
        <v>-0.34603897507973413</v>
      </c>
      <c r="O58" s="11"/>
      <c r="P58" s="8">
        <v>967.81</v>
      </c>
      <c r="Q58" s="3"/>
      <c r="R58" s="7">
        <f t="shared" si="22"/>
        <v>2.3756398058662326E-2</v>
      </c>
      <c r="S58" s="3"/>
      <c r="T58" s="8">
        <v>1479.92</v>
      </c>
      <c r="U58" s="3"/>
      <c r="V58" s="7">
        <f t="shared" si="23"/>
        <v>1.9086865927122401E-2</v>
      </c>
      <c r="W58" s="3"/>
      <c r="X58" s="8">
        <f t="shared" si="24"/>
        <v>-512.11000000000013</v>
      </c>
      <c r="Y58" s="3"/>
      <c r="Z58" s="7">
        <f t="shared" si="25"/>
        <v>-0.34603897507973413</v>
      </c>
    </row>
    <row r="59" spans="1:26" s="24" customFormat="1" hidden="1" outlineLevel="2" x14ac:dyDescent="0.25">
      <c r="A59" s="29"/>
      <c r="B59" s="11" t="str">
        <f>CONCATENATE("          ", "6119", " - ", "SICK LEAVE")</f>
        <v xml:space="preserve">          6119 - SICK LEAVE</v>
      </c>
      <c r="C59" s="11"/>
      <c r="D59" s="8">
        <v>944.6</v>
      </c>
      <c r="E59" s="3"/>
      <c r="F59" s="7">
        <f t="shared" si="18"/>
        <v>2.318667259711352E-2</v>
      </c>
      <c r="G59" s="3"/>
      <c r="H59" s="8">
        <v>1710.54</v>
      </c>
      <c r="I59" s="3"/>
      <c r="J59" s="7">
        <f t="shared" si="19"/>
        <v>2.2061224689834551E-2</v>
      </c>
      <c r="K59" s="3"/>
      <c r="L59" s="8">
        <f t="shared" si="20"/>
        <v>-765.93999999999994</v>
      </c>
      <c r="M59" s="3"/>
      <c r="N59" s="7">
        <f t="shared" si="21"/>
        <v>-0.44777672547850383</v>
      </c>
      <c r="O59" s="11"/>
      <c r="P59" s="8">
        <v>944.6</v>
      </c>
      <c r="Q59" s="3"/>
      <c r="R59" s="7">
        <f t="shared" si="22"/>
        <v>2.318667259711352E-2</v>
      </c>
      <c r="S59" s="3"/>
      <c r="T59" s="8">
        <v>1710.54</v>
      </c>
      <c r="U59" s="3"/>
      <c r="V59" s="7">
        <f t="shared" si="23"/>
        <v>2.2061224689834551E-2</v>
      </c>
      <c r="W59" s="3"/>
      <c r="X59" s="8">
        <f t="shared" si="24"/>
        <v>-765.93999999999994</v>
      </c>
      <c r="Y59" s="3"/>
      <c r="Z59" s="7">
        <f t="shared" si="25"/>
        <v>-0.44777672547850383</v>
      </c>
    </row>
    <row r="60" spans="1:26" s="24" customFormat="1" hidden="1" outlineLevel="2" x14ac:dyDescent="0.25">
      <c r="A60" s="29"/>
      <c r="B60" s="11" t="str">
        <f>CONCATENATE("          ", "6156", " - ", "EMPLOYEE MEALS")</f>
        <v xml:space="preserve">          6156 - EMPLOYEE MEALS</v>
      </c>
      <c r="C60" s="11"/>
      <c r="D60" s="8">
        <v>429.05</v>
      </c>
      <c r="E60" s="3"/>
      <c r="F60" s="7">
        <f t="shared" si="18"/>
        <v>1.0531697943882654E-2</v>
      </c>
      <c r="G60" s="3"/>
      <c r="H60" s="8">
        <v>560.08000000000004</v>
      </c>
      <c r="I60" s="3"/>
      <c r="J60" s="7">
        <f t="shared" si="19"/>
        <v>7.2234795586671677E-3</v>
      </c>
      <c r="K60" s="3"/>
      <c r="L60" s="8">
        <f t="shared" si="20"/>
        <v>-131.03000000000003</v>
      </c>
      <c r="M60" s="3"/>
      <c r="N60" s="7">
        <f t="shared" si="21"/>
        <v>-0.23394872161119842</v>
      </c>
      <c r="O60" s="11"/>
      <c r="P60" s="8">
        <v>429.05</v>
      </c>
      <c r="Q60" s="3"/>
      <c r="R60" s="7">
        <f t="shared" si="22"/>
        <v>1.0531697943882654E-2</v>
      </c>
      <c r="S60" s="3"/>
      <c r="T60" s="8">
        <v>560.08000000000004</v>
      </c>
      <c r="U60" s="3"/>
      <c r="V60" s="7">
        <f t="shared" si="23"/>
        <v>7.2234795586671677E-3</v>
      </c>
      <c r="W60" s="3"/>
      <c r="X60" s="8">
        <f t="shared" si="24"/>
        <v>-131.03000000000003</v>
      </c>
      <c r="Y60" s="3"/>
      <c r="Z60" s="7">
        <f t="shared" si="25"/>
        <v>-0.23394872161119842</v>
      </c>
    </row>
    <row r="61" spans="1:26" s="27" customFormat="1" outlineLevel="1" collapsed="1" x14ac:dyDescent="0.25">
      <c r="A61" s="28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29301.230000000003</v>
      </c>
      <c r="E61" s="1"/>
      <c r="F61" s="5">
        <f t="shared" ref="F61:F67" si="26">IF(D$12=0,0,D61/D$12)</f>
        <v>0.71924415276595455</v>
      </c>
      <c r="G61" s="1"/>
      <c r="H61" s="1">
        <f>SUM(OSRRefH22_1x_0)</f>
        <v>26073.31</v>
      </c>
      <c r="I61" s="1"/>
      <c r="J61" s="5">
        <f t="shared" ref="J61:J67" si="27">IF(H$12=0,0,H61/H$12)</f>
        <v>0.33627342845984903</v>
      </c>
      <c r="K61" s="1"/>
      <c r="L61" s="1">
        <f t="shared" ref="L61:L67" si="28">+D61-H61</f>
        <v>3227.9200000000019</v>
      </c>
      <c r="M61" s="1"/>
      <c r="N61" s="5">
        <f t="shared" ref="N61:N67" si="29">IF(H61=0,0,L61/H61)</f>
        <v>0.12380169606390604</v>
      </c>
      <c r="O61" s="14"/>
      <c r="P61" s="1">
        <f>SUM(OSRRefP22_1x_0)</f>
        <v>29301.230000000003</v>
      </c>
      <c r="Q61" s="1"/>
      <c r="R61" s="5">
        <f t="shared" ref="R61:R67" si="30">IF(P$12=0,0,P61/P$12)</f>
        <v>0.71924415276595455</v>
      </c>
      <c r="S61" s="1"/>
      <c r="T61" s="1">
        <f>SUM(OSRRefT22_1x_0)</f>
        <v>26073.31</v>
      </c>
      <c r="U61" s="1"/>
      <c r="V61" s="5">
        <f t="shared" ref="V61:V67" si="31">IF(T$12=0,0,T61/T$12)</f>
        <v>0.33627342845984903</v>
      </c>
      <c r="W61" s="1"/>
      <c r="X61" s="1">
        <f t="shared" ref="X61:X67" si="32">+P61-T61</f>
        <v>3227.9200000000019</v>
      </c>
      <c r="Y61" s="1"/>
      <c r="Z61" s="5">
        <f t="shared" ref="Z61:Z67" si="33">IF(T61=0,0,X61/T61)</f>
        <v>0.12380169606390604</v>
      </c>
    </row>
    <row r="62" spans="1:26" s="24" customFormat="1" hidden="1" outlineLevel="2" x14ac:dyDescent="0.25">
      <c r="A62" s="29"/>
      <c r="B62" s="11" t="str">
        <f>CONCATENATE("          ", "6001", " - ", "ADMINISTRATIVE SALARIES")</f>
        <v xml:space="preserve">          6001 - ADMINISTRATIVE SALARIES</v>
      </c>
      <c r="C62" s="11"/>
      <c r="D62" s="8">
        <v>-311.32</v>
      </c>
      <c r="E62" s="3"/>
      <c r="F62" s="7">
        <f t="shared" si="26"/>
        <v>-7.6418324295293039E-3</v>
      </c>
      <c r="G62" s="3"/>
      <c r="H62" s="8"/>
      <c r="I62" s="3"/>
      <c r="J62" s="7">
        <f t="shared" si="27"/>
        <v>0</v>
      </c>
      <c r="K62" s="3"/>
      <c r="L62" s="8">
        <f t="shared" si="28"/>
        <v>-311.32</v>
      </c>
      <c r="M62" s="3"/>
      <c r="N62" s="7">
        <f t="shared" si="29"/>
        <v>0</v>
      </c>
      <c r="O62" s="11"/>
      <c r="P62" s="8">
        <v>-311.32</v>
      </c>
      <c r="Q62" s="3"/>
      <c r="R62" s="7">
        <f t="shared" si="30"/>
        <v>-7.6418324295293039E-3</v>
      </c>
      <c r="S62" s="3"/>
      <c r="T62" s="8"/>
      <c r="U62" s="3"/>
      <c r="V62" s="7">
        <f t="shared" si="31"/>
        <v>0</v>
      </c>
      <c r="W62" s="3"/>
      <c r="X62" s="8">
        <f t="shared" si="32"/>
        <v>-311.32</v>
      </c>
      <c r="Y62" s="3"/>
      <c r="Z62" s="7">
        <f t="shared" si="33"/>
        <v>0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8">
        <v>18429.759999999998</v>
      </c>
      <c r="E63" s="3"/>
      <c r="F63" s="7">
        <f t="shared" si="26"/>
        <v>0.45238705395233836</v>
      </c>
      <c r="G63" s="3"/>
      <c r="H63" s="8">
        <v>17629.36</v>
      </c>
      <c r="I63" s="3"/>
      <c r="J63" s="7">
        <f t="shared" si="27"/>
        <v>0.22736987857517607</v>
      </c>
      <c r="K63" s="3"/>
      <c r="L63" s="8">
        <f t="shared" si="28"/>
        <v>800.39999999999782</v>
      </c>
      <c r="M63" s="3"/>
      <c r="N63" s="7">
        <f t="shared" si="29"/>
        <v>4.5401534712547577E-2</v>
      </c>
      <c r="O63" s="11"/>
      <c r="P63" s="8">
        <v>18429.759999999998</v>
      </c>
      <c r="Q63" s="3"/>
      <c r="R63" s="7">
        <f t="shared" si="30"/>
        <v>0.45238705395233836</v>
      </c>
      <c r="S63" s="3"/>
      <c r="T63" s="8">
        <v>17629.36</v>
      </c>
      <c r="U63" s="3"/>
      <c r="V63" s="7">
        <f t="shared" si="31"/>
        <v>0.22736987857517607</v>
      </c>
      <c r="W63" s="3"/>
      <c r="X63" s="8">
        <f t="shared" si="32"/>
        <v>800.39999999999782</v>
      </c>
      <c r="Y63" s="3"/>
      <c r="Z63" s="7">
        <f t="shared" si="33"/>
        <v>4.5401534712547577E-2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8">
        <v>5507.97</v>
      </c>
      <c r="E64" s="3"/>
      <c r="F64" s="7">
        <f t="shared" si="26"/>
        <v>0.13520166955825041</v>
      </c>
      <c r="G64" s="3"/>
      <c r="H64" s="8">
        <v>2005.93</v>
      </c>
      <c r="I64" s="3"/>
      <c r="J64" s="7">
        <f t="shared" si="27"/>
        <v>2.5870936921720523E-2</v>
      </c>
      <c r="K64" s="3"/>
      <c r="L64" s="8">
        <f t="shared" si="28"/>
        <v>3502.04</v>
      </c>
      <c r="M64" s="3"/>
      <c r="N64" s="7">
        <f t="shared" si="29"/>
        <v>1.7458435738036719</v>
      </c>
      <c r="O64" s="11"/>
      <c r="P64" s="8">
        <v>5507.97</v>
      </c>
      <c r="Q64" s="3"/>
      <c r="R64" s="7">
        <f t="shared" si="30"/>
        <v>0.13520166955825041</v>
      </c>
      <c r="S64" s="3"/>
      <c r="T64" s="8">
        <v>2005.93</v>
      </c>
      <c r="U64" s="3"/>
      <c r="V64" s="7">
        <f t="shared" si="31"/>
        <v>2.5870936921720523E-2</v>
      </c>
      <c r="W64" s="3"/>
      <c r="X64" s="8">
        <f t="shared" si="32"/>
        <v>3502.04</v>
      </c>
      <c r="Y64" s="3"/>
      <c r="Z64" s="7">
        <f t="shared" si="33"/>
        <v>1.7458435738036719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8">
        <v>1986.02</v>
      </c>
      <c r="E65" s="3"/>
      <c r="F65" s="7">
        <f t="shared" si="26"/>
        <v>4.8749942315603846E-2</v>
      </c>
      <c r="G65" s="3"/>
      <c r="H65" s="8">
        <v>1192.4000000000001</v>
      </c>
      <c r="I65" s="3"/>
      <c r="J65" s="7">
        <f t="shared" si="27"/>
        <v>1.537865488100759E-2</v>
      </c>
      <c r="K65" s="3"/>
      <c r="L65" s="8">
        <f t="shared" si="28"/>
        <v>793.61999999999989</v>
      </c>
      <c r="M65" s="3"/>
      <c r="N65" s="7">
        <f t="shared" si="29"/>
        <v>0.66556524656155636</v>
      </c>
      <c r="O65" s="11"/>
      <c r="P65" s="8">
        <v>1986.02</v>
      </c>
      <c r="Q65" s="3"/>
      <c r="R65" s="7">
        <f t="shared" si="30"/>
        <v>4.8749942315603846E-2</v>
      </c>
      <c r="S65" s="3"/>
      <c r="T65" s="8">
        <v>1192.4000000000001</v>
      </c>
      <c r="U65" s="3"/>
      <c r="V65" s="7">
        <f t="shared" si="31"/>
        <v>1.537865488100759E-2</v>
      </c>
      <c r="W65" s="3"/>
      <c r="X65" s="8">
        <f t="shared" si="32"/>
        <v>793.61999999999989</v>
      </c>
      <c r="Y65" s="3"/>
      <c r="Z65" s="7">
        <f t="shared" si="33"/>
        <v>0.66556524656155636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8">
        <v>502.29</v>
      </c>
      <c r="E66" s="3"/>
      <c r="F66" s="7">
        <f t="shared" si="26"/>
        <v>1.2329487379635982E-2</v>
      </c>
      <c r="G66" s="3"/>
      <c r="H66" s="8"/>
      <c r="I66" s="3"/>
      <c r="J66" s="7">
        <f t="shared" si="27"/>
        <v>0</v>
      </c>
      <c r="K66" s="3"/>
      <c r="L66" s="8">
        <f t="shared" si="28"/>
        <v>502.29</v>
      </c>
      <c r="M66" s="3"/>
      <c r="N66" s="7">
        <f t="shared" si="29"/>
        <v>0</v>
      </c>
      <c r="O66" s="11"/>
      <c r="P66" s="8">
        <v>502.29</v>
      </c>
      <c r="Q66" s="3"/>
      <c r="R66" s="7">
        <f t="shared" si="30"/>
        <v>1.2329487379635982E-2</v>
      </c>
      <c r="S66" s="3"/>
      <c r="T66" s="8"/>
      <c r="U66" s="3"/>
      <c r="V66" s="7">
        <f t="shared" si="31"/>
        <v>0</v>
      </c>
      <c r="W66" s="3"/>
      <c r="X66" s="8">
        <f t="shared" si="32"/>
        <v>502.29</v>
      </c>
      <c r="Y66" s="3"/>
      <c r="Z66" s="7">
        <f t="shared" si="33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8">
        <v>3186.51</v>
      </c>
      <c r="E67" s="3"/>
      <c r="F67" s="7">
        <f t="shared" si="26"/>
        <v>7.8217831989655096E-2</v>
      </c>
      <c r="G67" s="3"/>
      <c r="H67" s="8">
        <v>5245.62</v>
      </c>
      <c r="I67" s="3"/>
      <c r="J67" s="7">
        <f t="shared" si="27"/>
        <v>6.765395808194484E-2</v>
      </c>
      <c r="K67" s="3"/>
      <c r="L67" s="8">
        <f t="shared" si="28"/>
        <v>-2059.1099999999997</v>
      </c>
      <c r="M67" s="3"/>
      <c r="N67" s="7">
        <f t="shared" si="29"/>
        <v>-0.39253891818316988</v>
      </c>
      <c r="O67" s="11"/>
      <c r="P67" s="8">
        <v>3186.51</v>
      </c>
      <c r="Q67" s="3"/>
      <c r="R67" s="7">
        <f t="shared" si="30"/>
        <v>7.8217831989655096E-2</v>
      </c>
      <c r="S67" s="3"/>
      <c r="T67" s="8">
        <v>5245.62</v>
      </c>
      <c r="U67" s="3"/>
      <c r="V67" s="7">
        <f t="shared" si="31"/>
        <v>6.765395808194484E-2</v>
      </c>
      <c r="W67" s="3"/>
      <c r="X67" s="8">
        <f t="shared" si="32"/>
        <v>-2059.1099999999997</v>
      </c>
      <c r="Y67" s="3"/>
      <c r="Z67" s="7">
        <f t="shared" si="33"/>
        <v>-0.39253891818316988</v>
      </c>
    </row>
    <row r="68" spans="1:26" s="27" customFormat="1" outlineLevel="1" collapsed="1" x14ac:dyDescent="0.25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1249.9000000000001</v>
      </c>
      <c r="E68" s="1"/>
      <c r="F68" s="5">
        <f t="shared" ref="F68:F88" si="34">IF(D$12=0,0,D68/D$12)</f>
        <v>3.068073478629281E-2</v>
      </c>
      <c r="G68" s="1"/>
      <c r="H68" s="1">
        <f>SUM(OSRRefH22_2x_0)</f>
        <v>91</v>
      </c>
      <c r="I68" s="1"/>
      <c r="J68" s="5">
        <f t="shared" ref="J68:J88" si="35">IF(H$12=0,0,H68/H$12)</f>
        <v>1.1736477643170837E-3</v>
      </c>
      <c r="K68" s="1"/>
      <c r="L68" s="1">
        <f t="shared" ref="L68:L88" si="36">+D68-H68</f>
        <v>1158.9000000000001</v>
      </c>
      <c r="M68" s="1"/>
      <c r="N68" s="5">
        <f t="shared" ref="N68:N88" si="37">IF(H68=0,0,L68/H68)</f>
        <v>12.735164835164836</v>
      </c>
      <c r="O68" s="14"/>
      <c r="P68" s="1">
        <f>SUM(OSRRefP22_2x_0)</f>
        <v>1249.9000000000001</v>
      </c>
      <c r="Q68" s="1"/>
      <c r="R68" s="5">
        <f t="shared" ref="R68:R88" si="38">IF(P$12=0,0,P68/P$12)</f>
        <v>3.068073478629281E-2</v>
      </c>
      <c r="S68" s="1"/>
      <c r="T68" s="1">
        <f>SUM(OSRRefT22_2x_0)</f>
        <v>91</v>
      </c>
      <c r="U68" s="1"/>
      <c r="V68" s="5">
        <f t="shared" ref="V68:V88" si="39">IF(T$12=0,0,T68/T$12)</f>
        <v>1.1736477643170837E-3</v>
      </c>
      <c r="W68" s="1"/>
      <c r="X68" s="1">
        <f t="shared" ref="X68:X88" si="40">+P68-T68</f>
        <v>1158.9000000000001</v>
      </c>
      <c r="Y68" s="1"/>
      <c r="Z68" s="5">
        <f t="shared" ref="Z68:Z88" si="41">IF(T68=0,0,X68/T68)</f>
        <v>12.735164835164836</v>
      </c>
    </row>
    <row r="69" spans="1:26" s="24" customFormat="1" hidden="1" outlineLevel="2" x14ac:dyDescent="0.25">
      <c r="A69" s="29"/>
      <c r="B69" s="11" t="str">
        <f>CONCATENATE("          ", "6362", " - ", "ADVERTISING EXPENSE")</f>
        <v xml:space="preserve">          6362 - ADVERTISING EXPENSE</v>
      </c>
      <c r="C69" s="11"/>
      <c r="D69" s="8">
        <v>1249.9000000000001</v>
      </c>
      <c r="E69" s="3"/>
      <c r="F69" s="7">
        <f t="shared" si="34"/>
        <v>3.068073478629281E-2</v>
      </c>
      <c r="G69" s="3"/>
      <c r="H69" s="8">
        <v>91</v>
      </c>
      <c r="I69" s="3"/>
      <c r="J69" s="7">
        <f t="shared" si="35"/>
        <v>1.1736477643170837E-3</v>
      </c>
      <c r="K69" s="3"/>
      <c r="L69" s="8">
        <f t="shared" si="36"/>
        <v>1158.9000000000001</v>
      </c>
      <c r="M69" s="3"/>
      <c r="N69" s="7">
        <f t="shared" si="37"/>
        <v>12.735164835164836</v>
      </c>
      <c r="O69" s="11"/>
      <c r="P69" s="8">
        <v>1249.9000000000001</v>
      </c>
      <c r="Q69" s="3"/>
      <c r="R69" s="7">
        <f t="shared" si="38"/>
        <v>3.068073478629281E-2</v>
      </c>
      <c r="S69" s="3"/>
      <c r="T69" s="8">
        <v>91</v>
      </c>
      <c r="U69" s="3"/>
      <c r="V69" s="7">
        <f t="shared" si="39"/>
        <v>1.1736477643170837E-3</v>
      </c>
      <c r="W69" s="3"/>
      <c r="X69" s="8">
        <f t="shared" si="40"/>
        <v>1158.9000000000001</v>
      </c>
      <c r="Y69" s="3"/>
      <c r="Z69" s="7">
        <f t="shared" si="41"/>
        <v>12.735164835164836</v>
      </c>
    </row>
    <row r="70" spans="1:26" s="27" customFormat="1" outlineLevel="1" collapsed="1" x14ac:dyDescent="0.25">
      <c r="A70" s="28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SUM(OSRRefD22_3x_0)</f>
        <v>0</v>
      </c>
      <c r="E70" s="1"/>
      <c r="F70" s="5">
        <f t="shared" si="34"/>
        <v>0</v>
      </c>
      <c r="G70" s="1"/>
      <c r="H70" s="1">
        <f>SUM(OSRRefH22_3x_0)</f>
        <v>2508.91</v>
      </c>
      <c r="I70" s="1"/>
      <c r="J70" s="5">
        <f t="shared" si="35"/>
        <v>3.235798475134917E-2</v>
      </c>
      <c r="K70" s="1"/>
      <c r="L70" s="1">
        <f t="shared" si="36"/>
        <v>-2508.91</v>
      </c>
      <c r="M70" s="1"/>
      <c r="N70" s="5">
        <f t="shared" si="37"/>
        <v>-1</v>
      </c>
      <c r="O70" s="14"/>
      <c r="P70" s="1">
        <f>SUM(OSRRefP22_3x_0)</f>
        <v>0</v>
      </c>
      <c r="Q70" s="1"/>
      <c r="R70" s="5">
        <f t="shared" si="38"/>
        <v>0</v>
      </c>
      <c r="S70" s="1"/>
      <c r="T70" s="1">
        <f>SUM(OSRRefT22_3x_0)</f>
        <v>2508.91</v>
      </c>
      <c r="U70" s="1"/>
      <c r="V70" s="5">
        <f t="shared" si="39"/>
        <v>3.235798475134917E-2</v>
      </c>
      <c r="W70" s="1"/>
      <c r="X70" s="1">
        <f t="shared" si="40"/>
        <v>-2508.91</v>
      </c>
      <c r="Y70" s="1"/>
      <c r="Z70" s="5">
        <f t="shared" si="41"/>
        <v>-1</v>
      </c>
    </row>
    <row r="71" spans="1:26" s="24" customFormat="1" hidden="1" outlineLevel="2" x14ac:dyDescent="0.25">
      <c r="A71" s="29"/>
      <c r="B71" s="11" t="str">
        <f>CONCATENATE("          ", "6382", " - ", "DISCOUNTS/MARK DOWNS")</f>
        <v xml:space="preserve">          6382 - DISCOUNTS/MARK DOWNS</v>
      </c>
      <c r="C71" s="11"/>
      <c r="D71" s="8"/>
      <c r="E71" s="3"/>
      <c r="F71" s="7">
        <f t="shared" si="34"/>
        <v>0</v>
      </c>
      <c r="G71" s="3"/>
      <c r="H71" s="8">
        <v>2508.91</v>
      </c>
      <c r="I71" s="3"/>
      <c r="J71" s="7">
        <f t="shared" si="35"/>
        <v>3.235798475134917E-2</v>
      </c>
      <c r="K71" s="3"/>
      <c r="L71" s="8">
        <f t="shared" si="36"/>
        <v>-2508.91</v>
      </c>
      <c r="M71" s="3"/>
      <c r="N71" s="7">
        <f t="shared" si="37"/>
        <v>-1</v>
      </c>
      <c r="O71" s="11"/>
      <c r="P71" s="8"/>
      <c r="Q71" s="3"/>
      <c r="R71" s="7">
        <f t="shared" si="38"/>
        <v>0</v>
      </c>
      <c r="S71" s="3"/>
      <c r="T71" s="8">
        <v>2508.91</v>
      </c>
      <c r="U71" s="3"/>
      <c r="V71" s="7">
        <f t="shared" si="39"/>
        <v>3.235798475134917E-2</v>
      </c>
      <c r="W71" s="3"/>
      <c r="X71" s="8">
        <f t="shared" si="40"/>
        <v>-2508.91</v>
      </c>
      <c r="Y71" s="3"/>
      <c r="Z71" s="7">
        <f t="shared" si="41"/>
        <v>-1</v>
      </c>
    </row>
    <row r="72" spans="1:26" s="27" customFormat="1" outlineLevel="1" collapsed="1" x14ac:dyDescent="0.25">
      <c r="A72" s="28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SUM(OSRRefD22_4x_0)</f>
        <v>107.7</v>
      </c>
      <c r="E72" s="1"/>
      <c r="F72" s="5">
        <f t="shared" si="34"/>
        <v>2.6436636022751704E-3</v>
      </c>
      <c r="G72" s="1"/>
      <c r="H72" s="1">
        <f>SUM(OSRRefH22_4x_0)</f>
        <v>0</v>
      </c>
      <c r="I72" s="1"/>
      <c r="J72" s="5">
        <f t="shared" si="35"/>
        <v>0</v>
      </c>
      <c r="K72" s="1"/>
      <c r="L72" s="1">
        <f t="shared" si="36"/>
        <v>107.7</v>
      </c>
      <c r="M72" s="1"/>
      <c r="N72" s="5">
        <f t="shared" si="37"/>
        <v>0</v>
      </c>
      <c r="O72" s="14"/>
      <c r="P72" s="1">
        <f>SUM(OSRRefP22_4x_0)</f>
        <v>107.7</v>
      </c>
      <c r="Q72" s="1"/>
      <c r="R72" s="5">
        <f t="shared" si="38"/>
        <v>2.6436636022751704E-3</v>
      </c>
      <c r="S72" s="1"/>
      <c r="T72" s="1">
        <f>SUM(OSRRefT22_4x_0)</f>
        <v>0</v>
      </c>
      <c r="U72" s="1"/>
      <c r="V72" s="5">
        <f t="shared" si="39"/>
        <v>0</v>
      </c>
      <c r="W72" s="1"/>
      <c r="X72" s="1">
        <f t="shared" si="40"/>
        <v>107.7</v>
      </c>
      <c r="Y72" s="1"/>
      <c r="Z72" s="5">
        <f t="shared" si="41"/>
        <v>0</v>
      </c>
    </row>
    <row r="73" spans="1:26" s="24" customFormat="1" hidden="1" outlineLevel="2" x14ac:dyDescent="0.25">
      <c r="A73" s="29"/>
      <c r="B73" s="11" t="str">
        <f>CONCATENATE("          ", "6277", " - ", "EMPLOYEE APPRECIATION")</f>
        <v xml:space="preserve">          6277 - EMPLOYEE APPRECIATION</v>
      </c>
      <c r="C73" s="11"/>
      <c r="D73" s="8">
        <v>107.7</v>
      </c>
      <c r="E73" s="3"/>
      <c r="F73" s="7">
        <f t="shared" si="34"/>
        <v>2.6436636022751704E-3</v>
      </c>
      <c r="G73" s="3"/>
      <c r="H73" s="8"/>
      <c r="I73" s="3"/>
      <c r="J73" s="7">
        <f t="shared" si="35"/>
        <v>0</v>
      </c>
      <c r="K73" s="3"/>
      <c r="L73" s="8">
        <f t="shared" si="36"/>
        <v>107.7</v>
      </c>
      <c r="M73" s="3"/>
      <c r="N73" s="7">
        <f t="shared" si="37"/>
        <v>0</v>
      </c>
      <c r="O73" s="11"/>
      <c r="P73" s="8">
        <v>107.7</v>
      </c>
      <c r="Q73" s="3"/>
      <c r="R73" s="7">
        <f t="shared" si="38"/>
        <v>2.6436636022751704E-3</v>
      </c>
      <c r="S73" s="3"/>
      <c r="T73" s="8"/>
      <c r="U73" s="3"/>
      <c r="V73" s="7">
        <f t="shared" si="39"/>
        <v>0</v>
      </c>
      <c r="W73" s="3"/>
      <c r="X73" s="8">
        <f t="shared" si="40"/>
        <v>107.7</v>
      </c>
      <c r="Y73" s="3"/>
      <c r="Z73" s="7">
        <f t="shared" si="41"/>
        <v>0</v>
      </c>
    </row>
    <row r="74" spans="1:26" s="27" customFormat="1" outlineLevel="1" collapsed="1" x14ac:dyDescent="0.25">
      <c r="A74" s="28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SUM(OSRRefD22_5x_0)</f>
        <v>91.26</v>
      </c>
      <c r="E74" s="1"/>
      <c r="F74" s="5">
        <f t="shared" si="34"/>
        <v>2.240118294741245E-3</v>
      </c>
      <c r="G74" s="1"/>
      <c r="H74" s="1">
        <f>SUM(OSRRefH22_5x_0)</f>
        <v>91.26</v>
      </c>
      <c r="I74" s="1"/>
      <c r="J74" s="5">
        <f t="shared" si="35"/>
        <v>1.1770010436437039E-3</v>
      </c>
      <c r="K74" s="1"/>
      <c r="L74" s="1">
        <f t="shared" si="36"/>
        <v>0</v>
      </c>
      <c r="M74" s="1"/>
      <c r="N74" s="5">
        <f t="shared" si="37"/>
        <v>0</v>
      </c>
      <c r="O74" s="14"/>
      <c r="P74" s="1">
        <f>SUM(OSRRefP22_5x_0)</f>
        <v>91.26</v>
      </c>
      <c r="Q74" s="1"/>
      <c r="R74" s="5">
        <f t="shared" si="38"/>
        <v>2.240118294741245E-3</v>
      </c>
      <c r="S74" s="1"/>
      <c r="T74" s="1">
        <f>SUM(OSRRefT22_5x_0)</f>
        <v>91.26</v>
      </c>
      <c r="U74" s="1"/>
      <c r="V74" s="5">
        <f t="shared" si="39"/>
        <v>1.1770010436437039E-3</v>
      </c>
      <c r="W74" s="1"/>
      <c r="X74" s="1">
        <f t="shared" si="40"/>
        <v>0</v>
      </c>
      <c r="Y74" s="1"/>
      <c r="Z74" s="5">
        <f t="shared" si="41"/>
        <v>0</v>
      </c>
    </row>
    <row r="75" spans="1:26" s="24" customFormat="1" hidden="1" outlineLevel="2" x14ac:dyDescent="0.25">
      <c r="A75" s="29"/>
      <c r="B75" s="11" t="str">
        <f>CONCATENATE("          ", "6351", " - ", "EQUIPMENT RENTAL")</f>
        <v xml:space="preserve">          6351 - EQUIPMENT RENTAL</v>
      </c>
      <c r="C75" s="11"/>
      <c r="D75" s="8">
        <v>91.26</v>
      </c>
      <c r="E75" s="3"/>
      <c r="F75" s="7">
        <f t="shared" si="34"/>
        <v>2.240118294741245E-3</v>
      </c>
      <c r="G75" s="3"/>
      <c r="H75" s="8">
        <v>91.26</v>
      </c>
      <c r="I75" s="3"/>
      <c r="J75" s="7">
        <f t="shared" si="35"/>
        <v>1.1770010436437039E-3</v>
      </c>
      <c r="K75" s="3"/>
      <c r="L75" s="8">
        <f t="shared" si="36"/>
        <v>0</v>
      </c>
      <c r="M75" s="3"/>
      <c r="N75" s="7">
        <f t="shared" si="37"/>
        <v>0</v>
      </c>
      <c r="O75" s="11"/>
      <c r="P75" s="8">
        <v>91.26</v>
      </c>
      <c r="Q75" s="3"/>
      <c r="R75" s="7">
        <f t="shared" si="38"/>
        <v>2.240118294741245E-3</v>
      </c>
      <c r="S75" s="3"/>
      <c r="T75" s="8">
        <v>91.26</v>
      </c>
      <c r="U75" s="3"/>
      <c r="V75" s="7">
        <f t="shared" si="39"/>
        <v>1.1770010436437039E-3</v>
      </c>
      <c r="W75" s="3"/>
      <c r="X75" s="8">
        <f t="shared" si="40"/>
        <v>0</v>
      </c>
      <c r="Y75" s="3"/>
      <c r="Z75" s="7">
        <f t="shared" si="41"/>
        <v>0</v>
      </c>
    </row>
    <row r="76" spans="1:26" s="27" customFormat="1" outlineLevel="1" collapsed="1" x14ac:dyDescent="0.25">
      <c r="A76" s="28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SUM(OSRRefD22_6x_0)</f>
        <v>167.5</v>
      </c>
      <c r="E76" s="1"/>
      <c r="F76" s="5">
        <f t="shared" si="34"/>
        <v>4.1115473851540485E-3</v>
      </c>
      <c r="G76" s="1"/>
      <c r="H76" s="1">
        <f>SUM(OSRRefH22_6x_0)</f>
        <v>364.59</v>
      </c>
      <c r="I76" s="1"/>
      <c r="J76" s="5">
        <f t="shared" si="35"/>
        <v>4.7022004218941265E-3</v>
      </c>
      <c r="K76" s="1"/>
      <c r="L76" s="1">
        <f t="shared" si="36"/>
        <v>-197.08999999999997</v>
      </c>
      <c r="M76" s="1"/>
      <c r="N76" s="5">
        <f t="shared" si="37"/>
        <v>-0.54057982939740523</v>
      </c>
      <c r="O76" s="14"/>
      <c r="P76" s="1">
        <f>SUM(OSRRefP22_6x_0)</f>
        <v>167.5</v>
      </c>
      <c r="Q76" s="1"/>
      <c r="R76" s="5">
        <f t="shared" si="38"/>
        <v>4.1115473851540485E-3</v>
      </c>
      <c r="S76" s="1"/>
      <c r="T76" s="1">
        <f>SUM(OSRRefT22_6x_0)</f>
        <v>364.59</v>
      </c>
      <c r="U76" s="1"/>
      <c r="V76" s="5">
        <f t="shared" si="39"/>
        <v>4.7022004218941265E-3</v>
      </c>
      <c r="W76" s="1"/>
      <c r="X76" s="1">
        <f t="shared" si="40"/>
        <v>-197.08999999999997</v>
      </c>
      <c r="Y76" s="1"/>
      <c r="Z76" s="5">
        <f t="shared" si="41"/>
        <v>-0.54057982939740523</v>
      </c>
    </row>
    <row r="77" spans="1:26" s="24" customFormat="1" hidden="1" outlineLevel="2" x14ac:dyDescent="0.25">
      <c r="A77" s="29"/>
      <c r="B77" s="11" t="str">
        <f>CONCATENATE("          ", "6305", " - ", "FREIGHT OUT")</f>
        <v xml:space="preserve">          6305 - FREIGHT OUT</v>
      </c>
      <c r="C77" s="11"/>
      <c r="D77" s="8">
        <v>167.5</v>
      </c>
      <c r="E77" s="3"/>
      <c r="F77" s="7">
        <f t="shared" si="34"/>
        <v>4.1115473851540485E-3</v>
      </c>
      <c r="G77" s="3"/>
      <c r="H77" s="8">
        <v>364.59</v>
      </c>
      <c r="I77" s="3"/>
      <c r="J77" s="7">
        <f t="shared" si="35"/>
        <v>4.7022004218941265E-3</v>
      </c>
      <c r="K77" s="3"/>
      <c r="L77" s="8">
        <f t="shared" si="36"/>
        <v>-197.08999999999997</v>
      </c>
      <c r="M77" s="3"/>
      <c r="N77" s="7">
        <f t="shared" si="37"/>
        <v>-0.54057982939740523</v>
      </c>
      <c r="O77" s="11"/>
      <c r="P77" s="8">
        <v>167.5</v>
      </c>
      <c r="Q77" s="3"/>
      <c r="R77" s="7">
        <f t="shared" si="38"/>
        <v>4.1115473851540485E-3</v>
      </c>
      <c r="S77" s="3"/>
      <c r="T77" s="8">
        <v>364.59</v>
      </c>
      <c r="U77" s="3"/>
      <c r="V77" s="7">
        <f t="shared" si="39"/>
        <v>4.7022004218941265E-3</v>
      </c>
      <c r="W77" s="3"/>
      <c r="X77" s="8">
        <f t="shared" si="40"/>
        <v>-197.08999999999997</v>
      </c>
      <c r="Y77" s="3"/>
      <c r="Z77" s="7">
        <f t="shared" si="41"/>
        <v>-0.54057982939740523</v>
      </c>
    </row>
    <row r="78" spans="1:26" s="27" customFormat="1" outlineLevel="1" collapsed="1" x14ac:dyDescent="0.25">
      <c r="A78" s="28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SUM(OSRRefD22_7x_0)</f>
        <v>-4794.1899999999996</v>
      </c>
      <c r="E78" s="1"/>
      <c r="F78" s="5">
        <f t="shared" si="34"/>
        <v>-0.11768083199063693</v>
      </c>
      <c r="G78" s="1"/>
      <c r="H78" s="1">
        <f>SUM(OSRRefH22_7x_0)</f>
        <v>7.84</v>
      </c>
      <c r="I78" s="1"/>
      <c r="J78" s="5">
        <f t="shared" si="35"/>
        <v>1.0111426892577952E-4</v>
      </c>
      <c r="K78" s="1"/>
      <c r="L78" s="1">
        <f t="shared" si="36"/>
        <v>-4802.03</v>
      </c>
      <c r="M78" s="1"/>
      <c r="N78" s="5">
        <f t="shared" si="37"/>
        <v>-612.50382653061217</v>
      </c>
      <c r="O78" s="14"/>
      <c r="P78" s="1">
        <f>SUM(OSRRefP22_7x_0)</f>
        <v>-4794.1899999999996</v>
      </c>
      <c r="Q78" s="1"/>
      <c r="R78" s="5">
        <f t="shared" si="38"/>
        <v>-0.11768083199063693</v>
      </c>
      <c r="S78" s="1"/>
      <c r="T78" s="1">
        <f>SUM(OSRRefT22_7x_0)</f>
        <v>7.84</v>
      </c>
      <c r="U78" s="1"/>
      <c r="V78" s="5">
        <f t="shared" si="39"/>
        <v>1.0111426892577952E-4</v>
      </c>
      <c r="W78" s="1"/>
      <c r="X78" s="1">
        <f t="shared" si="40"/>
        <v>-4802.03</v>
      </c>
      <c r="Y78" s="1"/>
      <c r="Z78" s="5">
        <f t="shared" si="41"/>
        <v>-612.50382653061217</v>
      </c>
    </row>
    <row r="79" spans="1:26" s="24" customFormat="1" hidden="1" outlineLevel="2" x14ac:dyDescent="0.25">
      <c r="A79" s="29"/>
      <c r="B79" s="11" t="str">
        <f>CONCATENATE("          ", "6279", " - ", "GENERAL EXPENSE")</f>
        <v xml:space="preserve">          6279 - GENERAL EXPENSE</v>
      </c>
      <c r="C79" s="11"/>
      <c r="D79" s="8">
        <v>-4794.1899999999996</v>
      </c>
      <c r="E79" s="3"/>
      <c r="F79" s="7">
        <f t="shared" si="34"/>
        <v>-0.11768083199063693</v>
      </c>
      <c r="G79" s="3"/>
      <c r="H79" s="8">
        <v>7.84</v>
      </c>
      <c r="I79" s="3"/>
      <c r="J79" s="7">
        <f t="shared" si="35"/>
        <v>1.0111426892577952E-4</v>
      </c>
      <c r="K79" s="3"/>
      <c r="L79" s="8">
        <f t="shared" si="36"/>
        <v>-4802.03</v>
      </c>
      <c r="M79" s="3"/>
      <c r="N79" s="7">
        <f t="shared" si="37"/>
        <v>-612.50382653061217</v>
      </c>
      <c r="O79" s="11"/>
      <c r="P79" s="8">
        <v>-4794.1899999999996</v>
      </c>
      <c r="Q79" s="3"/>
      <c r="R79" s="7">
        <f t="shared" si="38"/>
        <v>-0.11768083199063693</v>
      </c>
      <c r="S79" s="3"/>
      <c r="T79" s="8">
        <v>7.84</v>
      </c>
      <c r="U79" s="3"/>
      <c r="V79" s="7">
        <f t="shared" si="39"/>
        <v>1.0111426892577952E-4</v>
      </c>
      <c r="W79" s="3"/>
      <c r="X79" s="8">
        <f t="shared" si="40"/>
        <v>-4802.03</v>
      </c>
      <c r="Y79" s="3"/>
      <c r="Z79" s="7">
        <f t="shared" si="41"/>
        <v>-612.50382653061217</v>
      </c>
    </row>
    <row r="80" spans="1:26" s="27" customFormat="1" outlineLevel="1" collapsed="1" x14ac:dyDescent="0.25">
      <c r="A80" s="28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SUM(OSRRefD22_8x_0)</f>
        <v>1000</v>
      </c>
      <c r="E80" s="1"/>
      <c r="F80" s="5">
        <f t="shared" si="34"/>
        <v>2.4546551553158498E-2</v>
      </c>
      <c r="G80" s="1"/>
      <c r="H80" s="1">
        <f>SUM(OSRRefH22_8x_0)</f>
        <v>1000</v>
      </c>
      <c r="I80" s="1"/>
      <c r="J80" s="5">
        <f t="shared" si="35"/>
        <v>1.2897228179308612E-2</v>
      </c>
      <c r="K80" s="1"/>
      <c r="L80" s="1">
        <f t="shared" si="36"/>
        <v>0</v>
      </c>
      <c r="M80" s="1"/>
      <c r="N80" s="5">
        <f t="shared" si="37"/>
        <v>0</v>
      </c>
      <c r="O80" s="14"/>
      <c r="P80" s="1">
        <f>SUM(OSRRefP22_8x_0)</f>
        <v>1000</v>
      </c>
      <c r="Q80" s="1"/>
      <c r="R80" s="5">
        <f t="shared" si="38"/>
        <v>2.4546551553158498E-2</v>
      </c>
      <c r="S80" s="1"/>
      <c r="T80" s="1">
        <f>SUM(OSRRefT22_8x_0)</f>
        <v>1000</v>
      </c>
      <c r="U80" s="1"/>
      <c r="V80" s="5">
        <f t="shared" si="39"/>
        <v>1.2897228179308612E-2</v>
      </c>
      <c r="W80" s="1"/>
      <c r="X80" s="1">
        <f t="shared" si="40"/>
        <v>0</v>
      </c>
      <c r="Y80" s="1"/>
      <c r="Z80" s="5">
        <f t="shared" si="41"/>
        <v>0</v>
      </c>
    </row>
    <row r="81" spans="1:26" s="24" customFormat="1" hidden="1" outlineLevel="2" x14ac:dyDescent="0.25">
      <c r="A81" s="29"/>
      <c r="B81" s="11" t="str">
        <f>CONCATENATE("          ", "6408", " - ", "INVENTORY ADJUSTMENT")</f>
        <v xml:space="preserve">          6408 - INVENTORY ADJUSTMENT</v>
      </c>
      <c r="C81" s="11"/>
      <c r="D81" s="8">
        <v>1000</v>
      </c>
      <c r="E81" s="3"/>
      <c r="F81" s="7">
        <f t="shared" si="34"/>
        <v>2.4546551553158498E-2</v>
      </c>
      <c r="G81" s="3"/>
      <c r="H81" s="8">
        <v>1000</v>
      </c>
      <c r="I81" s="3"/>
      <c r="J81" s="7">
        <f t="shared" si="35"/>
        <v>1.2897228179308612E-2</v>
      </c>
      <c r="K81" s="3"/>
      <c r="L81" s="8">
        <f t="shared" si="36"/>
        <v>0</v>
      </c>
      <c r="M81" s="3"/>
      <c r="N81" s="7">
        <f t="shared" si="37"/>
        <v>0</v>
      </c>
      <c r="O81" s="11"/>
      <c r="P81" s="8">
        <v>1000</v>
      </c>
      <c r="Q81" s="3"/>
      <c r="R81" s="7">
        <f t="shared" si="38"/>
        <v>2.4546551553158498E-2</v>
      </c>
      <c r="S81" s="3"/>
      <c r="T81" s="8">
        <v>1000</v>
      </c>
      <c r="U81" s="3"/>
      <c r="V81" s="7">
        <f t="shared" si="39"/>
        <v>1.2897228179308612E-2</v>
      </c>
      <c r="W81" s="3"/>
      <c r="X81" s="8">
        <f t="shared" si="40"/>
        <v>0</v>
      </c>
      <c r="Y81" s="3"/>
      <c r="Z81" s="7">
        <f t="shared" si="41"/>
        <v>0</v>
      </c>
    </row>
    <row r="82" spans="1:26" s="27" customFormat="1" outlineLevel="1" collapsed="1" x14ac:dyDescent="0.25">
      <c r="A82" s="28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SUM(OSRRefD22_9x_0)</f>
        <v>22.86</v>
      </c>
      <c r="E82" s="1"/>
      <c r="F82" s="5">
        <f t="shared" si="34"/>
        <v>5.6113416850520331E-4</v>
      </c>
      <c r="G82" s="1"/>
      <c r="H82" s="1">
        <f>SUM(OSRRefH22_9x_0)</f>
        <v>20.46</v>
      </c>
      <c r="I82" s="1"/>
      <c r="J82" s="5">
        <f t="shared" si="35"/>
        <v>2.6387728854865419E-4</v>
      </c>
      <c r="K82" s="1"/>
      <c r="L82" s="1">
        <f t="shared" si="36"/>
        <v>2.3999999999999986</v>
      </c>
      <c r="M82" s="1"/>
      <c r="N82" s="5">
        <f t="shared" si="37"/>
        <v>0.11730205278592368</v>
      </c>
      <c r="O82" s="14"/>
      <c r="P82" s="1">
        <f>SUM(OSRRefP22_9x_0)</f>
        <v>22.86</v>
      </c>
      <c r="Q82" s="1"/>
      <c r="R82" s="5">
        <f t="shared" si="38"/>
        <v>5.6113416850520331E-4</v>
      </c>
      <c r="S82" s="1"/>
      <c r="T82" s="1">
        <f>SUM(OSRRefT22_9x_0)</f>
        <v>20.46</v>
      </c>
      <c r="U82" s="1"/>
      <c r="V82" s="5">
        <f t="shared" si="39"/>
        <v>2.6387728854865419E-4</v>
      </c>
      <c r="W82" s="1"/>
      <c r="X82" s="1">
        <f t="shared" si="40"/>
        <v>2.3999999999999986</v>
      </c>
      <c r="Y82" s="1"/>
      <c r="Z82" s="5">
        <f t="shared" si="41"/>
        <v>0.11730205278592368</v>
      </c>
    </row>
    <row r="83" spans="1:26" s="24" customFormat="1" hidden="1" outlineLevel="2" x14ac:dyDescent="0.25">
      <c r="A83" s="29"/>
      <c r="B83" s="11" t="str">
        <f>CONCATENATE("          ", "6373", " - ", "MAINTENANCE CONTRACTS")</f>
        <v xml:space="preserve">          6373 - MAINTENANCE CONTRACTS</v>
      </c>
      <c r="C83" s="11"/>
      <c r="D83" s="8">
        <v>22.86</v>
      </c>
      <c r="E83" s="3"/>
      <c r="F83" s="7">
        <f t="shared" si="34"/>
        <v>5.6113416850520331E-4</v>
      </c>
      <c r="G83" s="3"/>
      <c r="H83" s="8">
        <v>20.46</v>
      </c>
      <c r="I83" s="3"/>
      <c r="J83" s="7">
        <f t="shared" si="35"/>
        <v>2.6387728854865419E-4</v>
      </c>
      <c r="K83" s="3"/>
      <c r="L83" s="8">
        <f t="shared" si="36"/>
        <v>2.3999999999999986</v>
      </c>
      <c r="M83" s="3"/>
      <c r="N83" s="7">
        <f t="shared" si="37"/>
        <v>0.11730205278592368</v>
      </c>
      <c r="O83" s="11"/>
      <c r="P83" s="8">
        <v>22.86</v>
      </c>
      <c r="Q83" s="3"/>
      <c r="R83" s="7">
        <f t="shared" si="38"/>
        <v>5.6113416850520331E-4</v>
      </c>
      <c r="S83" s="3"/>
      <c r="T83" s="8">
        <v>20.46</v>
      </c>
      <c r="U83" s="3"/>
      <c r="V83" s="7">
        <f t="shared" si="39"/>
        <v>2.6387728854865419E-4</v>
      </c>
      <c r="W83" s="3"/>
      <c r="X83" s="8">
        <f t="shared" si="40"/>
        <v>2.3999999999999986</v>
      </c>
      <c r="Y83" s="3"/>
      <c r="Z83" s="7">
        <f t="shared" si="41"/>
        <v>0.11730205278592368</v>
      </c>
    </row>
    <row r="84" spans="1:26" s="27" customFormat="1" outlineLevel="1" collapsed="1" x14ac:dyDescent="0.25">
      <c r="A84" s="28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SUM(OSRRefD22_10x_0)</f>
        <v>290</v>
      </c>
      <c r="E84" s="1"/>
      <c r="F84" s="5">
        <f t="shared" si="34"/>
        <v>7.118499950415965E-3</v>
      </c>
      <c r="G84" s="1"/>
      <c r="H84" s="1">
        <f>SUM(OSRRefH22_10x_0)</f>
        <v>288.85000000000002</v>
      </c>
      <c r="I84" s="1"/>
      <c r="J84" s="5">
        <f t="shared" si="35"/>
        <v>3.7253643595932927E-3</v>
      </c>
      <c r="K84" s="1"/>
      <c r="L84" s="1">
        <f t="shared" si="36"/>
        <v>1.1499999999999773</v>
      </c>
      <c r="M84" s="1"/>
      <c r="N84" s="5">
        <f t="shared" si="37"/>
        <v>3.9813051756966492E-3</v>
      </c>
      <c r="O84" s="14"/>
      <c r="P84" s="1">
        <f>SUM(OSRRefP22_10x_0)</f>
        <v>290</v>
      </c>
      <c r="Q84" s="1"/>
      <c r="R84" s="5">
        <f t="shared" si="38"/>
        <v>7.118499950415965E-3</v>
      </c>
      <c r="S84" s="1"/>
      <c r="T84" s="1">
        <f>SUM(OSRRefT22_10x_0)</f>
        <v>288.85000000000002</v>
      </c>
      <c r="U84" s="1"/>
      <c r="V84" s="5">
        <f t="shared" si="39"/>
        <v>3.7253643595932927E-3</v>
      </c>
      <c r="W84" s="1"/>
      <c r="X84" s="1">
        <f t="shared" si="40"/>
        <v>1.1499999999999773</v>
      </c>
      <c r="Y84" s="1"/>
      <c r="Z84" s="5">
        <f t="shared" si="41"/>
        <v>3.9813051756966492E-3</v>
      </c>
    </row>
    <row r="85" spans="1:26" s="24" customFormat="1" hidden="1" outlineLevel="2" x14ac:dyDescent="0.25">
      <c r="A85" s="29"/>
      <c r="B85" s="11" t="str">
        <f>CONCATENATE("          ", "6258", " - ", "MEMBERSHIP DUES")</f>
        <v xml:space="preserve">          6258 - MEMBERSHIP DUES</v>
      </c>
      <c r="C85" s="11"/>
      <c r="D85" s="8">
        <v>290</v>
      </c>
      <c r="E85" s="3"/>
      <c r="F85" s="7">
        <f t="shared" si="34"/>
        <v>7.118499950415965E-3</v>
      </c>
      <c r="G85" s="3"/>
      <c r="H85" s="8">
        <v>288.85000000000002</v>
      </c>
      <c r="I85" s="3"/>
      <c r="J85" s="7">
        <f t="shared" si="35"/>
        <v>3.7253643595932927E-3</v>
      </c>
      <c r="K85" s="3"/>
      <c r="L85" s="8">
        <f t="shared" si="36"/>
        <v>1.1499999999999773</v>
      </c>
      <c r="M85" s="3"/>
      <c r="N85" s="7">
        <f t="shared" si="37"/>
        <v>3.9813051756966492E-3</v>
      </c>
      <c r="O85" s="11"/>
      <c r="P85" s="8">
        <v>290</v>
      </c>
      <c r="Q85" s="3"/>
      <c r="R85" s="7">
        <f t="shared" si="38"/>
        <v>7.118499950415965E-3</v>
      </c>
      <c r="S85" s="3"/>
      <c r="T85" s="8">
        <v>288.85000000000002</v>
      </c>
      <c r="U85" s="3"/>
      <c r="V85" s="7">
        <f t="shared" si="39"/>
        <v>3.7253643595932927E-3</v>
      </c>
      <c r="W85" s="3"/>
      <c r="X85" s="8">
        <f t="shared" si="40"/>
        <v>1.1499999999999773</v>
      </c>
      <c r="Y85" s="3"/>
      <c r="Z85" s="7">
        <f t="shared" si="41"/>
        <v>3.9813051756966492E-3</v>
      </c>
    </row>
    <row r="86" spans="1:26" s="27" customFormat="1" outlineLevel="1" collapsed="1" x14ac:dyDescent="0.25">
      <c r="A86" s="28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SUM(OSRRefD22_11x_0)</f>
        <v>792.76</v>
      </c>
      <c r="E86" s="1"/>
      <c r="F86" s="5">
        <f t="shared" si="34"/>
        <v>1.9459524209281931E-2</v>
      </c>
      <c r="G86" s="1"/>
      <c r="H86" s="1">
        <f>SUM(OSRRefH22_11x_0)</f>
        <v>277.56</v>
      </c>
      <c r="I86" s="1"/>
      <c r="J86" s="5">
        <f t="shared" si="35"/>
        <v>3.5797546534488984E-3</v>
      </c>
      <c r="K86" s="1"/>
      <c r="L86" s="1">
        <f t="shared" si="36"/>
        <v>515.20000000000005</v>
      </c>
      <c r="M86" s="1"/>
      <c r="N86" s="5">
        <f t="shared" si="37"/>
        <v>1.8561752413892494</v>
      </c>
      <c r="O86" s="14"/>
      <c r="P86" s="1">
        <f>SUM(OSRRefP22_11x_0)</f>
        <v>792.76</v>
      </c>
      <c r="Q86" s="1"/>
      <c r="R86" s="5">
        <f t="shared" si="38"/>
        <v>1.9459524209281931E-2</v>
      </c>
      <c r="S86" s="1"/>
      <c r="T86" s="1">
        <f>SUM(OSRRefT22_11x_0)</f>
        <v>277.56</v>
      </c>
      <c r="U86" s="1"/>
      <c r="V86" s="5">
        <f t="shared" si="39"/>
        <v>3.5797546534488984E-3</v>
      </c>
      <c r="W86" s="1"/>
      <c r="X86" s="1">
        <f t="shared" si="40"/>
        <v>515.20000000000005</v>
      </c>
      <c r="Y86" s="1"/>
      <c r="Z86" s="5">
        <f t="shared" si="41"/>
        <v>1.8561752413892494</v>
      </c>
    </row>
    <row r="87" spans="1:26" s="24" customFormat="1" hidden="1" outlineLevel="2" x14ac:dyDescent="0.25">
      <c r="A87" s="29"/>
      <c r="B87" s="11" t="str">
        <f>CONCATENATE("          ", "6241", " - ", "OFFICE EXPENSE")</f>
        <v xml:space="preserve">          6241 - OFFICE EXPENSE</v>
      </c>
      <c r="C87" s="11"/>
      <c r="D87" s="8">
        <v>159.66</v>
      </c>
      <c r="E87" s="3"/>
      <c r="F87" s="7">
        <f t="shared" si="34"/>
        <v>3.9191024209772858E-3</v>
      </c>
      <c r="G87" s="3"/>
      <c r="H87" s="8">
        <v>261.17</v>
      </c>
      <c r="I87" s="3"/>
      <c r="J87" s="7">
        <f t="shared" si="35"/>
        <v>3.3683690835900303E-3</v>
      </c>
      <c r="K87" s="3"/>
      <c r="L87" s="8">
        <f t="shared" si="36"/>
        <v>-101.51000000000002</v>
      </c>
      <c r="M87" s="3"/>
      <c r="N87" s="7">
        <f t="shared" si="37"/>
        <v>-0.38867404372630859</v>
      </c>
      <c r="O87" s="11"/>
      <c r="P87" s="8">
        <v>159.66</v>
      </c>
      <c r="Q87" s="3"/>
      <c r="R87" s="7">
        <f t="shared" si="38"/>
        <v>3.9191024209772858E-3</v>
      </c>
      <c r="S87" s="3"/>
      <c r="T87" s="8">
        <v>261.17</v>
      </c>
      <c r="U87" s="3"/>
      <c r="V87" s="7">
        <f t="shared" si="39"/>
        <v>3.3683690835900303E-3</v>
      </c>
      <c r="W87" s="3"/>
      <c r="X87" s="8">
        <f t="shared" si="40"/>
        <v>-101.51000000000002</v>
      </c>
      <c r="Y87" s="3"/>
      <c r="Z87" s="7">
        <f t="shared" si="41"/>
        <v>-0.38867404372630859</v>
      </c>
    </row>
    <row r="88" spans="1:26" s="24" customFormat="1" hidden="1" outlineLevel="2" x14ac:dyDescent="0.25">
      <c r="A88" s="29"/>
      <c r="B88" s="11" t="str">
        <f>CONCATENATE("          ", "6247", " - ", "STORE SUPPLIES")</f>
        <v xml:space="preserve">          6247 - STORE SUPPLIES</v>
      </c>
      <c r="C88" s="11"/>
      <c r="D88" s="8">
        <v>633.1</v>
      </c>
      <c r="E88" s="3"/>
      <c r="F88" s="7">
        <f t="shared" si="34"/>
        <v>1.5540421788304646E-2</v>
      </c>
      <c r="G88" s="3"/>
      <c r="H88" s="8">
        <v>16.39</v>
      </c>
      <c r="I88" s="3"/>
      <c r="J88" s="7">
        <f t="shared" si="35"/>
        <v>2.1138556985886815E-4</v>
      </c>
      <c r="K88" s="3"/>
      <c r="L88" s="8">
        <f t="shared" si="36"/>
        <v>616.71</v>
      </c>
      <c r="M88" s="3"/>
      <c r="N88" s="7">
        <f t="shared" si="37"/>
        <v>37.627211714460039</v>
      </c>
      <c r="O88" s="11"/>
      <c r="P88" s="8">
        <v>633.1</v>
      </c>
      <c r="Q88" s="3"/>
      <c r="R88" s="7">
        <f t="shared" si="38"/>
        <v>1.5540421788304646E-2</v>
      </c>
      <c r="S88" s="3"/>
      <c r="T88" s="8">
        <v>16.39</v>
      </c>
      <c r="U88" s="3"/>
      <c r="V88" s="7">
        <f t="shared" si="39"/>
        <v>2.1138556985886815E-4</v>
      </c>
      <c r="W88" s="3"/>
      <c r="X88" s="8">
        <f t="shared" si="40"/>
        <v>616.71</v>
      </c>
      <c r="Y88" s="3"/>
      <c r="Z88" s="7">
        <f t="shared" si="41"/>
        <v>37.627211714460039</v>
      </c>
    </row>
    <row r="89" spans="1:26" s="27" customFormat="1" outlineLevel="1" collapsed="1" x14ac:dyDescent="0.25">
      <c r="A89" s="28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SUM(OSRRefD22_12x_0)</f>
        <v>760.5</v>
      </c>
      <c r="E89" s="1"/>
      <c r="F89" s="5">
        <f t="shared" ref="F89:F91" si="42">IF(D$12=0,0,D89/D$12)</f>
        <v>1.866765245617704E-2</v>
      </c>
      <c r="G89" s="1"/>
      <c r="H89" s="1">
        <f>SUM(OSRRefH22_12x_0)</f>
        <v>524.35</v>
      </c>
      <c r="I89" s="1"/>
      <c r="J89" s="5">
        <f t="shared" ref="J89:J91" si="43">IF(H$12=0,0,H89/H$12)</f>
        <v>6.7626615958204708E-3</v>
      </c>
      <c r="K89" s="1"/>
      <c r="L89" s="1">
        <f t="shared" ref="L89:L91" si="44">+D89-H89</f>
        <v>236.14999999999998</v>
      </c>
      <c r="M89" s="1"/>
      <c r="N89" s="5">
        <f t="shared" ref="N89:N91" si="45">IF(H89=0,0,L89/H89)</f>
        <v>0.45036712119767325</v>
      </c>
      <c r="O89" s="14"/>
      <c r="P89" s="1">
        <f>SUM(OSRRefP22_12x_0)</f>
        <v>760.5</v>
      </c>
      <c r="Q89" s="1"/>
      <c r="R89" s="5">
        <f t="shared" ref="R89:R91" si="46">IF(P$12=0,0,P89/P$12)</f>
        <v>1.866765245617704E-2</v>
      </c>
      <c r="S89" s="1"/>
      <c r="T89" s="1">
        <f>SUM(OSRRefT22_12x_0)</f>
        <v>524.35</v>
      </c>
      <c r="U89" s="1"/>
      <c r="V89" s="5">
        <f t="shared" ref="V89:V91" si="47">IF(T$12=0,0,T89/T$12)</f>
        <v>6.7626615958204708E-3</v>
      </c>
      <c r="W89" s="1"/>
      <c r="X89" s="1">
        <f t="shared" ref="X89:X91" si="48">+P89-T89</f>
        <v>236.14999999999998</v>
      </c>
      <c r="Y89" s="1"/>
      <c r="Z89" s="5">
        <f t="shared" ref="Z89:Z91" si="49">IF(T89=0,0,X89/T89)</f>
        <v>0.45036712119767325</v>
      </c>
    </row>
    <row r="90" spans="1:26" s="24" customFormat="1" hidden="1" outlineLevel="2" x14ac:dyDescent="0.25">
      <c r="A90" s="29"/>
      <c r="B90" s="11" t="str">
        <f>CONCATENATE("          ", "6303", " - ", "DATA PHONE LINES")</f>
        <v xml:space="preserve">          6303 - DATA PHONE LINES</v>
      </c>
      <c r="C90" s="11"/>
      <c r="D90" s="8">
        <v>295</v>
      </c>
      <c r="E90" s="3"/>
      <c r="F90" s="7">
        <f t="shared" si="42"/>
        <v>7.2412327081817574E-3</v>
      </c>
      <c r="G90" s="3"/>
      <c r="H90" s="8">
        <v>295</v>
      </c>
      <c r="I90" s="3"/>
      <c r="J90" s="7">
        <f t="shared" si="43"/>
        <v>3.8046823128960404E-3</v>
      </c>
      <c r="K90" s="3"/>
      <c r="L90" s="8">
        <f t="shared" si="44"/>
        <v>0</v>
      </c>
      <c r="M90" s="3"/>
      <c r="N90" s="7">
        <f t="shared" si="45"/>
        <v>0</v>
      </c>
      <c r="O90" s="11"/>
      <c r="P90" s="8">
        <v>295</v>
      </c>
      <c r="Q90" s="3"/>
      <c r="R90" s="7">
        <f t="shared" si="46"/>
        <v>7.2412327081817574E-3</v>
      </c>
      <c r="S90" s="3"/>
      <c r="T90" s="8">
        <v>295</v>
      </c>
      <c r="U90" s="3"/>
      <c r="V90" s="7">
        <f t="shared" si="47"/>
        <v>3.8046823128960404E-3</v>
      </c>
      <c r="W90" s="3"/>
      <c r="X90" s="8">
        <f t="shared" si="48"/>
        <v>0</v>
      </c>
      <c r="Y90" s="3"/>
      <c r="Z90" s="7">
        <f t="shared" si="49"/>
        <v>0</v>
      </c>
    </row>
    <row r="91" spans="1:26" s="24" customFormat="1" hidden="1" outlineLevel="2" x14ac:dyDescent="0.25">
      <c r="A91" s="29"/>
      <c r="B91" s="11" t="str">
        <f>CONCATENATE("          ", "6309", " - ", "TELEPHONE")</f>
        <v xml:space="preserve">          6309 - TELEPHONE</v>
      </c>
      <c r="C91" s="11"/>
      <c r="D91" s="8">
        <v>465.5</v>
      </c>
      <c r="E91" s="3"/>
      <c r="F91" s="7">
        <f t="shared" si="42"/>
        <v>1.1426419747995282E-2</v>
      </c>
      <c r="G91" s="3"/>
      <c r="H91" s="8">
        <v>229.35</v>
      </c>
      <c r="I91" s="3"/>
      <c r="J91" s="7">
        <f t="shared" si="43"/>
        <v>2.9579792829244299E-3</v>
      </c>
      <c r="K91" s="3"/>
      <c r="L91" s="8">
        <f t="shared" si="44"/>
        <v>236.15</v>
      </c>
      <c r="M91" s="3"/>
      <c r="N91" s="7">
        <f t="shared" si="45"/>
        <v>1.0296490080662744</v>
      </c>
      <c r="O91" s="11"/>
      <c r="P91" s="8">
        <v>465.5</v>
      </c>
      <c r="Q91" s="3"/>
      <c r="R91" s="7">
        <f t="shared" si="46"/>
        <v>1.1426419747995282E-2</v>
      </c>
      <c r="S91" s="3"/>
      <c r="T91" s="8">
        <v>229.35</v>
      </c>
      <c r="U91" s="3"/>
      <c r="V91" s="7">
        <f t="shared" si="47"/>
        <v>2.9579792829244299E-3</v>
      </c>
      <c r="W91" s="3"/>
      <c r="X91" s="8">
        <f t="shared" si="48"/>
        <v>236.15</v>
      </c>
      <c r="Y91" s="3"/>
      <c r="Z91" s="7">
        <f t="shared" si="49"/>
        <v>1.0296490080662744</v>
      </c>
    </row>
    <row r="92" spans="1:26" s="27" customFormat="1" outlineLevel="1" collapsed="1" x14ac:dyDescent="0.25">
      <c r="A92" s="28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SUM(OSRRefD22_13x_0)</f>
        <v>0</v>
      </c>
      <c r="E92" s="1"/>
      <c r="F92" s="5">
        <f t="shared" ref="F92:F95" si="50">IF(D$12=0,0,D92/D$12)</f>
        <v>0</v>
      </c>
      <c r="G92" s="1"/>
      <c r="H92" s="1">
        <f>SUM(OSRRefH22_13x_0)</f>
        <v>516.61</v>
      </c>
      <c r="I92" s="1"/>
      <c r="J92" s="5">
        <f t="shared" ref="J92:J95" si="51">IF(H$12=0,0,H92/H$12)</f>
        <v>6.6628370497126225E-3</v>
      </c>
      <c r="K92" s="1"/>
      <c r="L92" s="1">
        <f t="shared" ref="L92:L95" si="52">+D92-H92</f>
        <v>-516.61</v>
      </c>
      <c r="M92" s="1"/>
      <c r="N92" s="5">
        <f t="shared" ref="N92:N95" si="53">IF(H92=0,0,L92/H92)</f>
        <v>-1</v>
      </c>
      <c r="O92" s="14"/>
      <c r="P92" s="1">
        <f>SUM(OSRRefP22_13x_0)</f>
        <v>0</v>
      </c>
      <c r="Q92" s="1"/>
      <c r="R92" s="5">
        <f t="shared" ref="R92:R95" si="54">IF(P$12=0,0,P92/P$12)</f>
        <v>0</v>
      </c>
      <c r="S92" s="1"/>
      <c r="T92" s="1">
        <f>SUM(OSRRefT22_13x_0)</f>
        <v>516.61</v>
      </c>
      <c r="U92" s="1"/>
      <c r="V92" s="5">
        <f t="shared" ref="V92:V95" si="55">IF(T$12=0,0,T92/T$12)</f>
        <v>6.6628370497126225E-3</v>
      </c>
      <c r="W92" s="1"/>
      <c r="X92" s="1">
        <f t="shared" ref="X92:X95" si="56">+P92-T92</f>
        <v>-516.61</v>
      </c>
      <c r="Y92" s="1"/>
      <c r="Z92" s="5">
        <f t="shared" ref="Z92:Z95" si="57">IF(T92=0,0,X92/T92)</f>
        <v>-1</v>
      </c>
    </row>
    <row r="93" spans="1:26" s="24" customFormat="1" hidden="1" outlineLevel="2" x14ac:dyDescent="0.25">
      <c r="A93" s="29"/>
      <c r="B93" s="11" t="str">
        <f>CONCATENATE("          ", "6376", " - ", "TRAINING")</f>
        <v xml:space="preserve">          6376 - TRAINING</v>
      </c>
      <c r="C93" s="11"/>
      <c r="D93" s="8"/>
      <c r="E93" s="3"/>
      <c r="F93" s="7">
        <f t="shared" si="50"/>
        <v>0</v>
      </c>
      <c r="G93" s="3"/>
      <c r="H93" s="8">
        <v>516.61</v>
      </c>
      <c r="I93" s="3"/>
      <c r="J93" s="7">
        <f t="shared" si="51"/>
        <v>6.6628370497126225E-3</v>
      </c>
      <c r="K93" s="3"/>
      <c r="L93" s="8">
        <f t="shared" si="52"/>
        <v>-516.61</v>
      </c>
      <c r="M93" s="3"/>
      <c r="N93" s="7">
        <f t="shared" si="53"/>
        <v>-1</v>
      </c>
      <c r="O93" s="11"/>
      <c r="P93" s="8"/>
      <c r="Q93" s="3"/>
      <c r="R93" s="7">
        <f t="shared" si="54"/>
        <v>0</v>
      </c>
      <c r="S93" s="3"/>
      <c r="T93" s="8">
        <v>516.61</v>
      </c>
      <c r="U93" s="3"/>
      <c r="V93" s="7">
        <f t="shared" si="55"/>
        <v>6.6628370497126225E-3</v>
      </c>
      <c r="W93" s="3"/>
      <c r="X93" s="8">
        <f t="shared" si="56"/>
        <v>-516.61</v>
      </c>
      <c r="Y93" s="3"/>
      <c r="Z93" s="7">
        <f t="shared" si="57"/>
        <v>-1</v>
      </c>
    </row>
    <row r="94" spans="1:26" s="27" customFormat="1" outlineLevel="1" collapsed="1" x14ac:dyDescent="0.25">
      <c r="A94" s="28"/>
      <c r="B94" s="14" t="str">
        <f>CONCATENATE("     ","Travel                                            ")</f>
        <v xml:space="preserve">     Travel                                            </v>
      </c>
      <c r="C94" s="14"/>
      <c r="D94" s="1">
        <f>SUM(OSRRefD22_14x_0)</f>
        <v>0.16</v>
      </c>
      <c r="E94" s="1"/>
      <c r="F94" s="5">
        <f t="shared" si="50"/>
        <v>3.9274482485053597E-6</v>
      </c>
      <c r="G94" s="1"/>
      <c r="H94" s="1">
        <f>SUM(OSRRefH22_14x_0)</f>
        <v>0</v>
      </c>
      <c r="I94" s="1"/>
      <c r="J94" s="5">
        <f t="shared" si="51"/>
        <v>0</v>
      </c>
      <c r="K94" s="1"/>
      <c r="L94" s="1">
        <f t="shared" si="52"/>
        <v>0.16</v>
      </c>
      <c r="M94" s="1"/>
      <c r="N94" s="5">
        <f t="shared" si="53"/>
        <v>0</v>
      </c>
      <c r="O94" s="14"/>
      <c r="P94" s="1">
        <f>SUM(OSRRefP22_14x_0)</f>
        <v>0.16</v>
      </c>
      <c r="Q94" s="1"/>
      <c r="R94" s="5">
        <f t="shared" si="54"/>
        <v>3.9274482485053597E-6</v>
      </c>
      <c r="S94" s="1"/>
      <c r="T94" s="1">
        <f>SUM(OSRRefT22_14x_0)</f>
        <v>0</v>
      </c>
      <c r="U94" s="1"/>
      <c r="V94" s="5">
        <f t="shared" si="55"/>
        <v>0</v>
      </c>
      <c r="W94" s="1"/>
      <c r="X94" s="1">
        <f t="shared" si="56"/>
        <v>0.16</v>
      </c>
      <c r="Y94" s="1"/>
      <c r="Z94" s="5">
        <f t="shared" si="57"/>
        <v>0</v>
      </c>
    </row>
    <row r="95" spans="1:26" s="24" customFormat="1" hidden="1" outlineLevel="2" x14ac:dyDescent="0.25">
      <c r="A95" s="29"/>
      <c r="B95" s="11" t="str">
        <f>CONCATENATE("          ", "6292", " - ", "TRAVEL/CONFERENCE")</f>
        <v xml:space="preserve">          6292 - TRAVEL/CONFERENCE</v>
      </c>
      <c r="C95" s="11"/>
      <c r="D95" s="8">
        <v>0.16</v>
      </c>
      <c r="E95" s="3"/>
      <c r="F95" s="7">
        <f t="shared" si="50"/>
        <v>3.9274482485053597E-6</v>
      </c>
      <c r="G95" s="3"/>
      <c r="H95" s="8"/>
      <c r="I95" s="3"/>
      <c r="J95" s="7">
        <f t="shared" si="51"/>
        <v>0</v>
      </c>
      <c r="K95" s="3"/>
      <c r="L95" s="8">
        <f t="shared" si="52"/>
        <v>0.16</v>
      </c>
      <c r="M95" s="3"/>
      <c r="N95" s="7">
        <f t="shared" si="53"/>
        <v>0</v>
      </c>
      <c r="O95" s="11"/>
      <c r="P95" s="8">
        <v>0.16</v>
      </c>
      <c r="Q95" s="3"/>
      <c r="R95" s="7">
        <f t="shared" si="54"/>
        <v>3.9274482485053597E-6</v>
      </c>
      <c r="S95" s="3"/>
      <c r="T95" s="8"/>
      <c r="U95" s="3"/>
      <c r="V95" s="7">
        <f t="shared" si="55"/>
        <v>0</v>
      </c>
      <c r="W95" s="3"/>
      <c r="X95" s="8">
        <f t="shared" si="56"/>
        <v>0.16</v>
      </c>
      <c r="Y95" s="3"/>
      <c r="Z95" s="7">
        <f t="shared" si="57"/>
        <v>0</v>
      </c>
    </row>
    <row r="96" spans="1:26" s="61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5" t="s">
        <v>0</v>
      </c>
      <c r="C97" s="10"/>
      <c r="D97" s="4">
        <f>SUM(OSRRefD25x_0)</f>
        <v>2056.9300000000003</v>
      </c>
      <c r="E97" s="4"/>
      <c r="F97" s="12">
        <f t="shared" ref="F97:F99" si="58">IF(D$12=0,0,D97/D$12)</f>
        <v>5.0490538286238319E-2</v>
      </c>
      <c r="G97" s="4"/>
      <c r="H97" s="4">
        <f>SUM(OSRRefH25x_0)</f>
        <v>426.76</v>
      </c>
      <c r="I97" s="4"/>
      <c r="J97" s="12">
        <f t="shared" ref="J97:J99" si="59">IF(H$12=0,0,H97/H$12)</f>
        <v>5.5040210978017428E-3</v>
      </c>
      <c r="K97" s="4"/>
      <c r="L97" s="4">
        <f t="shared" ref="L97:L99" si="60">+D97-H97</f>
        <v>1630.1700000000003</v>
      </c>
      <c r="M97" s="4"/>
      <c r="N97" s="12">
        <f t="shared" ref="N97:N99" si="61">IF(H97=0,0,L97/H97)</f>
        <v>3.8198753397694261</v>
      </c>
      <c r="O97" s="10"/>
      <c r="P97" s="4">
        <f>SUM(OSRRefP25x_0)</f>
        <v>2056.9300000000003</v>
      </c>
      <c r="Q97" s="4"/>
      <c r="R97" s="12">
        <f t="shared" ref="R97:R99" si="62">IF(P$12=0,0,P97/P$12)</f>
        <v>5.0490538286238319E-2</v>
      </c>
      <c r="S97" s="4"/>
      <c r="T97" s="4">
        <f>SUM(OSRRefT25x_0)</f>
        <v>426.76</v>
      </c>
      <c r="U97" s="4"/>
      <c r="V97" s="12">
        <f t="shared" ref="V97:V99" si="63">IF(T$12=0,0,T97/T$12)</f>
        <v>5.5040210978017428E-3</v>
      </c>
      <c r="W97" s="4"/>
      <c r="X97" s="4">
        <f t="shared" ref="X97:X99" si="64">+P97-T97</f>
        <v>1630.1700000000003</v>
      </c>
      <c r="Y97" s="4"/>
      <c r="Z97" s="12">
        <f t="shared" ref="Z97:Z99" si="65">IF(T97=0,0,X97/T97)</f>
        <v>3.8198753397694261</v>
      </c>
    </row>
    <row r="98" spans="1:26" s="24" customFormat="1" hidden="1" outlineLevel="1" x14ac:dyDescent="0.25">
      <c r="A98" s="50"/>
      <c r="B98" s="11" t="str">
        <f>CONCATENATE("          ", "9150", " - ", "MISC. INCOME")</f>
        <v xml:space="preserve">          9150 - MISC. INCOME</v>
      </c>
      <c r="C98" s="11"/>
      <c r="D98" s="3">
        <f>--582.54</f>
        <v>582.54</v>
      </c>
      <c r="E98" s="3"/>
      <c r="F98" s="22">
        <f t="shared" si="58"/>
        <v>1.4299348141776951E-2</v>
      </c>
      <c r="G98" s="3"/>
      <c r="H98" s="3">
        <f>--426.76</f>
        <v>426.76</v>
      </c>
      <c r="I98" s="3"/>
      <c r="J98" s="22">
        <f t="shared" si="59"/>
        <v>5.5040210978017428E-3</v>
      </c>
      <c r="K98" s="3"/>
      <c r="L98" s="3">
        <f t="shared" si="60"/>
        <v>155.77999999999997</v>
      </c>
      <c r="M98" s="3"/>
      <c r="N98" s="22">
        <f t="shared" si="61"/>
        <v>0.36502952479145179</v>
      </c>
      <c r="O98" s="11"/>
      <c r="P98" s="3">
        <f>--582.54</f>
        <v>582.54</v>
      </c>
      <c r="Q98" s="3"/>
      <c r="R98" s="22">
        <f t="shared" si="62"/>
        <v>1.4299348141776951E-2</v>
      </c>
      <c r="S98" s="3"/>
      <c r="T98" s="3">
        <f>--426.76</f>
        <v>426.76</v>
      </c>
      <c r="U98" s="3"/>
      <c r="V98" s="22">
        <f t="shared" si="63"/>
        <v>5.5040210978017428E-3</v>
      </c>
      <c r="W98" s="3"/>
      <c r="X98" s="3">
        <f t="shared" si="64"/>
        <v>155.77999999999997</v>
      </c>
      <c r="Y98" s="3"/>
      <c r="Z98" s="22">
        <f t="shared" si="65"/>
        <v>0.36502952479145179</v>
      </c>
    </row>
    <row r="99" spans="1:26" s="24" customFormat="1" hidden="1" outlineLevel="1" x14ac:dyDescent="0.25">
      <c r="A99" s="50"/>
      <c r="B99" s="11" t="str">
        <f>CONCATENATE("          ", "9152", " - ", "MISC. INCOME")</f>
        <v xml:space="preserve">          9152 - MISC. INCOME</v>
      </c>
      <c r="C99" s="11"/>
      <c r="D99" s="3">
        <f>--1474.39</f>
        <v>1474.39</v>
      </c>
      <c r="E99" s="3"/>
      <c r="F99" s="22">
        <f t="shared" si="58"/>
        <v>3.6191190144461365E-2</v>
      </c>
      <c r="G99" s="3"/>
      <c r="H99" s="3">
        <f>0</f>
        <v>0</v>
      </c>
      <c r="I99" s="3"/>
      <c r="J99" s="22">
        <f t="shared" si="59"/>
        <v>0</v>
      </c>
      <c r="K99" s="3"/>
      <c r="L99" s="3">
        <f t="shared" si="60"/>
        <v>1474.39</v>
      </c>
      <c r="M99" s="3"/>
      <c r="N99" s="22">
        <f t="shared" si="61"/>
        <v>0</v>
      </c>
      <c r="O99" s="11"/>
      <c r="P99" s="3">
        <f>--1474.39</f>
        <v>1474.39</v>
      </c>
      <c r="Q99" s="3"/>
      <c r="R99" s="22">
        <f t="shared" si="62"/>
        <v>3.6191190144461365E-2</v>
      </c>
      <c r="S99" s="3"/>
      <c r="T99" s="3">
        <f>0</f>
        <v>0</v>
      </c>
      <c r="U99" s="3"/>
      <c r="V99" s="22">
        <f t="shared" si="63"/>
        <v>0</v>
      </c>
      <c r="W99" s="3"/>
      <c r="X99" s="3">
        <f t="shared" si="64"/>
        <v>1474.39</v>
      </c>
      <c r="Y99" s="3"/>
      <c r="Z99" s="22">
        <f t="shared" si="65"/>
        <v>0</v>
      </c>
    </row>
    <row r="100" spans="1:26" x14ac:dyDescent="0.25">
      <c r="A100" s="9"/>
      <c r="B100" s="10"/>
      <c r="C100" s="10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10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3" customFormat="1" x14ac:dyDescent="0.25">
      <c r="A101" s="10"/>
      <c r="B101" s="26" t="s">
        <v>3</v>
      </c>
      <c r="C101" s="26"/>
      <c r="D101" s="19">
        <f>+D48-D50+D97</f>
        <v>-23436.260000000009</v>
      </c>
      <c r="E101" s="13"/>
      <c r="F101" s="20">
        <f>IF(D$12=0,0,D101/D$12)</f>
        <v>-0.57527936430322668</v>
      </c>
      <c r="G101" s="13"/>
      <c r="H101" s="19">
        <f>+H48-H50+H97</f>
        <v>-28316.009999999984</v>
      </c>
      <c r="I101" s="13"/>
      <c r="J101" s="20">
        <f>IF(H$12=0,0,H101/H$12)</f>
        <v>-0.36519804209758422</v>
      </c>
      <c r="K101" s="16"/>
      <c r="L101" s="19">
        <f>+D101-H101</f>
        <v>4879.7499999999745</v>
      </c>
      <c r="M101" s="16"/>
      <c r="N101" s="20">
        <f>IF(H101=0,0,L101/H101)</f>
        <v>-0.1723318363003819</v>
      </c>
      <c r="O101" s="25"/>
      <c r="P101" s="19">
        <f>+P48-P50+P97</f>
        <v>-23436.260000000009</v>
      </c>
      <c r="Q101" s="13"/>
      <c r="R101" s="20">
        <f>IF(P$12=0,0,P101/P$12)</f>
        <v>-0.57527936430322668</v>
      </c>
      <c r="S101" s="13"/>
      <c r="T101" s="19">
        <f>+T48-T50+T97</f>
        <v>-28316.009999999984</v>
      </c>
      <c r="U101" s="13"/>
      <c r="V101" s="20">
        <f>IF(T$12=0,0,T101/T$12)</f>
        <v>-0.36519804209758422</v>
      </c>
      <c r="W101" s="16"/>
      <c r="X101" s="19">
        <f>+P101-T101</f>
        <v>4879.7499999999745</v>
      </c>
      <c r="Y101" s="16"/>
      <c r="Z101" s="20">
        <f>IF(T101=0,0,X101/T101)</f>
        <v>-0.1723318363003819</v>
      </c>
    </row>
    <row r="102" spans="1:26" x14ac:dyDescent="0.25">
      <c r="A102" s="9"/>
      <c r="B102" s="10"/>
      <c r="C102" s="9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s="23" customFormat="1" x14ac:dyDescent="0.25">
      <c r="A103" s="51"/>
      <c r="B103" s="10" t="s">
        <v>13</v>
      </c>
      <c r="C103" s="10"/>
      <c r="D103" s="4">
        <v>19963.62</v>
      </c>
      <c r="E103" s="4"/>
      <c r="F103" s="12">
        <f>IF(D$12=0,0,D103/D$12)</f>
        <v>0.49003802751766606</v>
      </c>
      <c r="G103" s="4"/>
      <c r="H103" s="4">
        <v>16122.030000000002</v>
      </c>
      <c r="I103" s="4"/>
      <c r="J103" s="12">
        <f>IF(H$12=0,0,H103/H$12)</f>
        <v>0.20792949962365886</v>
      </c>
      <c r="K103" s="4"/>
      <c r="L103" s="4">
        <f>+D103-H103</f>
        <v>3841.5899999999965</v>
      </c>
      <c r="M103" s="4"/>
      <c r="N103" s="12">
        <f>IF(H103=0,0,L103/H103)</f>
        <v>0.23828202775953128</v>
      </c>
      <c r="O103" s="10"/>
      <c r="P103" s="4">
        <v>19963.62</v>
      </c>
      <c r="Q103" s="4"/>
      <c r="R103" s="12">
        <f>IF(P$12=0,0,P103/P$12)</f>
        <v>0.49003802751766606</v>
      </c>
      <c r="S103" s="4"/>
      <c r="T103" s="4">
        <v>16122.030000000002</v>
      </c>
      <c r="U103" s="4"/>
      <c r="V103" s="12">
        <f>IF(T$12=0,0,T103/T$12)</f>
        <v>0.20792949962365886</v>
      </c>
      <c r="W103" s="4"/>
      <c r="X103" s="4">
        <f>+P103-T103</f>
        <v>3841.5899999999965</v>
      </c>
      <c r="Y103" s="4"/>
      <c r="Z103" s="12">
        <f>IF(T103=0,0,X103/T103)</f>
        <v>0.23828202775953128</v>
      </c>
    </row>
    <row r="104" spans="1:26" x14ac:dyDescent="0.25">
      <c r="A104" s="9"/>
      <c r="B104" s="10"/>
      <c r="C104" s="10"/>
      <c r="D104" s="2"/>
      <c r="E104" s="2"/>
      <c r="F104" s="6"/>
      <c r="G104" s="2"/>
      <c r="H104" s="2"/>
      <c r="I104" s="2"/>
      <c r="J104" s="6"/>
      <c r="K104" s="2"/>
      <c r="L104" s="2"/>
      <c r="M104" s="2"/>
      <c r="N104" s="6"/>
      <c r="O104" s="10"/>
      <c r="P104" s="2"/>
      <c r="Q104" s="2"/>
      <c r="R104" s="6"/>
      <c r="S104" s="2"/>
      <c r="T104" s="2"/>
      <c r="U104" s="2"/>
      <c r="V104" s="6"/>
      <c r="W104" s="2"/>
      <c r="X104" s="2"/>
      <c r="Y104" s="2"/>
      <c r="Z104" s="6"/>
    </row>
    <row r="105" spans="1:26" s="23" customFormat="1" ht="15.75" thickBot="1" x14ac:dyDescent="0.3">
      <c r="A105" s="10"/>
      <c r="B105" s="26" t="s">
        <v>4</v>
      </c>
      <c r="C105" s="26"/>
      <c r="D105" s="35">
        <f>+D101-D103</f>
        <v>-43399.880000000005</v>
      </c>
      <c r="E105" s="13"/>
      <c r="F105" s="30">
        <f>IF(D$12=0,0,D105/D$12)</f>
        <v>-1.0653173918208927</v>
      </c>
      <c r="G105" s="13"/>
      <c r="H105" s="35">
        <f>+H101-H103</f>
        <v>-44438.039999999986</v>
      </c>
      <c r="I105" s="13"/>
      <c r="J105" s="30">
        <f>IF(H$12=0,0,H105/H$12)</f>
        <v>-0.57312754172124314</v>
      </c>
      <c r="K105" s="16"/>
      <c r="L105" s="35">
        <f>D105-H105</f>
        <v>1038.1599999999817</v>
      </c>
      <c r="M105" s="16"/>
      <c r="N105" s="30">
        <f>IF(H105=0,0,L105/H105)</f>
        <v>-2.336196645936639E-2</v>
      </c>
      <c r="O105" s="25"/>
      <c r="P105" s="35">
        <f>+P101-P103</f>
        <v>-43399.880000000005</v>
      </c>
      <c r="Q105" s="13"/>
      <c r="R105" s="30">
        <f>IF(P$12=0,0,P105/P$12)</f>
        <v>-1.0653173918208927</v>
      </c>
      <c r="S105" s="13"/>
      <c r="T105" s="35">
        <f>+T101-T103</f>
        <v>-44438.039999999986</v>
      </c>
      <c r="U105" s="13"/>
      <c r="V105" s="30">
        <f>IF(T$12=0,0,T105/T$12)</f>
        <v>-0.57312754172124314</v>
      </c>
      <c r="W105" s="16"/>
      <c r="X105" s="35">
        <f>P105-T105</f>
        <v>1038.1599999999817</v>
      </c>
      <c r="Y105" s="16"/>
      <c r="Z105" s="30">
        <f>IF(T105=0,0,X105/T105)</f>
        <v>-2.336196645936639E-2</v>
      </c>
    </row>
    <row r="106" spans="1:26" ht="15.75" thickTop="1" x14ac:dyDescent="0.25">
      <c r="A106" s="9"/>
      <c r="B106" s="9"/>
      <c r="C106" s="9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x14ac:dyDescent="0.25">
      <c r="A107" s="9"/>
      <c r="B107" s="9"/>
      <c r="C107" s="9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23" customFormat="1" ht="15.75" thickBot="1" x14ac:dyDescent="0.3">
      <c r="A108" s="10"/>
      <c r="B108" s="26" t="s">
        <v>5</v>
      </c>
      <c r="C108" s="26"/>
      <c r="D108" s="31">
        <f>SUM(D105:D107)</f>
        <v>-43399.880000000005</v>
      </c>
      <c r="E108" s="13"/>
      <c r="F108" s="32">
        <f>IF(D$12=0,0,D108/D$12)</f>
        <v>-1.0653173918208927</v>
      </c>
      <c r="G108" s="13"/>
      <c r="H108" s="31">
        <f>SUM(H105:H107)</f>
        <v>-44438.039999999986</v>
      </c>
      <c r="I108" s="13"/>
      <c r="J108" s="32">
        <f>IF(H$12=0,0,H108/H$12)</f>
        <v>-0.57312754172124314</v>
      </c>
      <c r="K108" s="16"/>
      <c r="L108" s="31">
        <f>+D108-H108</f>
        <v>1038.1599999999817</v>
      </c>
      <c r="M108" s="16"/>
      <c r="N108" s="32">
        <f>IF(H108=0,0,L108/H108)</f>
        <v>-2.336196645936639E-2</v>
      </c>
      <c r="O108" s="25"/>
      <c r="P108" s="31">
        <f>SUM(P105:P107)</f>
        <v>-43399.880000000005</v>
      </c>
      <c r="Q108" s="13"/>
      <c r="R108" s="32">
        <f>IF(P$12=0,0,P108/P$12)</f>
        <v>-1.0653173918208927</v>
      </c>
      <c r="S108" s="13"/>
      <c r="T108" s="31">
        <f>SUM(T105:T107)</f>
        <v>-44438.039999999986</v>
      </c>
      <c r="U108" s="13"/>
      <c r="V108" s="32">
        <f>IF(T$12=0,0,T108/T$12)</f>
        <v>-0.57312754172124314</v>
      </c>
      <c r="W108" s="16"/>
      <c r="X108" s="31">
        <f>+P108-T108</f>
        <v>1038.1599999999817</v>
      </c>
      <c r="Y108" s="16"/>
      <c r="Z108" s="32">
        <f>IF(T108=0,0,X108/T108)</f>
        <v>-2.336196645936639E-2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9">
        <v>44109.414194872683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2" t="s">
        <v>313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6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7299.64</v>
      </c>
      <c r="E12" s="4"/>
      <c r="F12" s="12"/>
      <c r="G12" s="4"/>
      <c r="H12" s="4">
        <f>SUM(OSRRefH13x_0)</f>
        <v>14597.16</v>
      </c>
      <c r="I12" s="4"/>
      <c r="J12" s="12"/>
      <c r="K12" s="4"/>
      <c r="L12" s="4">
        <f t="shared" ref="L12:L15" si="0">+D12-H12</f>
        <v>-7297.5199999999995</v>
      </c>
      <c r="M12" s="4"/>
      <c r="N12" s="12">
        <f t="shared" ref="N12:N15" si="1">IF(H12=0,0,L12/H12)</f>
        <v>-0.49992738313480156</v>
      </c>
      <c r="O12" s="10"/>
      <c r="P12" s="4">
        <f>SUM(OSRRefP13x_0)</f>
        <v>7299.64</v>
      </c>
      <c r="Q12" s="4"/>
      <c r="R12" s="12"/>
      <c r="S12" s="4"/>
      <c r="T12" s="4">
        <f>SUM(OSRRefT13x_0)</f>
        <v>14597.16</v>
      </c>
      <c r="U12" s="4"/>
      <c r="V12" s="12"/>
      <c r="W12" s="4"/>
      <c r="X12" s="4">
        <f t="shared" ref="X12:X15" si="2">+P12-T12</f>
        <v>-7297.5199999999995</v>
      </c>
      <c r="Y12" s="4"/>
      <c r="Z12" s="12">
        <f t="shared" ref="Z12:Z15" si="3">IF(T12=0,0,X12/T12)</f>
        <v>-0.49992738313480156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3">
        <f>--1912.95</f>
        <v>1912.95</v>
      </c>
      <c r="E13" s="3"/>
      <c r="F13" s="22"/>
      <c r="G13" s="3"/>
      <c r="H13" s="3">
        <f>--2374.1</f>
        <v>2374.1</v>
      </c>
      <c r="I13" s="3"/>
      <c r="J13" s="22"/>
      <c r="K13" s="3"/>
      <c r="L13" s="3">
        <f t="shared" si="0"/>
        <v>-461.14999999999986</v>
      </c>
      <c r="M13" s="3"/>
      <c r="N13" s="22">
        <f t="shared" si="1"/>
        <v>-0.19424202855819042</v>
      </c>
      <c r="O13" s="11"/>
      <c r="P13" s="3">
        <f>--1912.95</f>
        <v>1912.95</v>
      </c>
      <c r="Q13" s="3"/>
      <c r="R13" s="22"/>
      <c r="S13" s="3"/>
      <c r="T13" s="3">
        <f>--2374.1</f>
        <v>2374.1</v>
      </c>
      <c r="U13" s="3"/>
      <c r="V13" s="22"/>
      <c r="W13" s="3"/>
      <c r="X13" s="3">
        <f t="shared" si="2"/>
        <v>-461.14999999999986</v>
      </c>
      <c r="Y13" s="3"/>
      <c r="Z13" s="22">
        <f t="shared" si="3"/>
        <v>-0.19424202855819042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3">
        <f>--2348.39</f>
        <v>2348.39</v>
      </c>
      <c r="E14" s="3"/>
      <c r="F14" s="22"/>
      <c r="G14" s="3"/>
      <c r="H14" s="3">
        <f>--7960.86</f>
        <v>7960.86</v>
      </c>
      <c r="I14" s="3"/>
      <c r="J14" s="22"/>
      <c r="K14" s="3"/>
      <c r="L14" s="3">
        <f t="shared" si="0"/>
        <v>-5612.4699999999993</v>
      </c>
      <c r="M14" s="3"/>
      <c r="N14" s="22">
        <f t="shared" si="1"/>
        <v>-0.7050080016480631</v>
      </c>
      <c r="O14" s="11"/>
      <c r="P14" s="3">
        <f>--2348.39</f>
        <v>2348.39</v>
      </c>
      <c r="Q14" s="3"/>
      <c r="R14" s="22"/>
      <c r="S14" s="3"/>
      <c r="T14" s="3">
        <f>--7960.86</f>
        <v>7960.86</v>
      </c>
      <c r="U14" s="3"/>
      <c r="V14" s="22"/>
      <c r="W14" s="3"/>
      <c r="X14" s="3">
        <f t="shared" si="2"/>
        <v>-5612.4699999999993</v>
      </c>
      <c r="Y14" s="3"/>
      <c r="Z14" s="22">
        <f t="shared" si="3"/>
        <v>-0.7050080016480631</v>
      </c>
    </row>
    <row r="15" spans="1:26" s="24" customFormat="1" hidden="1" outlineLevel="1" x14ac:dyDescent="0.25">
      <c r="A15" s="50"/>
      <c r="B15" s="11" t="str">
        <f>CONCATENATE("          ", "4100", " - ", "NON-TAXABLE SALES")</f>
        <v xml:space="preserve">          4100 - NON-TAXABLE SALES</v>
      </c>
      <c r="C15" s="11"/>
      <c r="D15" s="3">
        <f>--3038.3</f>
        <v>3038.3</v>
      </c>
      <c r="E15" s="3"/>
      <c r="F15" s="22"/>
      <c r="G15" s="3"/>
      <c r="H15" s="3">
        <f>--4262.2</f>
        <v>4262.2</v>
      </c>
      <c r="I15" s="3"/>
      <c r="J15" s="22"/>
      <c r="K15" s="3"/>
      <c r="L15" s="3">
        <f t="shared" si="0"/>
        <v>-1223.8999999999996</v>
      </c>
      <c r="M15" s="3"/>
      <c r="N15" s="22">
        <f t="shared" si="1"/>
        <v>-0.28715217493313305</v>
      </c>
      <c r="O15" s="11"/>
      <c r="P15" s="3">
        <f>--3038.3</f>
        <v>3038.3</v>
      </c>
      <c r="Q15" s="3"/>
      <c r="R15" s="22"/>
      <c r="S15" s="3"/>
      <c r="T15" s="3">
        <f>--4262.2</f>
        <v>4262.2</v>
      </c>
      <c r="U15" s="3"/>
      <c r="V15" s="22"/>
      <c r="W15" s="3"/>
      <c r="X15" s="3">
        <f t="shared" si="2"/>
        <v>-1223.8999999999996</v>
      </c>
      <c r="Y15" s="3"/>
      <c r="Z15" s="22">
        <f t="shared" si="3"/>
        <v>-0.28715217493313305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4729.28</v>
      </c>
      <c r="E17" s="4"/>
      <c r="F17" s="12">
        <f t="shared" ref="F17:F19" si="4">IF(D$12=0,0,D17/D$12)</f>
        <v>0.64787852551632674</v>
      </c>
      <c r="G17" s="4"/>
      <c r="H17" s="4">
        <f>SUM(OSRRefH16x_0)</f>
        <v>12703.6</v>
      </c>
      <c r="I17" s="4"/>
      <c r="J17" s="12">
        <f t="shared" ref="J17:J19" si="5">IF(H$12=0,0,H17/H$12)</f>
        <v>0.8702788761649527</v>
      </c>
      <c r="K17" s="4"/>
      <c r="L17" s="4">
        <f t="shared" ref="L17:L19" si="6">+D17-H17</f>
        <v>-7974.3200000000006</v>
      </c>
      <c r="M17" s="4"/>
      <c r="N17" s="12">
        <f t="shared" ref="N17:N19" si="7">IF(H17=0,0,L17/H17)</f>
        <v>-0.62772127585881166</v>
      </c>
      <c r="O17" s="10"/>
      <c r="P17" s="4">
        <f>SUM(OSRRefP16x_0)</f>
        <v>4729.28</v>
      </c>
      <c r="Q17" s="4"/>
      <c r="R17" s="12">
        <f t="shared" ref="R17:R19" si="8">IF(P$12=0,0,P17/P$12)</f>
        <v>0.64787852551632674</v>
      </c>
      <c r="S17" s="4"/>
      <c r="T17" s="4">
        <f>SUM(OSRRefT16x_0)</f>
        <v>12703.6</v>
      </c>
      <c r="U17" s="4"/>
      <c r="V17" s="12">
        <f t="shared" ref="V17:V19" si="9">IF(T$12=0,0,T17/T$12)</f>
        <v>0.8702788761649527</v>
      </c>
      <c r="W17" s="4"/>
      <c r="X17" s="4">
        <f t="shared" ref="X17:X19" si="10">+P17-T17</f>
        <v>-7974.3200000000006</v>
      </c>
      <c r="Y17" s="4"/>
      <c r="Z17" s="12">
        <f t="shared" ref="Z17:Z19" si="11">IF(T17=0,0,X17/T17)</f>
        <v>-0.62772127585881166</v>
      </c>
    </row>
    <row r="18" spans="1:26" s="24" customFormat="1" hidden="1" outlineLevel="1" x14ac:dyDescent="0.25">
      <c r="A18" s="50"/>
      <c r="B18" s="11" t="str">
        <f>CONCATENATE("          ", "5001", " - ", "PURCHASES @ COST-NEW TEXT")</f>
        <v xml:space="preserve">          5001 - PURCHASES @ COST-NEW TEXT</v>
      </c>
      <c r="C18" s="11"/>
      <c r="D18" s="3">
        <v>1653.22</v>
      </c>
      <c r="E18" s="3"/>
      <c r="F18" s="22">
        <f t="shared" si="4"/>
        <v>0.22647966201072928</v>
      </c>
      <c r="G18" s="3"/>
      <c r="H18" s="3">
        <v>2794.51</v>
      </c>
      <c r="I18" s="3"/>
      <c r="J18" s="22">
        <f t="shared" si="5"/>
        <v>0.19144203392988776</v>
      </c>
      <c r="K18" s="3"/>
      <c r="L18" s="3">
        <f t="shared" si="6"/>
        <v>-1141.2900000000002</v>
      </c>
      <c r="M18" s="3"/>
      <c r="N18" s="22">
        <f t="shared" si="7"/>
        <v>-0.40840433564381595</v>
      </c>
      <c r="O18" s="11"/>
      <c r="P18" s="3">
        <v>1653.22</v>
      </c>
      <c r="Q18" s="3"/>
      <c r="R18" s="22">
        <f t="shared" si="8"/>
        <v>0.22647966201072928</v>
      </c>
      <c r="S18" s="3"/>
      <c r="T18" s="3">
        <v>2794.51</v>
      </c>
      <c r="U18" s="3"/>
      <c r="V18" s="22">
        <f t="shared" si="9"/>
        <v>0.19144203392988776</v>
      </c>
      <c r="W18" s="3"/>
      <c r="X18" s="3">
        <f t="shared" si="10"/>
        <v>-1141.2900000000002</v>
      </c>
      <c r="Y18" s="3"/>
      <c r="Z18" s="22">
        <f t="shared" si="11"/>
        <v>-0.40840433564381595</v>
      </c>
    </row>
    <row r="19" spans="1:26" s="24" customFormat="1" hidden="1" outlineLevel="1" x14ac:dyDescent="0.25">
      <c r="A19" s="50"/>
      <c r="B19" s="11" t="str">
        <f>CONCATENATE("          ", "5002", " - ", "PURCHASES @ COST-USED TEXT")</f>
        <v xml:space="preserve">          5002 - PURCHASES @ COST-USED TEXT</v>
      </c>
      <c r="C19" s="11"/>
      <c r="D19" s="3">
        <v>3076.06</v>
      </c>
      <c r="E19" s="3"/>
      <c r="F19" s="22">
        <f t="shared" si="4"/>
        <v>0.42139886350559752</v>
      </c>
      <c r="G19" s="3"/>
      <c r="H19" s="3">
        <v>9909.09</v>
      </c>
      <c r="I19" s="3"/>
      <c r="J19" s="22">
        <f t="shared" si="5"/>
        <v>0.67883684223506491</v>
      </c>
      <c r="K19" s="3"/>
      <c r="L19" s="3">
        <f t="shared" si="6"/>
        <v>-6833.0300000000007</v>
      </c>
      <c r="M19" s="3"/>
      <c r="N19" s="22">
        <f t="shared" si="7"/>
        <v>-0.68957189812586228</v>
      </c>
      <c r="O19" s="11"/>
      <c r="P19" s="3">
        <v>3076.06</v>
      </c>
      <c r="Q19" s="3"/>
      <c r="R19" s="22">
        <f t="shared" si="8"/>
        <v>0.42139886350559752</v>
      </c>
      <c r="S19" s="3"/>
      <c r="T19" s="3">
        <v>9909.09</v>
      </c>
      <c r="U19" s="3"/>
      <c r="V19" s="22">
        <f t="shared" si="9"/>
        <v>0.67883684223506491</v>
      </c>
      <c r="W19" s="3"/>
      <c r="X19" s="3">
        <f t="shared" si="10"/>
        <v>-6833.0300000000007</v>
      </c>
      <c r="Y19" s="3"/>
      <c r="Z19" s="22">
        <f t="shared" si="11"/>
        <v>-0.68957189812586228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25">
      <c r="A21" s="10"/>
      <c r="B21" s="26" t="s">
        <v>6</v>
      </c>
      <c r="C21" s="26"/>
      <c r="D21" s="19">
        <f>D12-D17</f>
        <v>2570.3600000000006</v>
      </c>
      <c r="E21" s="13"/>
      <c r="F21" s="20">
        <f>IF(D$12=0,0,D21/D$12)</f>
        <v>0.35212147448367326</v>
      </c>
      <c r="G21" s="13"/>
      <c r="H21" s="19">
        <f>H12-H17</f>
        <v>1893.5599999999995</v>
      </c>
      <c r="I21" s="13"/>
      <c r="J21" s="20">
        <f>IF(H$12=0,0,H21/H$12)</f>
        <v>0.12972112383504733</v>
      </c>
      <c r="K21" s="16"/>
      <c r="L21" s="19">
        <f>+D21-H21</f>
        <v>676.80000000000109</v>
      </c>
      <c r="M21" s="16"/>
      <c r="N21" s="20">
        <f>IF(H21=0,0,L21/H21)</f>
        <v>0.35742199877479525</v>
      </c>
      <c r="O21" s="25"/>
      <c r="P21" s="19">
        <f>P12-P17</f>
        <v>2570.3600000000006</v>
      </c>
      <c r="Q21" s="13"/>
      <c r="R21" s="20">
        <f>IF(P$12=0,0,P21/P$12)</f>
        <v>0.35212147448367326</v>
      </c>
      <c r="S21" s="13"/>
      <c r="T21" s="19">
        <f>T12-T17</f>
        <v>1893.5599999999995</v>
      </c>
      <c r="U21" s="13"/>
      <c r="V21" s="20">
        <f>IF(T$12=0,0,T21/T$12)</f>
        <v>0.12972112383504733</v>
      </c>
      <c r="W21" s="16"/>
      <c r="X21" s="19">
        <f>+P21-T21</f>
        <v>676.80000000000109</v>
      </c>
      <c r="Y21" s="16"/>
      <c r="Z21" s="20">
        <f>IF(T21=0,0,X21/T21)</f>
        <v>0.35742199877479525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SUM(0)</f>
        <v>0</v>
      </c>
      <c r="E23" s="21"/>
      <c r="F23" s="34">
        <f>IF(D$12=0,0,D23/D$12)</f>
        <v>0</v>
      </c>
      <c r="G23" s="21"/>
      <c r="H23" s="21">
        <f>SUM(0)</f>
        <v>0</v>
      </c>
      <c r="I23" s="21"/>
      <c r="J23" s="34">
        <f>IF(H$12=0,0,H23/H$12)</f>
        <v>0</v>
      </c>
      <c r="K23" s="4"/>
      <c r="L23" s="21">
        <f>+D23-H23</f>
        <v>0</v>
      </c>
      <c r="M23" s="4"/>
      <c r="N23" s="34">
        <f>IF(H23=0,0,L23/H23)</f>
        <v>0</v>
      </c>
      <c r="O23" s="10"/>
      <c r="P23" s="21">
        <f>SUM(0)</f>
        <v>0</v>
      </c>
      <c r="Q23" s="21"/>
      <c r="R23" s="34">
        <f>IF(P$12=0,0,P23/P$12)</f>
        <v>0</v>
      </c>
      <c r="S23" s="21"/>
      <c r="T23" s="21">
        <f>SUM(0)</f>
        <v>0</v>
      </c>
      <c r="U23" s="21"/>
      <c r="V23" s="34">
        <f>IF(T$12=0,0,T23/T$12)</f>
        <v>0</v>
      </c>
      <c r="W23" s="4"/>
      <c r="X23" s="21">
        <f>+P23-T23</f>
        <v>0</v>
      </c>
      <c r="Y23" s="4"/>
      <c r="Z23" s="34">
        <f>IF(T23=0,0,X23/T23)</f>
        <v>0</v>
      </c>
    </row>
    <row r="24" spans="1:26" s="61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>
        <f>+D21-D23+D25</f>
        <v>2570.3600000000006</v>
      </c>
      <c r="E27" s="13"/>
      <c r="F27" s="20">
        <f>IF(D$12=0,0,D27/D$12)</f>
        <v>0.35212147448367326</v>
      </c>
      <c r="G27" s="13"/>
      <c r="H27" s="19">
        <f>+H21-H23+H25</f>
        <v>1893.5599999999995</v>
      </c>
      <c r="I27" s="13"/>
      <c r="J27" s="20">
        <f>IF(H$12=0,0,H27/H$12)</f>
        <v>0.12972112383504733</v>
      </c>
      <c r="K27" s="16"/>
      <c r="L27" s="19">
        <f>+D27-H27</f>
        <v>676.80000000000109</v>
      </c>
      <c r="M27" s="16"/>
      <c r="N27" s="20">
        <f>IF(H27=0,0,L27/H27)</f>
        <v>0.35742199877479525</v>
      </c>
      <c r="O27" s="25"/>
      <c r="P27" s="19">
        <f>+P21-P23+P25</f>
        <v>2570.3600000000006</v>
      </c>
      <c r="Q27" s="13"/>
      <c r="R27" s="20">
        <f>IF(P$12=0,0,P27/P$12)</f>
        <v>0.35212147448367326</v>
      </c>
      <c r="S27" s="13"/>
      <c r="T27" s="19">
        <f>+T21-T23+T25</f>
        <v>1893.5599999999995</v>
      </c>
      <c r="U27" s="13"/>
      <c r="V27" s="20">
        <f>IF(T$12=0,0,T27/T$12)</f>
        <v>0.12972112383504733</v>
      </c>
      <c r="W27" s="16"/>
      <c r="X27" s="19">
        <f>+P27-T27</f>
        <v>676.80000000000109</v>
      </c>
      <c r="Y27" s="16"/>
      <c r="Z27" s="20">
        <f>IF(T27=0,0,X27/T27)</f>
        <v>0.35742199877479525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>
        <v>3510.74</v>
      </c>
      <c r="E29" s="4"/>
      <c r="F29" s="12">
        <f>IF(D$12=0,0,D29/D$12)</f>
        <v>0.48094700560575587</v>
      </c>
      <c r="G29" s="4"/>
      <c r="H29" s="4">
        <v>3035.18</v>
      </c>
      <c r="I29" s="4"/>
      <c r="J29" s="12">
        <f>IF(H$12=0,0,H29/H$12)</f>
        <v>0.20792948765376279</v>
      </c>
      <c r="K29" s="4"/>
      <c r="L29" s="4">
        <f>+D29-H29</f>
        <v>475.55999999999995</v>
      </c>
      <c r="M29" s="4"/>
      <c r="N29" s="12">
        <f>IF(H29=0,0,L29/H29)</f>
        <v>0.15668263496728366</v>
      </c>
      <c r="O29" s="10"/>
      <c r="P29" s="4">
        <v>3510.74</v>
      </c>
      <c r="Q29" s="4"/>
      <c r="R29" s="12">
        <f>IF(P$12=0,0,P29/P$12)</f>
        <v>0.48094700560575587</v>
      </c>
      <c r="S29" s="4"/>
      <c r="T29" s="4">
        <v>3035.18</v>
      </c>
      <c r="U29" s="4"/>
      <c r="V29" s="12">
        <f>IF(T$12=0,0,T29/T$12)</f>
        <v>0.20792948765376279</v>
      </c>
      <c r="W29" s="4"/>
      <c r="X29" s="4">
        <f>+P29-T29</f>
        <v>475.55999999999995</v>
      </c>
      <c r="Y29" s="4"/>
      <c r="Z29" s="12">
        <f>IF(T29=0,0,X29/T29)</f>
        <v>0.15668263496728366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>
        <f>+D27-D29</f>
        <v>-940.3799999999992</v>
      </c>
      <c r="E31" s="13"/>
      <c r="F31" s="30">
        <f>IF(D$12=0,0,D31/D$12)</f>
        <v>-0.12882553112208261</v>
      </c>
      <c r="G31" s="13"/>
      <c r="H31" s="35">
        <f>+H27-H29</f>
        <v>-1141.6200000000003</v>
      </c>
      <c r="I31" s="13"/>
      <c r="J31" s="30">
        <f>IF(H$12=0,0,H31/H$12)</f>
        <v>-7.8208363818715446E-2</v>
      </c>
      <c r="K31" s="16"/>
      <c r="L31" s="35">
        <f>D31-H31</f>
        <v>201.24000000000115</v>
      </c>
      <c r="M31" s="16"/>
      <c r="N31" s="30">
        <f>IF(H31=0,0,L31/H31)</f>
        <v>-0.17627581857360688</v>
      </c>
      <c r="O31" s="25"/>
      <c r="P31" s="35">
        <f>+P27-P29</f>
        <v>-940.3799999999992</v>
      </c>
      <c r="Q31" s="13"/>
      <c r="R31" s="30">
        <f>IF(P$12=0,0,P31/P$12)</f>
        <v>-0.12882553112208261</v>
      </c>
      <c r="S31" s="13"/>
      <c r="T31" s="35">
        <f>+T27-T29</f>
        <v>-1141.6200000000003</v>
      </c>
      <c r="U31" s="13"/>
      <c r="V31" s="30">
        <f>IF(T$12=0,0,T31/T$12)</f>
        <v>-7.8208363818715446E-2</v>
      </c>
      <c r="W31" s="16"/>
      <c r="X31" s="35">
        <f>P31-T31</f>
        <v>201.24000000000115</v>
      </c>
      <c r="Y31" s="16"/>
      <c r="Z31" s="30">
        <f>IF(T31=0,0,X31/T31)</f>
        <v>-0.17627581857360688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x14ac:dyDescent="0.25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ht="15.75" thickBot="1" x14ac:dyDescent="0.3">
      <c r="A34" s="10"/>
      <c r="B34" s="26" t="s">
        <v>5</v>
      </c>
      <c r="C34" s="26"/>
      <c r="D34" s="31">
        <f>SUM(D31:D33)</f>
        <v>-940.3799999999992</v>
      </c>
      <c r="E34" s="13"/>
      <c r="F34" s="32">
        <f>IF(D$12=0,0,D34/D$12)</f>
        <v>-0.12882553112208261</v>
      </c>
      <c r="G34" s="13"/>
      <c r="H34" s="31">
        <f>SUM(H31:H33)</f>
        <v>-1141.6200000000003</v>
      </c>
      <c r="I34" s="13"/>
      <c r="J34" s="32">
        <f>IF(H$12=0,0,H34/H$12)</f>
        <v>-7.8208363818715446E-2</v>
      </c>
      <c r="K34" s="16"/>
      <c r="L34" s="31">
        <f>+D34-H34</f>
        <v>201.24000000000115</v>
      </c>
      <c r="M34" s="16"/>
      <c r="N34" s="32">
        <f>IF(H34=0,0,L34/H34)</f>
        <v>-0.17627581857360688</v>
      </c>
      <c r="O34" s="25"/>
      <c r="P34" s="31">
        <f>SUM(P31:P33)</f>
        <v>-940.3799999999992</v>
      </c>
      <c r="Q34" s="13"/>
      <c r="R34" s="32">
        <f>IF(P$12=0,0,P34/P$12)</f>
        <v>-0.12882553112208261</v>
      </c>
      <c r="S34" s="13"/>
      <c r="T34" s="31">
        <f>SUM(T31:T33)</f>
        <v>-1141.6200000000003</v>
      </c>
      <c r="U34" s="13"/>
      <c r="V34" s="32">
        <f>IF(T$12=0,0,T34/T$12)</f>
        <v>-7.8208363818715446E-2</v>
      </c>
      <c r="W34" s="16"/>
      <c r="X34" s="31">
        <f>+P34-T34</f>
        <v>201.24000000000115</v>
      </c>
      <c r="Y34" s="16"/>
      <c r="Z34" s="32">
        <f>IF(T34=0,0,X34/T34)</f>
        <v>-0.17627581857360688</v>
      </c>
    </row>
    <row r="35" spans="1:26" ht="15.75" thickTop="1" x14ac:dyDescent="0.25">
      <c r="A35" s="9"/>
      <c r="C35" s="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25">
      <c r="A36" s="9"/>
      <c r="B36" s="59">
        <v>44109.414407141201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62" t="s">
        <v>313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174780.81999999998</v>
      </c>
      <c r="E12" s="4"/>
      <c r="F12" s="12"/>
      <c r="G12" s="4"/>
      <c r="H12" s="4">
        <f>SUM(OSRRefH13x_0)</f>
        <v>232127.31000000003</v>
      </c>
      <c r="I12" s="4"/>
      <c r="J12" s="12"/>
      <c r="K12" s="4"/>
      <c r="L12" s="4">
        <f t="shared" ref="L12:L47" si="0">+D12-H12</f>
        <v>-57346.490000000049</v>
      </c>
      <c r="M12" s="4"/>
      <c r="N12" s="12">
        <f t="shared" ref="N12:N47" si="1">IF(H12=0,0,L12/H12)</f>
        <v>-0.24704757919264236</v>
      </c>
      <c r="O12" s="10"/>
      <c r="P12" s="4">
        <f>SUM(OSRRefP13x_0)</f>
        <v>174780.81999999998</v>
      </c>
      <c r="Q12" s="4"/>
      <c r="R12" s="12"/>
      <c r="S12" s="4"/>
      <c r="T12" s="4">
        <f>SUM(OSRRefT13x_0)</f>
        <v>232127.31000000003</v>
      </c>
      <c r="U12" s="4"/>
      <c r="V12" s="12"/>
      <c r="W12" s="4"/>
      <c r="X12" s="4">
        <f t="shared" ref="X12:X47" si="2">+P12-T12</f>
        <v>-57346.490000000049</v>
      </c>
      <c r="Y12" s="4"/>
      <c r="Z12" s="12">
        <f t="shared" ref="Z12:Z47" si="3">IF(T12=0,0,X12/T12)</f>
        <v>-0.24704757919264236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-9953.39</f>
        <v>-9953.39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-9953.39</v>
      </c>
      <c r="M13" s="3"/>
      <c r="N13" s="22">
        <f t="shared" si="1"/>
        <v>0</v>
      </c>
      <c r="O13" s="11"/>
      <c r="P13" s="3">
        <f>-9953.39</f>
        <v>-9953.39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-9953.39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3">
        <f>--236.56</f>
        <v>236.56</v>
      </c>
      <c r="E14" s="3"/>
      <c r="F14" s="22"/>
      <c r="G14" s="3"/>
      <c r="H14" s="3">
        <f>--38.56</f>
        <v>38.56</v>
      </c>
      <c r="I14" s="3"/>
      <c r="J14" s="22"/>
      <c r="K14" s="3"/>
      <c r="L14" s="3">
        <f t="shared" si="0"/>
        <v>198</v>
      </c>
      <c r="M14" s="3"/>
      <c r="N14" s="22">
        <f t="shared" si="1"/>
        <v>5.1348547717842319</v>
      </c>
      <c r="O14" s="11"/>
      <c r="P14" s="3">
        <f>--236.56</f>
        <v>236.56</v>
      </c>
      <c r="Q14" s="3"/>
      <c r="R14" s="22"/>
      <c r="S14" s="3"/>
      <c r="T14" s="3">
        <f>--38.56</f>
        <v>38.56</v>
      </c>
      <c r="U14" s="3"/>
      <c r="V14" s="22"/>
      <c r="W14" s="3"/>
      <c r="X14" s="3">
        <f t="shared" si="2"/>
        <v>198</v>
      </c>
      <c r="Y14" s="3"/>
      <c r="Z14" s="22">
        <f t="shared" si="3"/>
        <v>5.1348547717842319</v>
      </c>
    </row>
    <row r="15" spans="1:26" s="24" customFormat="1" hidden="1" outlineLevel="1" x14ac:dyDescent="0.25">
      <c r="A15" s="50"/>
      <c r="B15" s="11" t="str">
        <f>CONCATENATE("          ", "4027", " - ", "TAXABLE SALES-SCHOOL SUPPLIES")</f>
        <v xml:space="preserve">          4027 - TAXABLE SALES-SCHOOL SUPPLIES</v>
      </c>
      <c r="C15" s="11"/>
      <c r="D15" s="3">
        <f>--1653.17</f>
        <v>1653.17</v>
      </c>
      <c r="E15" s="3"/>
      <c r="F15" s="22"/>
      <c r="G15" s="3"/>
      <c r="H15" s="3">
        <f t="shared" ref="H15:H18" si="4">0</f>
        <v>0</v>
      </c>
      <c r="I15" s="3"/>
      <c r="J15" s="22"/>
      <c r="K15" s="3"/>
      <c r="L15" s="3">
        <f t="shared" si="0"/>
        <v>1653.17</v>
      </c>
      <c r="M15" s="3"/>
      <c r="N15" s="22">
        <f t="shared" si="1"/>
        <v>0</v>
      </c>
      <c r="O15" s="11"/>
      <c r="P15" s="3">
        <f>--1653.17</f>
        <v>1653.17</v>
      </c>
      <c r="Q15" s="3"/>
      <c r="R15" s="22"/>
      <c r="S15" s="3"/>
      <c r="T15" s="3">
        <f t="shared" ref="T15:T18" si="5">0</f>
        <v>0</v>
      </c>
      <c r="U15" s="3"/>
      <c r="V15" s="22"/>
      <c r="W15" s="3"/>
      <c r="X15" s="3">
        <f t="shared" si="2"/>
        <v>1653.17</v>
      </c>
      <c r="Y15" s="3"/>
      <c r="Z15" s="22">
        <f t="shared" si="3"/>
        <v>0</v>
      </c>
    </row>
    <row r="16" spans="1:26" s="24" customFormat="1" hidden="1" outlineLevel="1" x14ac:dyDescent="0.25">
      <c r="A16" s="50"/>
      <c r="B16" s="11" t="str">
        <f>CONCATENATE("          ", "4028", " - ", "TAXABLE SALES-ART/TECH")</f>
        <v xml:space="preserve">          4028 - TAXABLE SALES-ART/TECH</v>
      </c>
      <c r="C16" s="11"/>
      <c r="D16" s="3">
        <f>--19.85</f>
        <v>19.850000000000001</v>
      </c>
      <c r="E16" s="3"/>
      <c r="F16" s="22"/>
      <c r="G16" s="3"/>
      <c r="H16" s="3">
        <f t="shared" si="4"/>
        <v>0</v>
      </c>
      <c r="I16" s="3"/>
      <c r="J16" s="22"/>
      <c r="K16" s="3"/>
      <c r="L16" s="3">
        <f t="shared" si="0"/>
        <v>19.850000000000001</v>
      </c>
      <c r="M16" s="3"/>
      <c r="N16" s="22">
        <f t="shared" si="1"/>
        <v>0</v>
      </c>
      <c r="O16" s="11"/>
      <c r="P16" s="3">
        <f>--19.85</f>
        <v>19.850000000000001</v>
      </c>
      <c r="Q16" s="3"/>
      <c r="R16" s="22"/>
      <c r="S16" s="3"/>
      <c r="T16" s="3">
        <f t="shared" si="5"/>
        <v>0</v>
      </c>
      <c r="U16" s="3"/>
      <c r="V16" s="22"/>
      <c r="W16" s="3"/>
      <c r="X16" s="3">
        <f t="shared" si="2"/>
        <v>19.850000000000001</v>
      </c>
      <c r="Y16" s="3"/>
      <c r="Z16" s="22">
        <f t="shared" si="3"/>
        <v>0</v>
      </c>
    </row>
    <row r="17" spans="1:26" s="24" customFormat="1" hidden="1" outlineLevel="1" x14ac:dyDescent="0.25">
      <c r="A17" s="50"/>
      <c r="B17" s="11" t="str">
        <f>CONCATENATE("          ", "4031", " - ", "TAXABLE SALES-FOOD")</f>
        <v xml:space="preserve">          4031 - TAXABLE SALES-FOOD</v>
      </c>
      <c r="C17" s="11"/>
      <c r="D17" s="3">
        <f>--19.75</f>
        <v>19.75</v>
      </c>
      <c r="E17" s="3"/>
      <c r="F17" s="22"/>
      <c r="G17" s="3"/>
      <c r="H17" s="3">
        <f t="shared" si="4"/>
        <v>0</v>
      </c>
      <c r="I17" s="3"/>
      <c r="J17" s="22"/>
      <c r="K17" s="3"/>
      <c r="L17" s="3">
        <f t="shared" si="0"/>
        <v>19.75</v>
      </c>
      <c r="M17" s="3"/>
      <c r="N17" s="22">
        <f t="shared" si="1"/>
        <v>0</v>
      </c>
      <c r="O17" s="11"/>
      <c r="P17" s="3">
        <f>--19.75</f>
        <v>19.75</v>
      </c>
      <c r="Q17" s="3"/>
      <c r="R17" s="22"/>
      <c r="S17" s="3"/>
      <c r="T17" s="3">
        <f t="shared" si="5"/>
        <v>0</v>
      </c>
      <c r="U17" s="3"/>
      <c r="V17" s="22"/>
      <c r="W17" s="3"/>
      <c r="X17" s="3">
        <f t="shared" si="2"/>
        <v>19.75</v>
      </c>
      <c r="Y17" s="3"/>
      <c r="Z17" s="22">
        <f t="shared" si="3"/>
        <v>0</v>
      </c>
    </row>
    <row r="18" spans="1:26" s="24" customFormat="1" hidden="1" outlineLevel="1" x14ac:dyDescent="0.25">
      <c r="A18" s="50"/>
      <c r="B18" s="11" t="str">
        <f>CONCATENATE("          ", "4034", " - ", "TAXABLE SALES-SODA")</f>
        <v xml:space="preserve">          4034 - TAXABLE SALES-SODA</v>
      </c>
      <c r="C18" s="11"/>
      <c r="D18" s="3">
        <f>--6.78</f>
        <v>6.78</v>
      </c>
      <c r="E18" s="3"/>
      <c r="F18" s="22"/>
      <c r="G18" s="3"/>
      <c r="H18" s="3">
        <f t="shared" si="4"/>
        <v>0</v>
      </c>
      <c r="I18" s="3"/>
      <c r="J18" s="22"/>
      <c r="K18" s="3"/>
      <c r="L18" s="3">
        <f t="shared" si="0"/>
        <v>6.78</v>
      </c>
      <c r="M18" s="3"/>
      <c r="N18" s="22">
        <f t="shared" si="1"/>
        <v>0</v>
      </c>
      <c r="O18" s="11"/>
      <c r="P18" s="3">
        <f>--6.78</f>
        <v>6.78</v>
      </c>
      <c r="Q18" s="3"/>
      <c r="R18" s="22"/>
      <c r="S18" s="3"/>
      <c r="T18" s="3">
        <f t="shared" si="5"/>
        <v>0</v>
      </c>
      <c r="U18" s="3"/>
      <c r="V18" s="22"/>
      <c r="W18" s="3"/>
      <c r="X18" s="3">
        <f t="shared" si="2"/>
        <v>6.78</v>
      </c>
      <c r="Y18" s="3"/>
      <c r="Z18" s="22">
        <f t="shared" si="3"/>
        <v>0</v>
      </c>
    </row>
    <row r="19" spans="1:26" s="24" customFormat="1" hidden="1" outlineLevel="1" x14ac:dyDescent="0.25">
      <c r="A19" s="50"/>
      <c r="B19" s="11" t="str">
        <f>CONCATENATE("          ", "4040", " - ", "TAXABLE SALES-LOGO CLOTHING")</f>
        <v xml:space="preserve">          4040 - TAXABLE SALES-LOGO CLOTHING</v>
      </c>
      <c r="C19" s="11"/>
      <c r="D19" s="3">
        <f>--72292.26</f>
        <v>72292.259999999995</v>
      </c>
      <c r="E19" s="3"/>
      <c r="F19" s="22"/>
      <c r="G19" s="3"/>
      <c r="H19" s="3">
        <f>--170312.02</f>
        <v>170312.02</v>
      </c>
      <c r="I19" s="3"/>
      <c r="J19" s="22"/>
      <c r="K19" s="3"/>
      <c r="L19" s="3">
        <f t="shared" si="0"/>
        <v>-98019.76</v>
      </c>
      <c r="M19" s="3"/>
      <c r="N19" s="22">
        <f t="shared" si="1"/>
        <v>-0.57553048810060503</v>
      </c>
      <c r="O19" s="11"/>
      <c r="P19" s="3">
        <f>--72292.26</f>
        <v>72292.259999999995</v>
      </c>
      <c r="Q19" s="3"/>
      <c r="R19" s="22"/>
      <c r="S19" s="3"/>
      <c r="T19" s="3">
        <f>--170312.02</f>
        <v>170312.02</v>
      </c>
      <c r="U19" s="3"/>
      <c r="V19" s="22"/>
      <c r="W19" s="3"/>
      <c r="X19" s="3">
        <f t="shared" si="2"/>
        <v>-98019.76</v>
      </c>
      <c r="Y19" s="3"/>
      <c r="Z19" s="22">
        <f t="shared" si="3"/>
        <v>-0.57553048810060503</v>
      </c>
    </row>
    <row r="20" spans="1:26" s="24" customFormat="1" hidden="1" outlineLevel="1" x14ac:dyDescent="0.25">
      <c r="A20" s="50"/>
      <c r="B20" s="11" t="str">
        <f>CONCATENATE("          ", "4041", " - ", "TAXABLE SALES-LOGO GIFTS")</f>
        <v xml:space="preserve">          4041 - TAXABLE SALES-LOGO GIFTS</v>
      </c>
      <c r="C20" s="11"/>
      <c r="D20" s="3">
        <f>--20103.31</f>
        <v>20103.310000000001</v>
      </c>
      <c r="E20" s="3"/>
      <c r="F20" s="22"/>
      <c r="G20" s="3"/>
      <c r="H20" s="3">
        <f>--30577.89</f>
        <v>30577.89</v>
      </c>
      <c r="I20" s="3"/>
      <c r="J20" s="22"/>
      <c r="K20" s="3"/>
      <c r="L20" s="3">
        <f t="shared" si="0"/>
        <v>-10474.579999999998</v>
      </c>
      <c r="M20" s="3"/>
      <c r="N20" s="22">
        <f t="shared" si="1"/>
        <v>-0.34255404803928585</v>
      </c>
      <c r="O20" s="11"/>
      <c r="P20" s="3">
        <f>--20103.31</f>
        <v>20103.310000000001</v>
      </c>
      <c r="Q20" s="3"/>
      <c r="R20" s="22"/>
      <c r="S20" s="3"/>
      <c r="T20" s="3">
        <f>--30577.89</f>
        <v>30577.89</v>
      </c>
      <c r="U20" s="3"/>
      <c r="V20" s="22"/>
      <c r="W20" s="3"/>
      <c r="X20" s="3">
        <f t="shared" si="2"/>
        <v>-10474.579999999998</v>
      </c>
      <c r="Y20" s="3"/>
      <c r="Z20" s="22">
        <f t="shared" si="3"/>
        <v>-0.34255404803928585</v>
      </c>
    </row>
    <row r="21" spans="1:26" s="24" customFormat="1" hidden="1" outlineLevel="1" x14ac:dyDescent="0.25">
      <c r="A21" s="50"/>
      <c r="B21" s="11" t="str">
        <f>CONCATENATE("          ", "4042", " - ", "TAXABLE SALES-EVERYDAY GIFTS")</f>
        <v xml:space="preserve">          4042 - TAXABLE SALES-EVERYDAY GIFTS</v>
      </c>
      <c r="C21" s="11"/>
      <c r="D21" s="3">
        <f>--5753.38</f>
        <v>5753.38</v>
      </c>
      <c r="E21" s="3"/>
      <c r="F21" s="22"/>
      <c r="G21" s="3"/>
      <c r="H21" s="3">
        <f>--11533.13</f>
        <v>11533.13</v>
      </c>
      <c r="I21" s="3"/>
      <c r="J21" s="22"/>
      <c r="K21" s="3"/>
      <c r="L21" s="3">
        <f t="shared" si="0"/>
        <v>-5779.7499999999991</v>
      </c>
      <c r="M21" s="3"/>
      <c r="N21" s="22">
        <f t="shared" si="1"/>
        <v>-0.50114322824766555</v>
      </c>
      <c r="O21" s="11"/>
      <c r="P21" s="3">
        <f>--5753.38</f>
        <v>5753.38</v>
      </c>
      <c r="Q21" s="3"/>
      <c r="R21" s="22"/>
      <c r="S21" s="3"/>
      <c r="T21" s="3">
        <f>--11533.13</f>
        <v>11533.13</v>
      </c>
      <c r="U21" s="3"/>
      <c r="V21" s="22"/>
      <c r="W21" s="3"/>
      <c r="X21" s="3">
        <f t="shared" si="2"/>
        <v>-5779.7499999999991</v>
      </c>
      <c r="Y21" s="3"/>
      <c r="Z21" s="22">
        <f t="shared" si="3"/>
        <v>-0.50114322824766555</v>
      </c>
    </row>
    <row r="22" spans="1:26" s="24" customFormat="1" hidden="1" outlineLevel="1" x14ac:dyDescent="0.25">
      <c r="A22" s="50"/>
      <c r="B22" s="11" t="str">
        <f>CONCATENATE("          ", "4043", " - ", "TAXABLE SALES-CARDS")</f>
        <v xml:space="preserve">          4043 - TAXABLE SALES-CARDS</v>
      </c>
      <c r="C22" s="11"/>
      <c r="D22" s="3">
        <f>--217.36</f>
        <v>217.36</v>
      </c>
      <c r="E22" s="3"/>
      <c r="F22" s="22"/>
      <c r="G22" s="3"/>
      <c r="H22" s="3">
        <f>--40.85</f>
        <v>40.85</v>
      </c>
      <c r="I22" s="3"/>
      <c r="J22" s="22"/>
      <c r="K22" s="3"/>
      <c r="L22" s="3">
        <f t="shared" si="0"/>
        <v>176.51000000000002</v>
      </c>
      <c r="M22" s="3"/>
      <c r="N22" s="22">
        <f t="shared" si="1"/>
        <v>4.3209302325581396</v>
      </c>
      <c r="O22" s="11"/>
      <c r="P22" s="3">
        <f>--217.36</f>
        <v>217.36</v>
      </c>
      <c r="Q22" s="3"/>
      <c r="R22" s="22"/>
      <c r="S22" s="3"/>
      <c r="T22" s="3">
        <f>--40.85</f>
        <v>40.85</v>
      </c>
      <c r="U22" s="3"/>
      <c r="V22" s="22"/>
      <c r="W22" s="3"/>
      <c r="X22" s="3">
        <f t="shared" si="2"/>
        <v>176.51000000000002</v>
      </c>
      <c r="Y22" s="3"/>
      <c r="Z22" s="22">
        <f t="shared" si="3"/>
        <v>4.3209302325581396</v>
      </c>
    </row>
    <row r="23" spans="1:26" s="24" customFormat="1" hidden="1" outlineLevel="1" x14ac:dyDescent="0.25">
      <c r="A23" s="50"/>
      <c r="B23" s="11" t="str">
        <f>CONCATENATE("          ", "4044", " - ", "TAXABLE SALES-ACCESSORIES")</f>
        <v xml:space="preserve">          4044 - TAXABLE SALES-ACCESSORIES</v>
      </c>
      <c r="C23" s="11"/>
      <c r="D23" s="3">
        <f>--1800.68</f>
        <v>1800.68</v>
      </c>
      <c r="E23" s="3"/>
      <c r="F23" s="22"/>
      <c r="G23" s="3"/>
      <c r="H23" s="3">
        <f>--2342.65</f>
        <v>2342.65</v>
      </c>
      <c r="I23" s="3"/>
      <c r="J23" s="22"/>
      <c r="K23" s="3"/>
      <c r="L23" s="3">
        <f t="shared" si="0"/>
        <v>-541.97</v>
      </c>
      <c r="M23" s="3"/>
      <c r="N23" s="22">
        <f t="shared" si="1"/>
        <v>-0.23134911318378759</v>
      </c>
      <c r="O23" s="11"/>
      <c r="P23" s="3">
        <f>--1800.68</f>
        <v>1800.68</v>
      </c>
      <c r="Q23" s="3"/>
      <c r="R23" s="22"/>
      <c r="S23" s="3"/>
      <c r="T23" s="3">
        <f>--2342.65</f>
        <v>2342.65</v>
      </c>
      <c r="U23" s="3"/>
      <c r="V23" s="22"/>
      <c r="W23" s="3"/>
      <c r="X23" s="3">
        <f t="shared" si="2"/>
        <v>-541.97</v>
      </c>
      <c r="Y23" s="3"/>
      <c r="Z23" s="22">
        <f t="shared" si="3"/>
        <v>-0.23134911318378759</v>
      </c>
    </row>
    <row r="24" spans="1:26" s="24" customFormat="1" hidden="1" outlineLevel="1" x14ac:dyDescent="0.25">
      <c r="A24" s="50"/>
      <c r="B24" s="11" t="str">
        <f>CONCATENATE("          ", "4045", " - ", "TAXABLE SALES-SPECIAL ORDERS")</f>
        <v xml:space="preserve">          4045 - TAXABLE SALES-SPECIAL ORDERS</v>
      </c>
      <c r="C24" s="11"/>
      <c r="D24" s="3">
        <f>--43426.73</f>
        <v>43426.73</v>
      </c>
      <c r="E24" s="3"/>
      <c r="F24" s="22"/>
      <c r="G24" s="3"/>
      <c r="H24" s="3">
        <f>--19420.72</f>
        <v>19420.72</v>
      </c>
      <c r="I24" s="3"/>
      <c r="J24" s="22"/>
      <c r="K24" s="3"/>
      <c r="L24" s="3">
        <f t="shared" si="0"/>
        <v>24006.010000000002</v>
      </c>
      <c r="M24" s="3"/>
      <c r="N24" s="22">
        <f t="shared" si="1"/>
        <v>1.2361029869129465</v>
      </c>
      <c r="O24" s="11"/>
      <c r="P24" s="3">
        <f>--43426.73</f>
        <v>43426.73</v>
      </c>
      <c r="Q24" s="3"/>
      <c r="R24" s="22"/>
      <c r="S24" s="3"/>
      <c r="T24" s="3">
        <f>--19420.72</f>
        <v>19420.72</v>
      </c>
      <c r="U24" s="3"/>
      <c r="V24" s="22"/>
      <c r="W24" s="3"/>
      <c r="X24" s="3">
        <f t="shared" si="2"/>
        <v>24006.010000000002</v>
      </c>
      <c r="Y24" s="3"/>
      <c r="Z24" s="22">
        <f t="shared" si="3"/>
        <v>1.2361029869129465</v>
      </c>
    </row>
    <row r="25" spans="1:26" s="24" customFormat="1" hidden="1" outlineLevel="1" x14ac:dyDescent="0.25">
      <c r="A25" s="50"/>
      <c r="B25" s="11" t="str">
        <f>CONCATENATE("          ", "4095", " - ", "TAXABLE SALES-CUSTOMER SERVICE")</f>
        <v xml:space="preserve">          4095 - TAXABLE SALES-CUSTOMER SERVICE</v>
      </c>
      <c r="C25" s="11"/>
      <c r="D25" s="3">
        <f>0</f>
        <v>0</v>
      </c>
      <c r="E25" s="3"/>
      <c r="F25" s="22"/>
      <c r="G25" s="3"/>
      <c r="H25" s="3">
        <f>--10.89</f>
        <v>10.89</v>
      </c>
      <c r="I25" s="3"/>
      <c r="J25" s="22"/>
      <c r="K25" s="3"/>
      <c r="L25" s="3">
        <f t="shared" si="0"/>
        <v>-10.89</v>
      </c>
      <c r="M25" s="3"/>
      <c r="N25" s="22">
        <f t="shared" si="1"/>
        <v>-1</v>
      </c>
      <c r="O25" s="11"/>
      <c r="P25" s="3">
        <f>0</f>
        <v>0</v>
      </c>
      <c r="Q25" s="3"/>
      <c r="R25" s="22"/>
      <c r="S25" s="3"/>
      <c r="T25" s="3">
        <f>--10.89</f>
        <v>10.89</v>
      </c>
      <c r="U25" s="3"/>
      <c r="V25" s="22"/>
      <c r="W25" s="3"/>
      <c r="X25" s="3">
        <f t="shared" si="2"/>
        <v>-10.89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"4126", " - ", "NON-TAXABLE SALES-WRITING INST")</f>
        <v xml:space="preserve">          4126 - NON-TAXABLE SALES-WRITING INST</v>
      </c>
      <c r="C26" s="11"/>
      <c r="D26" s="3">
        <f>--52.68</f>
        <v>52.68</v>
      </c>
      <c r="E26" s="3"/>
      <c r="F26" s="22"/>
      <c r="G26" s="3"/>
      <c r="H26" s="3">
        <f t="shared" ref="H26:H31" si="6">0</f>
        <v>0</v>
      </c>
      <c r="I26" s="3"/>
      <c r="J26" s="22"/>
      <c r="K26" s="3"/>
      <c r="L26" s="3">
        <f t="shared" si="0"/>
        <v>52.68</v>
      </c>
      <c r="M26" s="3"/>
      <c r="N26" s="22">
        <f t="shared" si="1"/>
        <v>0</v>
      </c>
      <c r="O26" s="11"/>
      <c r="P26" s="3">
        <f>--52.68</f>
        <v>52.68</v>
      </c>
      <c r="Q26" s="3"/>
      <c r="R26" s="22"/>
      <c r="S26" s="3"/>
      <c r="T26" s="3">
        <f t="shared" ref="T26:T31" si="7">0</f>
        <v>0</v>
      </c>
      <c r="U26" s="3"/>
      <c r="V26" s="22"/>
      <c r="W26" s="3"/>
      <c r="X26" s="3">
        <f t="shared" si="2"/>
        <v>52.68</v>
      </c>
      <c r="Y26" s="3"/>
      <c r="Z26" s="22">
        <f t="shared" si="3"/>
        <v>0</v>
      </c>
    </row>
    <row r="27" spans="1:26" s="24" customFormat="1" hidden="1" outlineLevel="1" x14ac:dyDescent="0.25">
      <c r="A27" s="50"/>
      <c r="B27" s="11" t="str">
        <f>CONCATENATE("          ", "4127", " - ", "NON-TAXABLE SALES-SCHOOL SUPPL")</f>
        <v xml:space="preserve">          4127 - NON-TAXABLE SALES-SCHOOL SUPPL</v>
      </c>
      <c r="C27" s="11"/>
      <c r="D27" s="3">
        <f>--72.25</f>
        <v>72.25</v>
      </c>
      <c r="E27" s="3"/>
      <c r="F27" s="22"/>
      <c r="G27" s="3"/>
      <c r="H27" s="3">
        <f t="shared" si="6"/>
        <v>0</v>
      </c>
      <c r="I27" s="3"/>
      <c r="J27" s="22"/>
      <c r="K27" s="3"/>
      <c r="L27" s="3">
        <f t="shared" si="0"/>
        <v>72.25</v>
      </c>
      <c r="M27" s="3"/>
      <c r="N27" s="22">
        <f t="shared" si="1"/>
        <v>0</v>
      </c>
      <c r="O27" s="11"/>
      <c r="P27" s="3">
        <f>--72.25</f>
        <v>72.25</v>
      </c>
      <c r="Q27" s="3"/>
      <c r="R27" s="22"/>
      <c r="S27" s="3"/>
      <c r="T27" s="3">
        <f t="shared" si="7"/>
        <v>0</v>
      </c>
      <c r="U27" s="3"/>
      <c r="V27" s="22"/>
      <c r="W27" s="3"/>
      <c r="X27" s="3">
        <f t="shared" si="2"/>
        <v>72.25</v>
      </c>
      <c r="Y27" s="3"/>
      <c r="Z27" s="22">
        <f t="shared" si="3"/>
        <v>0</v>
      </c>
    </row>
    <row r="28" spans="1:26" s="24" customFormat="1" hidden="1" outlineLevel="1" x14ac:dyDescent="0.25">
      <c r="A28" s="50"/>
      <c r="B28" s="11" t="str">
        <f>CONCATENATE("          ", "4131", " - ", "NON-TAXABLE SALES-FOOD")</f>
        <v xml:space="preserve">          4131 - NON-TAXABLE SALES-FOOD</v>
      </c>
      <c r="C28" s="11"/>
      <c r="D28" s="3">
        <f>--259.43</f>
        <v>259.43</v>
      </c>
      <c r="E28" s="3"/>
      <c r="F28" s="22"/>
      <c r="G28" s="3"/>
      <c r="H28" s="3">
        <f t="shared" si="6"/>
        <v>0</v>
      </c>
      <c r="I28" s="3"/>
      <c r="J28" s="22"/>
      <c r="K28" s="3"/>
      <c r="L28" s="3">
        <f t="shared" si="0"/>
        <v>259.43</v>
      </c>
      <c r="M28" s="3"/>
      <c r="N28" s="22">
        <f t="shared" si="1"/>
        <v>0</v>
      </c>
      <c r="O28" s="11"/>
      <c r="P28" s="3">
        <f>--259.43</f>
        <v>259.43</v>
      </c>
      <c r="Q28" s="3"/>
      <c r="R28" s="22"/>
      <c r="S28" s="3"/>
      <c r="T28" s="3">
        <f t="shared" si="7"/>
        <v>0</v>
      </c>
      <c r="U28" s="3"/>
      <c r="V28" s="22"/>
      <c r="W28" s="3"/>
      <c r="X28" s="3">
        <f t="shared" si="2"/>
        <v>259.43</v>
      </c>
      <c r="Y28" s="3"/>
      <c r="Z28" s="22">
        <f t="shared" si="3"/>
        <v>0</v>
      </c>
    </row>
    <row r="29" spans="1:26" s="24" customFormat="1" hidden="1" outlineLevel="1" x14ac:dyDescent="0.25">
      <c r="A29" s="50"/>
      <c r="B29" s="11" t="str">
        <f>CONCATENATE("          ", "4132", " - ", "NON-TAXABLE SALES-JUICE")</f>
        <v xml:space="preserve">          4132 - NON-TAXABLE SALES-JUICE</v>
      </c>
      <c r="C29" s="11"/>
      <c r="D29" s="3">
        <f>--22.49</f>
        <v>22.49</v>
      </c>
      <c r="E29" s="3"/>
      <c r="F29" s="22"/>
      <c r="G29" s="3"/>
      <c r="H29" s="3">
        <f t="shared" si="6"/>
        <v>0</v>
      </c>
      <c r="I29" s="3"/>
      <c r="J29" s="22"/>
      <c r="K29" s="3"/>
      <c r="L29" s="3">
        <f t="shared" si="0"/>
        <v>22.49</v>
      </c>
      <c r="M29" s="3"/>
      <c r="N29" s="22">
        <f t="shared" si="1"/>
        <v>0</v>
      </c>
      <c r="O29" s="11"/>
      <c r="P29" s="3">
        <f>--22.49</f>
        <v>22.49</v>
      </c>
      <c r="Q29" s="3"/>
      <c r="R29" s="22"/>
      <c r="S29" s="3"/>
      <c r="T29" s="3">
        <f t="shared" si="7"/>
        <v>0</v>
      </c>
      <c r="U29" s="3"/>
      <c r="V29" s="22"/>
      <c r="W29" s="3"/>
      <c r="X29" s="3">
        <f t="shared" si="2"/>
        <v>22.49</v>
      </c>
      <c r="Y29" s="3"/>
      <c r="Z29" s="22">
        <f t="shared" si="3"/>
        <v>0</v>
      </c>
    </row>
    <row r="30" spans="1:26" s="24" customFormat="1" hidden="1" outlineLevel="1" x14ac:dyDescent="0.25">
      <c r="A30" s="50"/>
      <c r="B30" s="11" t="str">
        <f>CONCATENATE("          ", "4133", " - ", "NON-TAXABLE SALES-CANDY")</f>
        <v xml:space="preserve">          4133 - NON-TAXABLE SALES-CANDY</v>
      </c>
      <c r="C30" s="11"/>
      <c r="D30" s="3">
        <f>--68.28</f>
        <v>68.28</v>
      </c>
      <c r="E30" s="3"/>
      <c r="F30" s="22"/>
      <c r="G30" s="3"/>
      <c r="H30" s="3">
        <f t="shared" si="6"/>
        <v>0</v>
      </c>
      <c r="I30" s="3"/>
      <c r="J30" s="22"/>
      <c r="K30" s="3"/>
      <c r="L30" s="3">
        <f t="shared" si="0"/>
        <v>68.28</v>
      </c>
      <c r="M30" s="3"/>
      <c r="N30" s="22">
        <f t="shared" si="1"/>
        <v>0</v>
      </c>
      <c r="O30" s="11"/>
      <c r="P30" s="3">
        <f>--68.28</f>
        <v>68.28</v>
      </c>
      <c r="Q30" s="3"/>
      <c r="R30" s="22"/>
      <c r="S30" s="3"/>
      <c r="T30" s="3">
        <f t="shared" si="7"/>
        <v>0</v>
      </c>
      <c r="U30" s="3"/>
      <c r="V30" s="22"/>
      <c r="W30" s="3"/>
      <c r="X30" s="3">
        <f t="shared" si="2"/>
        <v>68.28</v>
      </c>
      <c r="Y30" s="3"/>
      <c r="Z30" s="22">
        <f t="shared" si="3"/>
        <v>0</v>
      </c>
    </row>
    <row r="31" spans="1:26" s="24" customFormat="1" hidden="1" outlineLevel="1" x14ac:dyDescent="0.25">
      <c r="A31" s="50"/>
      <c r="B31" s="11" t="str">
        <f>CONCATENATE("          ", "4134", " - ", "NON-TAXABLE SALES-SODA")</f>
        <v xml:space="preserve">          4134 - NON-TAXABLE SALES-SODA</v>
      </c>
      <c r="C31" s="11"/>
      <c r="D31" s="3">
        <f>--45.53</f>
        <v>45.53</v>
      </c>
      <c r="E31" s="3"/>
      <c r="F31" s="22"/>
      <c r="G31" s="3"/>
      <c r="H31" s="3">
        <f t="shared" si="6"/>
        <v>0</v>
      </c>
      <c r="I31" s="3"/>
      <c r="J31" s="22"/>
      <c r="K31" s="3"/>
      <c r="L31" s="3">
        <f t="shared" si="0"/>
        <v>45.53</v>
      </c>
      <c r="M31" s="3"/>
      <c r="N31" s="22">
        <f t="shared" si="1"/>
        <v>0</v>
      </c>
      <c r="O31" s="11"/>
      <c r="P31" s="3">
        <f>--45.53</f>
        <v>45.53</v>
      </c>
      <c r="Q31" s="3"/>
      <c r="R31" s="22"/>
      <c r="S31" s="3"/>
      <c r="T31" s="3">
        <f t="shared" si="7"/>
        <v>0</v>
      </c>
      <c r="U31" s="3"/>
      <c r="V31" s="22"/>
      <c r="W31" s="3"/>
      <c r="X31" s="3">
        <f t="shared" si="2"/>
        <v>45.53</v>
      </c>
      <c r="Y31" s="3"/>
      <c r="Z31" s="22">
        <f t="shared" si="3"/>
        <v>0</v>
      </c>
    </row>
    <row r="32" spans="1:26" s="24" customFormat="1" hidden="1" outlineLevel="1" x14ac:dyDescent="0.25">
      <c r="A32" s="50"/>
      <c r="B32" s="11" t="str">
        <f>CONCATENATE("          ", "4137", " - ", "NON-TAXABLE SALES-WATER")</f>
        <v xml:space="preserve">          4137 - NON-TAXABLE SALES-WATER</v>
      </c>
      <c r="C32" s="11"/>
      <c r="D32" s="3">
        <f>--68.25</f>
        <v>68.25</v>
      </c>
      <c r="E32" s="3"/>
      <c r="F32" s="22"/>
      <c r="G32" s="3"/>
      <c r="H32" s="3">
        <f>--22.5</f>
        <v>22.5</v>
      </c>
      <c r="I32" s="3"/>
      <c r="J32" s="22"/>
      <c r="K32" s="3"/>
      <c r="L32" s="3">
        <f t="shared" si="0"/>
        <v>45.75</v>
      </c>
      <c r="M32" s="3"/>
      <c r="N32" s="22">
        <f t="shared" si="1"/>
        <v>2.0333333333333332</v>
      </c>
      <c r="O32" s="11"/>
      <c r="P32" s="3">
        <f>--68.25</f>
        <v>68.25</v>
      </c>
      <c r="Q32" s="3"/>
      <c r="R32" s="22"/>
      <c r="S32" s="3"/>
      <c r="T32" s="3">
        <f>--22.5</f>
        <v>22.5</v>
      </c>
      <c r="U32" s="3"/>
      <c r="V32" s="22"/>
      <c r="W32" s="3"/>
      <c r="X32" s="3">
        <f t="shared" si="2"/>
        <v>45.75</v>
      </c>
      <c r="Y32" s="3"/>
      <c r="Z32" s="22">
        <f t="shared" si="3"/>
        <v>2.0333333333333332</v>
      </c>
    </row>
    <row r="33" spans="1:26" s="24" customFormat="1" hidden="1" outlineLevel="1" x14ac:dyDescent="0.25">
      <c r="A33" s="50"/>
      <c r="B33" s="11" t="str">
        <f>CONCATENATE("          ", "4140", " - ", "NON-TAXABLE SALES-LOGO CLOTHIN")</f>
        <v xml:space="preserve">          4140 - NON-TAXABLE SALES-LOGO CLOTHIN</v>
      </c>
      <c r="C33" s="11"/>
      <c r="D33" s="3">
        <f>--6846.24</f>
        <v>6846.24</v>
      </c>
      <c r="E33" s="3"/>
      <c r="F33" s="22"/>
      <c r="G33" s="3"/>
      <c r="H33" s="3">
        <f>--3163.67</f>
        <v>3163.67</v>
      </c>
      <c r="I33" s="3"/>
      <c r="J33" s="22"/>
      <c r="K33" s="3"/>
      <c r="L33" s="3">
        <f t="shared" si="0"/>
        <v>3682.5699999999997</v>
      </c>
      <c r="M33" s="3"/>
      <c r="N33" s="22">
        <f t="shared" si="1"/>
        <v>1.164018371069043</v>
      </c>
      <c r="O33" s="11"/>
      <c r="P33" s="3">
        <f>--6846.24</f>
        <v>6846.24</v>
      </c>
      <c r="Q33" s="3"/>
      <c r="R33" s="22"/>
      <c r="S33" s="3"/>
      <c r="T33" s="3">
        <f>--3163.67</f>
        <v>3163.67</v>
      </c>
      <c r="U33" s="3"/>
      <c r="V33" s="22"/>
      <c r="W33" s="3"/>
      <c r="X33" s="3">
        <f t="shared" si="2"/>
        <v>3682.5699999999997</v>
      </c>
      <c r="Y33" s="3"/>
      <c r="Z33" s="22">
        <f t="shared" si="3"/>
        <v>1.164018371069043</v>
      </c>
    </row>
    <row r="34" spans="1:26" s="24" customFormat="1" hidden="1" outlineLevel="1" x14ac:dyDescent="0.25">
      <c r="A34" s="50"/>
      <c r="B34" s="11" t="str">
        <f>CONCATENATE("          ", "4141", " - ", "NON-TAXABLE SALES-LOGO GIFTS")</f>
        <v xml:space="preserve">          4141 - NON-TAXABLE SALES-LOGO GIFTS</v>
      </c>
      <c r="C34" s="11"/>
      <c r="D34" s="3">
        <f>--1189.44</f>
        <v>1189.44</v>
      </c>
      <c r="E34" s="3"/>
      <c r="F34" s="22"/>
      <c r="G34" s="3"/>
      <c r="H34" s="3">
        <f>--254.2</f>
        <v>254.2</v>
      </c>
      <c r="I34" s="3"/>
      <c r="J34" s="22"/>
      <c r="K34" s="3"/>
      <c r="L34" s="3">
        <f t="shared" si="0"/>
        <v>935.24</v>
      </c>
      <c r="M34" s="3"/>
      <c r="N34" s="22">
        <f t="shared" si="1"/>
        <v>3.6791502753737215</v>
      </c>
      <c r="O34" s="11"/>
      <c r="P34" s="3">
        <f>--1189.44</f>
        <v>1189.44</v>
      </c>
      <c r="Q34" s="3"/>
      <c r="R34" s="22"/>
      <c r="S34" s="3"/>
      <c r="T34" s="3">
        <f>--254.2</f>
        <v>254.2</v>
      </c>
      <c r="U34" s="3"/>
      <c r="V34" s="22"/>
      <c r="W34" s="3"/>
      <c r="X34" s="3">
        <f t="shared" si="2"/>
        <v>935.24</v>
      </c>
      <c r="Y34" s="3"/>
      <c r="Z34" s="22">
        <f t="shared" si="3"/>
        <v>3.6791502753737215</v>
      </c>
    </row>
    <row r="35" spans="1:26" s="24" customFormat="1" hidden="1" outlineLevel="1" x14ac:dyDescent="0.25">
      <c r="A35" s="50"/>
      <c r="B35" s="11" t="str">
        <f>CONCATENATE("          ", "4142", " - ", "NON-TAXABLE SALES-EVERYDAY GIF")</f>
        <v xml:space="preserve">          4142 - NON-TAXABLE SALES-EVERYDAY GIF</v>
      </c>
      <c r="C35" s="11"/>
      <c r="D35" s="3">
        <f>--640.17</f>
        <v>640.16999999999996</v>
      </c>
      <c r="E35" s="3"/>
      <c r="F35" s="22"/>
      <c r="G35" s="3"/>
      <c r="H35" s="3">
        <f>--231.44</f>
        <v>231.44</v>
      </c>
      <c r="I35" s="3"/>
      <c r="J35" s="22"/>
      <c r="K35" s="3"/>
      <c r="L35" s="3">
        <f t="shared" si="0"/>
        <v>408.72999999999996</v>
      </c>
      <c r="M35" s="3"/>
      <c r="N35" s="22">
        <f t="shared" si="1"/>
        <v>1.7660300725890079</v>
      </c>
      <c r="O35" s="11"/>
      <c r="P35" s="3">
        <f>--640.17</f>
        <v>640.16999999999996</v>
      </c>
      <c r="Q35" s="3"/>
      <c r="R35" s="22"/>
      <c r="S35" s="3"/>
      <c r="T35" s="3">
        <f>--231.44</f>
        <v>231.44</v>
      </c>
      <c r="U35" s="3"/>
      <c r="V35" s="22"/>
      <c r="W35" s="3"/>
      <c r="X35" s="3">
        <f t="shared" si="2"/>
        <v>408.72999999999996</v>
      </c>
      <c r="Y35" s="3"/>
      <c r="Z35" s="22">
        <f t="shared" si="3"/>
        <v>1.7660300725890079</v>
      </c>
    </row>
    <row r="36" spans="1:26" s="24" customFormat="1" hidden="1" outlineLevel="1" x14ac:dyDescent="0.25">
      <c r="A36" s="50"/>
      <c r="B36" s="11" t="str">
        <f>CONCATENATE("          ", "4144", " - ", "NON-TAXABLE SALES-ACCESSORIES")</f>
        <v xml:space="preserve">          4144 - NON-TAXABLE SALES-ACCESSORIES</v>
      </c>
      <c r="C36" s="11"/>
      <c r="D36" s="3">
        <f>--47.85</f>
        <v>47.85</v>
      </c>
      <c r="E36" s="3"/>
      <c r="F36" s="22"/>
      <c r="G36" s="3"/>
      <c r="H36" s="3">
        <f>--21.9</f>
        <v>21.9</v>
      </c>
      <c r="I36" s="3"/>
      <c r="J36" s="22"/>
      <c r="K36" s="3"/>
      <c r="L36" s="3">
        <f t="shared" si="0"/>
        <v>25.950000000000003</v>
      </c>
      <c r="M36" s="3"/>
      <c r="N36" s="22">
        <f t="shared" si="1"/>
        <v>1.1849315068493154</v>
      </c>
      <c r="O36" s="11"/>
      <c r="P36" s="3">
        <f>--47.85</f>
        <v>47.85</v>
      </c>
      <c r="Q36" s="3"/>
      <c r="R36" s="22"/>
      <c r="S36" s="3"/>
      <c r="T36" s="3">
        <f>--21.9</f>
        <v>21.9</v>
      </c>
      <c r="U36" s="3"/>
      <c r="V36" s="22"/>
      <c r="W36" s="3"/>
      <c r="X36" s="3">
        <f t="shared" si="2"/>
        <v>25.950000000000003</v>
      </c>
      <c r="Y36" s="3"/>
      <c r="Z36" s="22">
        <f t="shared" si="3"/>
        <v>1.1849315068493154</v>
      </c>
    </row>
    <row r="37" spans="1:26" s="24" customFormat="1" hidden="1" outlineLevel="1" x14ac:dyDescent="0.25">
      <c r="A37" s="50"/>
      <c r="B37" s="11" t="str">
        <f>CONCATENATE("          ", "4145", " - ", "NON-TAXABLE SALES-SPECIAL ORDE")</f>
        <v xml:space="preserve">          4145 - NON-TAXABLE SALES-SPECIAL ORDE</v>
      </c>
      <c r="C37" s="11"/>
      <c r="D37" s="3">
        <f>--35496</f>
        <v>35496</v>
      </c>
      <c r="E37" s="3"/>
      <c r="F37" s="22"/>
      <c r="G37" s="3"/>
      <c r="H37" s="3">
        <f t="shared" ref="H37:H39" si="8">0</f>
        <v>0</v>
      </c>
      <c r="I37" s="3"/>
      <c r="J37" s="22"/>
      <c r="K37" s="3"/>
      <c r="L37" s="3">
        <f t="shared" si="0"/>
        <v>35496</v>
      </c>
      <c r="M37" s="3"/>
      <c r="N37" s="22">
        <f t="shared" si="1"/>
        <v>0</v>
      </c>
      <c r="O37" s="11"/>
      <c r="P37" s="3">
        <f>--35496</f>
        <v>35496</v>
      </c>
      <c r="Q37" s="3"/>
      <c r="R37" s="22"/>
      <c r="S37" s="3"/>
      <c r="T37" s="3">
        <f t="shared" ref="T37:T39" si="9">0</f>
        <v>0</v>
      </c>
      <c r="U37" s="3"/>
      <c r="V37" s="22"/>
      <c r="W37" s="3"/>
      <c r="X37" s="3">
        <f t="shared" si="2"/>
        <v>35496</v>
      </c>
      <c r="Y37" s="3"/>
      <c r="Z37" s="22">
        <f t="shared" si="3"/>
        <v>0</v>
      </c>
    </row>
    <row r="38" spans="1:26" s="24" customFormat="1" hidden="1" outlineLevel="1" x14ac:dyDescent="0.25">
      <c r="A38" s="50"/>
      <c r="B38" s="11" t="str">
        <f>CONCATENATE("          ", "4226", " - ", "SALES RETURN TAXABLE-WRITING I")</f>
        <v xml:space="preserve">          4226 - SALES RETURN TAXABLE-WRITING I</v>
      </c>
      <c r="C38" s="11"/>
      <c r="D38" s="3">
        <f>-6.38</f>
        <v>-6.38</v>
      </c>
      <c r="E38" s="3"/>
      <c r="F38" s="22"/>
      <c r="G38" s="3"/>
      <c r="H38" s="3">
        <f t="shared" si="8"/>
        <v>0</v>
      </c>
      <c r="I38" s="3"/>
      <c r="J38" s="22"/>
      <c r="K38" s="3"/>
      <c r="L38" s="3">
        <f t="shared" si="0"/>
        <v>-6.38</v>
      </c>
      <c r="M38" s="3"/>
      <c r="N38" s="22">
        <f t="shared" si="1"/>
        <v>0</v>
      </c>
      <c r="O38" s="11"/>
      <c r="P38" s="3">
        <f>-6.38</f>
        <v>-6.38</v>
      </c>
      <c r="Q38" s="3"/>
      <c r="R38" s="22"/>
      <c r="S38" s="3"/>
      <c r="T38" s="3">
        <f t="shared" si="9"/>
        <v>0</v>
      </c>
      <c r="U38" s="3"/>
      <c r="V38" s="22"/>
      <c r="W38" s="3"/>
      <c r="X38" s="3">
        <f t="shared" si="2"/>
        <v>-6.38</v>
      </c>
      <c r="Y38" s="3"/>
      <c r="Z38" s="22">
        <f t="shared" si="3"/>
        <v>0</v>
      </c>
    </row>
    <row r="39" spans="1:26" s="24" customFormat="1" hidden="1" outlineLevel="1" x14ac:dyDescent="0.25">
      <c r="A39" s="50"/>
      <c r="B39" s="11" t="str">
        <f>CONCATENATE("          ", "4227", " - ", "SALES RETURN TAXABLE-SCHOOL SU")</f>
        <v xml:space="preserve">          4227 - SALES RETURN TAXABLE-SCHOOL SU</v>
      </c>
      <c r="C39" s="11"/>
      <c r="D39" s="3">
        <f>-56.77</f>
        <v>-56.77</v>
      </c>
      <c r="E39" s="3"/>
      <c r="F39" s="22"/>
      <c r="G39" s="3"/>
      <c r="H39" s="3">
        <f t="shared" si="8"/>
        <v>0</v>
      </c>
      <c r="I39" s="3"/>
      <c r="J39" s="22"/>
      <c r="K39" s="3"/>
      <c r="L39" s="3">
        <f t="shared" si="0"/>
        <v>-56.77</v>
      </c>
      <c r="M39" s="3"/>
      <c r="N39" s="22">
        <f t="shared" si="1"/>
        <v>0</v>
      </c>
      <c r="O39" s="11"/>
      <c r="P39" s="3">
        <f>-56.77</f>
        <v>-56.77</v>
      </c>
      <c r="Q39" s="3"/>
      <c r="R39" s="22"/>
      <c r="S39" s="3"/>
      <c r="T39" s="3">
        <f t="shared" si="9"/>
        <v>0</v>
      </c>
      <c r="U39" s="3"/>
      <c r="V39" s="22"/>
      <c r="W39" s="3"/>
      <c r="X39" s="3">
        <f t="shared" si="2"/>
        <v>-56.77</v>
      </c>
      <c r="Y39" s="3"/>
      <c r="Z39" s="22">
        <f t="shared" si="3"/>
        <v>0</v>
      </c>
    </row>
    <row r="40" spans="1:26" s="24" customFormat="1" hidden="1" outlineLevel="1" x14ac:dyDescent="0.25">
      <c r="A40" s="50"/>
      <c r="B40" s="11" t="str">
        <f>CONCATENATE("          ", "4240", " - ", "SALES RETURN TAXABLE-LOGO CLOT")</f>
        <v xml:space="preserve">          4240 - SALES RETURN TAXABLE-LOGO CLOT</v>
      </c>
      <c r="C40" s="11"/>
      <c r="D40" s="3">
        <f>-3368.1</f>
        <v>-3368.1</v>
      </c>
      <c r="E40" s="3"/>
      <c r="F40" s="22"/>
      <c r="G40" s="3"/>
      <c r="H40" s="3">
        <f>-4446.84</f>
        <v>-4446.84</v>
      </c>
      <c r="I40" s="3"/>
      <c r="J40" s="22"/>
      <c r="K40" s="3"/>
      <c r="L40" s="3">
        <f t="shared" si="0"/>
        <v>1078.7400000000002</v>
      </c>
      <c r="M40" s="3"/>
      <c r="N40" s="22">
        <f t="shared" si="1"/>
        <v>-0.24258574628275364</v>
      </c>
      <c r="O40" s="11"/>
      <c r="P40" s="3">
        <f>-3368.1</f>
        <v>-3368.1</v>
      </c>
      <c r="Q40" s="3"/>
      <c r="R40" s="22"/>
      <c r="S40" s="3"/>
      <c r="T40" s="3">
        <f>-4446.84</f>
        <v>-4446.84</v>
      </c>
      <c r="U40" s="3"/>
      <c r="V40" s="22"/>
      <c r="W40" s="3"/>
      <c r="X40" s="3">
        <f t="shared" si="2"/>
        <v>1078.7400000000002</v>
      </c>
      <c r="Y40" s="3"/>
      <c r="Z40" s="22">
        <f t="shared" si="3"/>
        <v>-0.24258574628275364</v>
      </c>
    </row>
    <row r="41" spans="1:26" s="24" customFormat="1" hidden="1" outlineLevel="1" x14ac:dyDescent="0.25">
      <c r="A41" s="50"/>
      <c r="B41" s="11" t="str">
        <f>CONCATENATE("          ", "4241", " - ", "SALES RETURN TAXABLE-LOGO GIFT")</f>
        <v xml:space="preserve">          4241 - SALES RETURN TAXABLE-LOGO GIFT</v>
      </c>
      <c r="C41" s="11"/>
      <c r="D41" s="3">
        <f>-341.98</f>
        <v>-341.98</v>
      </c>
      <c r="E41" s="3"/>
      <c r="F41" s="22"/>
      <c r="G41" s="3"/>
      <c r="H41" s="3">
        <f>-708.15</f>
        <v>-708.15</v>
      </c>
      <c r="I41" s="3"/>
      <c r="J41" s="22"/>
      <c r="K41" s="3"/>
      <c r="L41" s="3">
        <f t="shared" si="0"/>
        <v>366.16999999999996</v>
      </c>
      <c r="M41" s="3"/>
      <c r="N41" s="22">
        <f t="shared" si="1"/>
        <v>-0.51707971474969983</v>
      </c>
      <c r="O41" s="11"/>
      <c r="P41" s="3">
        <f>-341.98</f>
        <v>-341.98</v>
      </c>
      <c r="Q41" s="3"/>
      <c r="R41" s="22"/>
      <c r="S41" s="3"/>
      <c r="T41" s="3">
        <f>-708.15</f>
        <v>-708.15</v>
      </c>
      <c r="U41" s="3"/>
      <c r="V41" s="22"/>
      <c r="W41" s="3"/>
      <c r="X41" s="3">
        <f t="shared" si="2"/>
        <v>366.16999999999996</v>
      </c>
      <c r="Y41" s="3"/>
      <c r="Z41" s="22">
        <f t="shared" si="3"/>
        <v>-0.51707971474969983</v>
      </c>
    </row>
    <row r="42" spans="1:26" s="24" customFormat="1" hidden="1" outlineLevel="1" x14ac:dyDescent="0.25">
      <c r="A42" s="50"/>
      <c r="B42" s="11" t="str">
        <f>CONCATENATE("          ", "4242", " - ", "SALES RETURN TAXABLE-EVERYDAY")</f>
        <v xml:space="preserve">          4242 - SALES RETURN TAXABLE-EVERYDAY</v>
      </c>
      <c r="C42" s="11"/>
      <c r="D42" s="3">
        <f>-178.96</f>
        <v>-178.96</v>
      </c>
      <c r="E42" s="3"/>
      <c r="F42" s="22"/>
      <c r="G42" s="3"/>
      <c r="H42" s="3">
        <f>-357.78</f>
        <v>-357.78</v>
      </c>
      <c r="I42" s="3"/>
      <c r="J42" s="22"/>
      <c r="K42" s="3"/>
      <c r="L42" s="3">
        <f t="shared" si="0"/>
        <v>178.81999999999996</v>
      </c>
      <c r="M42" s="3"/>
      <c r="N42" s="22">
        <f t="shared" si="1"/>
        <v>-0.49980434904131027</v>
      </c>
      <c r="O42" s="11"/>
      <c r="P42" s="3">
        <f>-178.96</f>
        <v>-178.96</v>
      </c>
      <c r="Q42" s="3"/>
      <c r="R42" s="22"/>
      <c r="S42" s="3"/>
      <c r="T42" s="3">
        <f>-357.78</f>
        <v>-357.78</v>
      </c>
      <c r="U42" s="3"/>
      <c r="V42" s="22"/>
      <c r="W42" s="3"/>
      <c r="X42" s="3">
        <f t="shared" si="2"/>
        <v>178.81999999999996</v>
      </c>
      <c r="Y42" s="3"/>
      <c r="Z42" s="22">
        <f t="shared" si="3"/>
        <v>-0.49980434904131027</v>
      </c>
    </row>
    <row r="43" spans="1:26" s="24" customFormat="1" hidden="1" outlineLevel="1" x14ac:dyDescent="0.25">
      <c r="A43" s="50"/>
      <c r="B43" s="11" t="str">
        <f>CONCATENATE("          ", "4244", " - ", "SALES RETURN TAXABLE-ACCESSORI")</f>
        <v xml:space="preserve">          4244 - SALES RETURN TAXABLE-ACCESSORI</v>
      </c>
      <c r="C43" s="11"/>
      <c r="D43" s="3">
        <f>0</f>
        <v>0</v>
      </c>
      <c r="E43" s="3"/>
      <c r="F43" s="22"/>
      <c r="G43" s="3"/>
      <c r="H43" s="3">
        <f>-106.79</f>
        <v>-106.79</v>
      </c>
      <c r="I43" s="3"/>
      <c r="J43" s="22"/>
      <c r="K43" s="3"/>
      <c r="L43" s="3">
        <f t="shared" si="0"/>
        <v>106.79</v>
      </c>
      <c r="M43" s="3"/>
      <c r="N43" s="22">
        <f t="shared" si="1"/>
        <v>-1</v>
      </c>
      <c r="O43" s="11"/>
      <c r="P43" s="3">
        <f>0</f>
        <v>0</v>
      </c>
      <c r="Q43" s="3"/>
      <c r="R43" s="22"/>
      <c r="S43" s="3"/>
      <c r="T43" s="3">
        <f>-106.79</f>
        <v>-106.79</v>
      </c>
      <c r="U43" s="3"/>
      <c r="V43" s="22"/>
      <c r="W43" s="3"/>
      <c r="X43" s="3">
        <f t="shared" si="2"/>
        <v>106.79</v>
      </c>
      <c r="Y43" s="3"/>
      <c r="Z43" s="22">
        <f t="shared" si="3"/>
        <v>-1</v>
      </c>
    </row>
    <row r="44" spans="1:26" s="24" customFormat="1" hidden="1" outlineLevel="1" x14ac:dyDescent="0.25">
      <c r="A44" s="50"/>
      <c r="B44" s="11" t="str">
        <f>CONCATENATE("          ", "4245", " - ", "SALES RETURN TAXABLE-SPECIAL O")</f>
        <v xml:space="preserve">          4245 - SALES RETURN TAXABLE-SPECIAL O</v>
      </c>
      <c r="C44" s="11"/>
      <c r="D44" s="3">
        <f>-1121</f>
        <v>-1121</v>
      </c>
      <c r="E44" s="3"/>
      <c r="F44" s="22"/>
      <c r="G44" s="3"/>
      <c r="H44" s="3">
        <f>0</f>
        <v>0</v>
      </c>
      <c r="I44" s="3"/>
      <c r="J44" s="22"/>
      <c r="K44" s="3"/>
      <c r="L44" s="3">
        <f t="shared" si="0"/>
        <v>-1121</v>
      </c>
      <c r="M44" s="3"/>
      <c r="N44" s="22">
        <f t="shared" si="1"/>
        <v>0</v>
      </c>
      <c r="O44" s="11"/>
      <c r="P44" s="3">
        <f>-1121</f>
        <v>-1121</v>
      </c>
      <c r="Q44" s="3"/>
      <c r="R44" s="22"/>
      <c r="S44" s="3"/>
      <c r="T44" s="3">
        <f>0</f>
        <v>0</v>
      </c>
      <c r="U44" s="3"/>
      <c r="V44" s="22"/>
      <c r="W44" s="3"/>
      <c r="X44" s="3">
        <f t="shared" si="2"/>
        <v>-1121</v>
      </c>
      <c r="Y44" s="3"/>
      <c r="Z44" s="22">
        <f t="shared" si="3"/>
        <v>0</v>
      </c>
    </row>
    <row r="45" spans="1:26" s="24" customFormat="1" hidden="1" outlineLevel="1" x14ac:dyDescent="0.25">
      <c r="A45" s="50"/>
      <c r="B45" s="11" t="str">
        <f>CONCATENATE("          ", "4340", " - ", "SALES RETURN NON TAXABLE-LOGO")</f>
        <v xml:space="preserve">          4340 - SALES RETURN NON TAXABLE-LOGO</v>
      </c>
      <c r="C45" s="11"/>
      <c r="D45" s="3">
        <f>-434.24</f>
        <v>-434.24</v>
      </c>
      <c r="E45" s="3"/>
      <c r="F45" s="22"/>
      <c r="G45" s="3"/>
      <c r="H45" s="3">
        <f>-223.55</f>
        <v>-223.55</v>
      </c>
      <c r="I45" s="3"/>
      <c r="J45" s="22"/>
      <c r="K45" s="3"/>
      <c r="L45" s="3">
        <f t="shared" si="0"/>
        <v>-210.69</v>
      </c>
      <c r="M45" s="3"/>
      <c r="N45" s="22">
        <f t="shared" si="1"/>
        <v>0.94247371952583314</v>
      </c>
      <c r="O45" s="11"/>
      <c r="P45" s="3">
        <f>-434.24</f>
        <v>-434.24</v>
      </c>
      <c r="Q45" s="3"/>
      <c r="R45" s="22"/>
      <c r="S45" s="3"/>
      <c r="T45" s="3">
        <f>-223.55</f>
        <v>-223.55</v>
      </c>
      <c r="U45" s="3"/>
      <c r="V45" s="22"/>
      <c r="W45" s="3"/>
      <c r="X45" s="3">
        <f t="shared" si="2"/>
        <v>-210.69</v>
      </c>
      <c r="Y45" s="3"/>
      <c r="Z45" s="22">
        <f t="shared" si="3"/>
        <v>0.94247371952583314</v>
      </c>
    </row>
    <row r="46" spans="1:26" s="24" customFormat="1" hidden="1" outlineLevel="1" x14ac:dyDescent="0.25">
      <c r="A46" s="50"/>
      <c r="B46" s="11" t="str">
        <f>CONCATENATE("          ", "4341", " - ", "SALES RETURN NON TAXABLE-LOGO")</f>
        <v xml:space="preserve">          4341 - SALES RETURN NON TAXABLE-LOGO</v>
      </c>
      <c r="C46" s="11"/>
      <c r="D46" s="3">
        <f>-16.95</f>
        <v>-16.95</v>
      </c>
      <c r="E46" s="3"/>
      <c r="F46" s="22"/>
      <c r="G46" s="3"/>
      <c r="H46" s="3">
        <f t="shared" ref="H46:H47" si="10">0</f>
        <v>0</v>
      </c>
      <c r="I46" s="3"/>
      <c r="J46" s="22"/>
      <c r="K46" s="3"/>
      <c r="L46" s="3">
        <f t="shared" si="0"/>
        <v>-16.95</v>
      </c>
      <c r="M46" s="3"/>
      <c r="N46" s="22">
        <f t="shared" si="1"/>
        <v>0</v>
      </c>
      <c r="O46" s="11"/>
      <c r="P46" s="3">
        <f>-16.95</f>
        <v>-16.95</v>
      </c>
      <c r="Q46" s="3"/>
      <c r="R46" s="22"/>
      <c r="S46" s="3"/>
      <c r="T46" s="3">
        <f t="shared" ref="T46:T47" si="11">0</f>
        <v>0</v>
      </c>
      <c r="U46" s="3"/>
      <c r="V46" s="22"/>
      <c r="W46" s="3"/>
      <c r="X46" s="3">
        <f t="shared" si="2"/>
        <v>-16.95</v>
      </c>
      <c r="Y46" s="3"/>
      <c r="Z46" s="22">
        <f t="shared" si="3"/>
        <v>0</v>
      </c>
    </row>
    <row r="47" spans="1:26" s="24" customFormat="1" hidden="1" outlineLevel="1" x14ac:dyDescent="0.25">
      <c r="A47" s="50"/>
      <c r="B47" s="11" t="str">
        <f>CONCATENATE("          ", "4342", " - ", "SALES RETURN NON TAXABLE-EVERY")</f>
        <v xml:space="preserve">          4342 - SALES RETURN NON TAXABLE-EVERY</v>
      </c>
      <c r="C47" s="11"/>
      <c r="D47" s="3">
        <f>-79.85</f>
        <v>-79.849999999999994</v>
      </c>
      <c r="E47" s="3"/>
      <c r="F47" s="22"/>
      <c r="G47" s="3"/>
      <c r="H47" s="3">
        <f t="shared" si="10"/>
        <v>0</v>
      </c>
      <c r="I47" s="3"/>
      <c r="J47" s="22"/>
      <c r="K47" s="3"/>
      <c r="L47" s="3">
        <f t="shared" si="0"/>
        <v>-79.849999999999994</v>
      </c>
      <c r="M47" s="3"/>
      <c r="N47" s="22">
        <f t="shared" si="1"/>
        <v>0</v>
      </c>
      <c r="O47" s="11"/>
      <c r="P47" s="3">
        <f>-79.85</f>
        <v>-79.849999999999994</v>
      </c>
      <c r="Q47" s="3"/>
      <c r="R47" s="22"/>
      <c r="S47" s="3"/>
      <c r="T47" s="3">
        <f t="shared" si="11"/>
        <v>0</v>
      </c>
      <c r="U47" s="3"/>
      <c r="V47" s="22"/>
      <c r="W47" s="3"/>
      <c r="X47" s="3">
        <f t="shared" si="2"/>
        <v>-79.849999999999994</v>
      </c>
      <c r="Y47" s="3"/>
      <c r="Z47" s="22">
        <f t="shared" si="3"/>
        <v>0</v>
      </c>
    </row>
    <row r="48" spans="1:26" x14ac:dyDescent="0.25">
      <c r="A48" s="9"/>
      <c r="B48" s="10"/>
      <c r="C48" s="9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collapsed="1" x14ac:dyDescent="0.25">
      <c r="A49" s="10"/>
      <c r="B49" s="25" t="s">
        <v>8</v>
      </c>
      <c r="C49" s="10"/>
      <c r="D49" s="4">
        <f>SUM(OSRRefD16x_0)</f>
        <v>110539.94</v>
      </c>
      <c r="E49" s="4"/>
      <c r="F49" s="12">
        <f t="shared" ref="F49:F66" si="12">IF(D$12=0,0,D49/D$12)</f>
        <v>0.6324489151612861</v>
      </c>
      <c r="G49" s="4"/>
      <c r="H49" s="4">
        <f>SUM(OSRRefH16x_0)</f>
        <v>107373.34000000001</v>
      </c>
      <c r="I49" s="4"/>
      <c r="J49" s="12">
        <f t="shared" ref="J49:J66" si="13">IF(H$12=0,0,H49/H$12)</f>
        <v>0.46256228963321894</v>
      </c>
      <c r="K49" s="4"/>
      <c r="L49" s="4">
        <f t="shared" ref="L49:L66" si="14">+D49-H49</f>
        <v>3166.5999999999913</v>
      </c>
      <c r="M49" s="4"/>
      <c r="N49" s="12">
        <f t="shared" ref="N49:N66" si="15">IF(H49=0,0,L49/H49)</f>
        <v>2.9491492022135021E-2</v>
      </c>
      <c r="O49" s="10"/>
      <c r="P49" s="4">
        <f>SUM(OSRRefP16x_0)</f>
        <v>110539.94</v>
      </c>
      <c r="Q49" s="4"/>
      <c r="R49" s="12">
        <f t="shared" ref="R49:R66" si="16">IF(P$12=0,0,P49/P$12)</f>
        <v>0.6324489151612861</v>
      </c>
      <c r="S49" s="4"/>
      <c r="T49" s="4">
        <f>SUM(OSRRefT16x_0)</f>
        <v>107373.34000000001</v>
      </c>
      <c r="U49" s="4"/>
      <c r="V49" s="12">
        <f t="shared" ref="V49:V66" si="17">IF(T$12=0,0,T49/T$12)</f>
        <v>0.46256228963321894</v>
      </c>
      <c r="W49" s="4"/>
      <c r="X49" s="4">
        <f t="shared" ref="X49:X66" si="18">+P49-T49</f>
        <v>3166.5999999999913</v>
      </c>
      <c r="Y49" s="4"/>
      <c r="Z49" s="12">
        <f t="shared" ref="Z49:Z66" si="19">IF(T49=0,0,X49/T49)</f>
        <v>2.9491492022135021E-2</v>
      </c>
    </row>
    <row r="50" spans="1:26" s="24" customFormat="1" hidden="1" outlineLevel="1" x14ac:dyDescent="0.25">
      <c r="A50" s="50"/>
      <c r="B50" s="11" t="str">
        <f>CONCATENATE("          ", "5026", " - ", "PURCHASES @ COST-WRITING INSTR")</f>
        <v xml:space="preserve">          5026 - PURCHASES @ COST-WRITING INSTR</v>
      </c>
      <c r="C50" s="11"/>
      <c r="D50" s="3"/>
      <c r="E50" s="3"/>
      <c r="F50" s="22">
        <f t="shared" si="12"/>
        <v>0</v>
      </c>
      <c r="G50" s="3"/>
      <c r="H50" s="3">
        <v>-74.72</v>
      </c>
      <c r="I50" s="3"/>
      <c r="J50" s="22">
        <f t="shared" si="13"/>
        <v>-3.2189232710274371E-4</v>
      </c>
      <c r="K50" s="3"/>
      <c r="L50" s="3">
        <f t="shared" si="14"/>
        <v>74.72</v>
      </c>
      <c r="M50" s="3"/>
      <c r="N50" s="22">
        <f t="shared" si="15"/>
        <v>-1</v>
      </c>
      <c r="O50" s="11"/>
      <c r="P50" s="3"/>
      <c r="Q50" s="3"/>
      <c r="R50" s="22">
        <f t="shared" si="16"/>
        <v>0</v>
      </c>
      <c r="S50" s="3"/>
      <c r="T50" s="3">
        <v>-74.72</v>
      </c>
      <c r="U50" s="3"/>
      <c r="V50" s="22">
        <f t="shared" si="17"/>
        <v>-3.2189232710274371E-4</v>
      </c>
      <c r="W50" s="3"/>
      <c r="X50" s="3">
        <f t="shared" si="18"/>
        <v>74.72</v>
      </c>
      <c r="Y50" s="3"/>
      <c r="Z50" s="22">
        <f t="shared" si="19"/>
        <v>-1</v>
      </c>
    </row>
    <row r="51" spans="1:26" s="24" customFormat="1" hidden="1" outlineLevel="1" x14ac:dyDescent="0.25">
      <c r="A51" s="50"/>
      <c r="B51" s="11" t="str">
        <f>CONCATENATE("          ", "5027", " - ", "PURCHASES @ COST-SCHOOL SUPPLI")</f>
        <v xml:space="preserve">          5027 - PURCHASES @ COST-SCHOOL SUPPLI</v>
      </c>
      <c r="C51" s="11"/>
      <c r="D51" s="3">
        <v>8503.4</v>
      </c>
      <c r="E51" s="3"/>
      <c r="F51" s="22">
        <f t="shared" si="12"/>
        <v>4.8651791426542114E-2</v>
      </c>
      <c r="G51" s="3"/>
      <c r="H51" s="3">
        <v>1.32</v>
      </c>
      <c r="I51" s="3"/>
      <c r="J51" s="22">
        <f t="shared" si="13"/>
        <v>5.6865346865045736E-6</v>
      </c>
      <c r="K51" s="3"/>
      <c r="L51" s="3">
        <f t="shared" si="14"/>
        <v>8502.08</v>
      </c>
      <c r="M51" s="3"/>
      <c r="N51" s="22">
        <f t="shared" si="15"/>
        <v>6440.969696969697</v>
      </c>
      <c r="O51" s="11"/>
      <c r="P51" s="3">
        <v>8503.4</v>
      </c>
      <c r="Q51" s="3"/>
      <c r="R51" s="22">
        <f t="shared" si="16"/>
        <v>4.8651791426542114E-2</v>
      </c>
      <c r="S51" s="3"/>
      <c r="T51" s="3">
        <v>1.32</v>
      </c>
      <c r="U51" s="3"/>
      <c r="V51" s="22">
        <f t="shared" si="17"/>
        <v>5.6865346865045736E-6</v>
      </c>
      <c r="W51" s="3"/>
      <c r="X51" s="3">
        <f t="shared" si="18"/>
        <v>8502.08</v>
      </c>
      <c r="Y51" s="3"/>
      <c r="Z51" s="22">
        <f t="shared" si="19"/>
        <v>6440.969696969697</v>
      </c>
    </row>
    <row r="52" spans="1:26" s="24" customFormat="1" hidden="1" outlineLevel="1" x14ac:dyDescent="0.25">
      <c r="A52" s="50"/>
      <c r="B52" s="11" t="str">
        <f>CONCATENATE("          ", "5037", " - ", "PURCHASES @ COST-WATER")</f>
        <v xml:space="preserve">          5037 - PURCHASES @ COST-WATER</v>
      </c>
      <c r="C52" s="11"/>
      <c r="D52" s="3"/>
      <c r="E52" s="3"/>
      <c r="F52" s="22">
        <f t="shared" si="12"/>
        <v>0</v>
      </c>
      <c r="G52" s="3"/>
      <c r="H52" s="3">
        <v>17.04</v>
      </c>
      <c r="I52" s="3"/>
      <c r="J52" s="22">
        <f t="shared" si="13"/>
        <v>7.3407993225786309E-5</v>
      </c>
      <c r="K52" s="3"/>
      <c r="L52" s="3">
        <f t="shared" si="14"/>
        <v>-17.04</v>
      </c>
      <c r="M52" s="3"/>
      <c r="N52" s="22">
        <f t="shared" si="15"/>
        <v>-1</v>
      </c>
      <c r="O52" s="11"/>
      <c r="P52" s="3"/>
      <c r="Q52" s="3"/>
      <c r="R52" s="22">
        <f t="shared" si="16"/>
        <v>0</v>
      </c>
      <c r="S52" s="3"/>
      <c r="T52" s="3">
        <v>17.04</v>
      </c>
      <c r="U52" s="3"/>
      <c r="V52" s="22">
        <f t="shared" si="17"/>
        <v>7.3407993225786309E-5</v>
      </c>
      <c r="W52" s="3"/>
      <c r="X52" s="3">
        <f t="shared" si="18"/>
        <v>-17.04</v>
      </c>
      <c r="Y52" s="3"/>
      <c r="Z52" s="22">
        <f t="shared" si="19"/>
        <v>-1</v>
      </c>
    </row>
    <row r="53" spans="1:26" s="24" customFormat="1" hidden="1" outlineLevel="1" x14ac:dyDescent="0.25">
      <c r="A53" s="50"/>
      <c r="B53" s="11" t="str">
        <f>CONCATENATE("          ", "5040", " - ", "PURCHASES @ COST-LOGO CLOTHING")</f>
        <v xml:space="preserve">          5040 - PURCHASES @ COST-LOGO CLOTHING</v>
      </c>
      <c r="C53" s="11"/>
      <c r="D53" s="3">
        <v>1723.07</v>
      </c>
      <c r="E53" s="3"/>
      <c r="F53" s="22">
        <f t="shared" si="12"/>
        <v>9.8584615863456879E-3</v>
      </c>
      <c r="G53" s="3"/>
      <c r="H53" s="3">
        <v>78921.570000000007</v>
      </c>
      <c r="I53" s="3"/>
      <c r="J53" s="22">
        <f t="shared" si="13"/>
        <v>0.339992610089696</v>
      </c>
      <c r="K53" s="3"/>
      <c r="L53" s="3">
        <f t="shared" si="14"/>
        <v>-77198.5</v>
      </c>
      <c r="M53" s="3"/>
      <c r="N53" s="22">
        <f t="shared" si="15"/>
        <v>-0.97816731218094111</v>
      </c>
      <c r="O53" s="11"/>
      <c r="P53" s="3">
        <v>1723.07</v>
      </c>
      <c r="Q53" s="3"/>
      <c r="R53" s="22">
        <f t="shared" si="16"/>
        <v>9.8584615863456879E-3</v>
      </c>
      <c r="S53" s="3"/>
      <c r="T53" s="3">
        <v>78921.570000000007</v>
      </c>
      <c r="U53" s="3"/>
      <c r="V53" s="22">
        <f t="shared" si="17"/>
        <v>0.339992610089696</v>
      </c>
      <c r="W53" s="3"/>
      <c r="X53" s="3">
        <f t="shared" si="18"/>
        <v>-77198.5</v>
      </c>
      <c r="Y53" s="3"/>
      <c r="Z53" s="22">
        <f t="shared" si="19"/>
        <v>-0.97816731218094111</v>
      </c>
    </row>
    <row r="54" spans="1:26" s="24" customFormat="1" hidden="1" outlineLevel="1" x14ac:dyDescent="0.25">
      <c r="A54" s="50"/>
      <c r="B54" s="11" t="str">
        <f>CONCATENATE("          ", "5041", " - ", "PURCHASES @ COST-LOGO GIFTS")</f>
        <v xml:space="preserve">          5041 - PURCHASES @ COST-LOGO GIFTS</v>
      </c>
      <c r="C54" s="11"/>
      <c r="D54" s="3">
        <v>-713.75</v>
      </c>
      <c r="E54" s="3"/>
      <c r="F54" s="22">
        <f t="shared" si="12"/>
        <v>-4.0836860703594366E-3</v>
      </c>
      <c r="G54" s="3"/>
      <c r="H54" s="3">
        <v>11950.27</v>
      </c>
      <c r="I54" s="3"/>
      <c r="J54" s="22">
        <f t="shared" si="13"/>
        <v>5.1481533990981064E-2</v>
      </c>
      <c r="K54" s="3"/>
      <c r="L54" s="3">
        <f t="shared" si="14"/>
        <v>-12664.02</v>
      </c>
      <c r="M54" s="3"/>
      <c r="N54" s="22">
        <f t="shared" si="15"/>
        <v>-1.0597266839996085</v>
      </c>
      <c r="O54" s="11"/>
      <c r="P54" s="3">
        <v>-713.75</v>
      </c>
      <c r="Q54" s="3"/>
      <c r="R54" s="22">
        <f t="shared" si="16"/>
        <v>-4.0836860703594366E-3</v>
      </c>
      <c r="S54" s="3"/>
      <c r="T54" s="3">
        <v>11950.27</v>
      </c>
      <c r="U54" s="3"/>
      <c r="V54" s="22">
        <f t="shared" si="17"/>
        <v>5.1481533990981064E-2</v>
      </c>
      <c r="W54" s="3"/>
      <c r="X54" s="3">
        <f t="shared" si="18"/>
        <v>-12664.02</v>
      </c>
      <c r="Y54" s="3"/>
      <c r="Z54" s="22">
        <f t="shared" si="19"/>
        <v>-1.0597266839996085</v>
      </c>
    </row>
    <row r="55" spans="1:26" s="24" customFormat="1" hidden="1" outlineLevel="1" x14ac:dyDescent="0.25">
      <c r="A55" s="50"/>
      <c r="B55" s="11" t="str">
        <f>CONCATENATE("          ", "5042", " - ", "PURCHASES @ COST-EVERYDAY GIFT")</f>
        <v xml:space="preserve">          5042 - PURCHASES @ COST-EVERYDAY GIFT</v>
      </c>
      <c r="C55" s="11"/>
      <c r="D55" s="3">
        <v>236.16</v>
      </c>
      <c r="E55" s="3"/>
      <c r="F55" s="22">
        <f t="shared" si="12"/>
        <v>1.3511780068316422E-3</v>
      </c>
      <c r="G55" s="3"/>
      <c r="H55" s="3">
        <v>7752.36</v>
      </c>
      <c r="I55" s="3"/>
      <c r="J55" s="22">
        <f t="shared" si="13"/>
        <v>3.3397018213841355E-2</v>
      </c>
      <c r="K55" s="3"/>
      <c r="L55" s="3">
        <f t="shared" si="14"/>
        <v>-7516.2</v>
      </c>
      <c r="M55" s="3"/>
      <c r="N55" s="22">
        <f t="shared" si="15"/>
        <v>-0.96953701840471807</v>
      </c>
      <c r="O55" s="11"/>
      <c r="P55" s="3">
        <v>236.16</v>
      </c>
      <c r="Q55" s="3"/>
      <c r="R55" s="22">
        <f t="shared" si="16"/>
        <v>1.3511780068316422E-3</v>
      </c>
      <c r="S55" s="3"/>
      <c r="T55" s="3">
        <v>7752.36</v>
      </c>
      <c r="U55" s="3"/>
      <c r="V55" s="22">
        <f t="shared" si="17"/>
        <v>3.3397018213841355E-2</v>
      </c>
      <c r="W55" s="3"/>
      <c r="X55" s="3">
        <f t="shared" si="18"/>
        <v>-7516.2</v>
      </c>
      <c r="Y55" s="3"/>
      <c r="Z55" s="22">
        <f t="shared" si="19"/>
        <v>-0.96953701840471807</v>
      </c>
    </row>
    <row r="56" spans="1:26" s="24" customFormat="1" hidden="1" outlineLevel="1" x14ac:dyDescent="0.25">
      <c r="A56" s="50"/>
      <c r="B56" s="11" t="str">
        <f>CONCATENATE("          ", "5043", " - ", "PURCHASES @ COST-CARDS")</f>
        <v xml:space="preserve">          5043 - PURCHASES @ COST-CARDS</v>
      </c>
      <c r="C56" s="11"/>
      <c r="D56" s="3">
        <v>308.7</v>
      </c>
      <c r="E56" s="3"/>
      <c r="F56" s="22">
        <f t="shared" si="12"/>
        <v>1.7662121049666665E-3</v>
      </c>
      <c r="G56" s="3"/>
      <c r="H56" s="3">
        <v>498.26</v>
      </c>
      <c r="I56" s="3"/>
      <c r="J56" s="22">
        <f t="shared" si="13"/>
        <v>2.1464945249225517E-3</v>
      </c>
      <c r="K56" s="3"/>
      <c r="L56" s="3">
        <f t="shared" si="14"/>
        <v>-189.56</v>
      </c>
      <c r="M56" s="3"/>
      <c r="N56" s="22">
        <f t="shared" si="15"/>
        <v>-0.38044394492835065</v>
      </c>
      <c r="O56" s="11"/>
      <c r="P56" s="3">
        <v>308.7</v>
      </c>
      <c r="Q56" s="3"/>
      <c r="R56" s="22">
        <f t="shared" si="16"/>
        <v>1.7662121049666665E-3</v>
      </c>
      <c r="S56" s="3"/>
      <c r="T56" s="3">
        <v>498.26</v>
      </c>
      <c r="U56" s="3"/>
      <c r="V56" s="22">
        <f t="shared" si="17"/>
        <v>2.1464945249225517E-3</v>
      </c>
      <c r="W56" s="3"/>
      <c r="X56" s="3">
        <f t="shared" si="18"/>
        <v>-189.56</v>
      </c>
      <c r="Y56" s="3"/>
      <c r="Z56" s="22">
        <f t="shared" si="19"/>
        <v>-0.38044394492835065</v>
      </c>
    </row>
    <row r="57" spans="1:26" s="24" customFormat="1" hidden="1" outlineLevel="1" x14ac:dyDescent="0.25">
      <c r="A57" s="50"/>
      <c r="B57" s="11" t="str">
        <f>CONCATENATE("          ", "5044", " - ", "PURCHASES @ COST-ACCESSORIES")</f>
        <v xml:space="preserve">          5044 - PURCHASES @ COST-ACCESSORIES</v>
      </c>
      <c r="C57" s="11"/>
      <c r="D57" s="3"/>
      <c r="E57" s="3"/>
      <c r="F57" s="22">
        <f t="shared" si="12"/>
        <v>0</v>
      </c>
      <c r="G57" s="3"/>
      <c r="H57" s="3">
        <v>4839</v>
      </c>
      <c r="I57" s="3"/>
      <c r="J57" s="22">
        <f t="shared" si="13"/>
        <v>2.0846319203026993E-2</v>
      </c>
      <c r="K57" s="3"/>
      <c r="L57" s="3">
        <f t="shared" si="14"/>
        <v>-4839</v>
      </c>
      <c r="M57" s="3"/>
      <c r="N57" s="22">
        <f t="shared" si="15"/>
        <v>-1</v>
      </c>
      <c r="O57" s="11"/>
      <c r="P57" s="3"/>
      <c r="Q57" s="3"/>
      <c r="R57" s="22">
        <f t="shared" si="16"/>
        <v>0</v>
      </c>
      <c r="S57" s="3"/>
      <c r="T57" s="3">
        <v>4839</v>
      </c>
      <c r="U57" s="3"/>
      <c r="V57" s="22">
        <f t="shared" si="17"/>
        <v>2.0846319203026993E-2</v>
      </c>
      <c r="W57" s="3"/>
      <c r="X57" s="3">
        <f t="shared" si="18"/>
        <v>-4839</v>
      </c>
      <c r="Y57" s="3"/>
      <c r="Z57" s="22">
        <f t="shared" si="19"/>
        <v>-1</v>
      </c>
    </row>
    <row r="58" spans="1:26" s="24" customFormat="1" hidden="1" outlineLevel="1" x14ac:dyDescent="0.25">
      <c r="A58" s="50"/>
      <c r="B58" s="11" t="str">
        <f>CONCATENATE("          ", "5045", " - ", "PURCHASES @ COST-SPECIAL ORDER")</f>
        <v xml:space="preserve">          5045 - PURCHASES @ COST-SPECIAL ORDER</v>
      </c>
      <c r="C58" s="11"/>
      <c r="D58" s="3">
        <v>2756.21</v>
      </c>
      <c r="E58" s="3"/>
      <c r="F58" s="22">
        <f t="shared" si="12"/>
        <v>1.5769522079138891E-2</v>
      </c>
      <c r="G58" s="3"/>
      <c r="H58" s="3">
        <v>15992.849999999999</v>
      </c>
      <c r="I58" s="3"/>
      <c r="J58" s="22">
        <f t="shared" si="13"/>
        <v>6.8896891106867156E-2</v>
      </c>
      <c r="K58" s="3"/>
      <c r="L58" s="3">
        <f t="shared" si="14"/>
        <v>-13236.64</v>
      </c>
      <c r="M58" s="3"/>
      <c r="N58" s="22">
        <f t="shared" si="15"/>
        <v>-0.82765986050016105</v>
      </c>
      <c r="O58" s="11"/>
      <c r="P58" s="3">
        <v>2756.21</v>
      </c>
      <c r="Q58" s="3"/>
      <c r="R58" s="22">
        <f t="shared" si="16"/>
        <v>1.5769522079138891E-2</v>
      </c>
      <c r="S58" s="3"/>
      <c r="T58" s="3">
        <v>15992.849999999999</v>
      </c>
      <c r="U58" s="3"/>
      <c r="V58" s="22">
        <f t="shared" si="17"/>
        <v>6.8896891106867156E-2</v>
      </c>
      <c r="W58" s="3"/>
      <c r="X58" s="3">
        <f t="shared" si="18"/>
        <v>-13236.64</v>
      </c>
      <c r="Y58" s="3"/>
      <c r="Z58" s="22">
        <f t="shared" si="19"/>
        <v>-0.82765986050016105</v>
      </c>
    </row>
    <row r="59" spans="1:26" s="24" customFormat="1" hidden="1" outlineLevel="1" x14ac:dyDescent="0.25">
      <c r="A59" s="50"/>
      <c r="B59" s="11" t="str">
        <f>CONCATENATE("          ", "5095", " - ", "PURCHASES @ COST-CUSTOMER SERV")</f>
        <v xml:space="preserve">          5095 - PURCHASES @ COST-CUSTOMER SERV</v>
      </c>
      <c r="C59" s="11"/>
      <c r="D59" s="3"/>
      <c r="E59" s="3"/>
      <c r="F59" s="22">
        <f t="shared" si="12"/>
        <v>0</v>
      </c>
      <c r="G59" s="3"/>
      <c r="H59" s="3">
        <v>-11.85</v>
      </c>
      <c r="I59" s="3"/>
      <c r="J59" s="22">
        <f t="shared" si="13"/>
        <v>-5.1049572753847868E-5</v>
      </c>
      <c r="K59" s="3"/>
      <c r="L59" s="3">
        <f t="shared" si="14"/>
        <v>11.85</v>
      </c>
      <c r="M59" s="3"/>
      <c r="N59" s="22">
        <f t="shared" si="15"/>
        <v>-1</v>
      </c>
      <c r="O59" s="11"/>
      <c r="P59" s="3"/>
      <c r="Q59" s="3"/>
      <c r="R59" s="22">
        <f t="shared" si="16"/>
        <v>0</v>
      </c>
      <c r="S59" s="3"/>
      <c r="T59" s="3">
        <v>-11.85</v>
      </c>
      <c r="U59" s="3"/>
      <c r="V59" s="22">
        <f t="shared" si="17"/>
        <v>-5.1049572753847868E-5</v>
      </c>
      <c r="W59" s="3"/>
      <c r="X59" s="3">
        <f t="shared" si="18"/>
        <v>11.85</v>
      </c>
      <c r="Y59" s="3"/>
      <c r="Z59" s="22">
        <f t="shared" si="19"/>
        <v>-1</v>
      </c>
    </row>
    <row r="60" spans="1:26" s="24" customFormat="1" hidden="1" outlineLevel="1" x14ac:dyDescent="0.25">
      <c r="A60" s="50"/>
      <c r="B60" s="11" t="str">
        <f>CONCATENATE("          ", "5200", " - ", "PURCHASES OFFSET")</f>
        <v xml:space="preserve">          5200 - PURCHASES OFFSET</v>
      </c>
      <c r="C60" s="11"/>
      <c r="D60" s="3">
        <v>-13113.6</v>
      </c>
      <c r="E60" s="3"/>
      <c r="F60" s="22">
        <f t="shared" si="12"/>
        <v>-7.502882753382209E-2</v>
      </c>
      <c r="G60" s="3"/>
      <c r="H60" s="3">
        <v>-120869</v>
      </c>
      <c r="I60" s="3"/>
      <c r="J60" s="22">
        <f t="shared" si="13"/>
        <v>-0.52070133410842523</v>
      </c>
      <c r="K60" s="3"/>
      <c r="L60" s="3">
        <f t="shared" si="14"/>
        <v>107755.4</v>
      </c>
      <c r="M60" s="3"/>
      <c r="N60" s="22">
        <f t="shared" si="15"/>
        <v>-0.89150567970281869</v>
      </c>
      <c r="O60" s="11"/>
      <c r="P60" s="3">
        <v>-13113.6</v>
      </c>
      <c r="Q60" s="3"/>
      <c r="R60" s="22">
        <f t="shared" si="16"/>
        <v>-7.502882753382209E-2</v>
      </c>
      <c r="S60" s="3"/>
      <c r="T60" s="3">
        <v>-120869</v>
      </c>
      <c r="U60" s="3"/>
      <c r="V60" s="22">
        <f t="shared" si="17"/>
        <v>-0.52070133410842523</v>
      </c>
      <c r="W60" s="3"/>
      <c r="X60" s="3">
        <f t="shared" si="18"/>
        <v>107755.4</v>
      </c>
      <c r="Y60" s="3"/>
      <c r="Z60" s="22">
        <f t="shared" si="19"/>
        <v>-0.89150567970281869</v>
      </c>
    </row>
    <row r="61" spans="1:26" s="24" customFormat="1" hidden="1" outlineLevel="1" x14ac:dyDescent="0.25">
      <c r="A61" s="50"/>
      <c r="B61" s="11" t="str">
        <f>CONCATENATE("          ", "5300", " - ", "COG$ OFFSET")</f>
        <v xml:space="preserve">          5300 - COG$ OFFSET</v>
      </c>
      <c r="C61" s="11"/>
      <c r="D61" s="3">
        <v>109540</v>
      </c>
      <c r="E61" s="3"/>
      <c r="F61" s="22">
        <f t="shared" si="12"/>
        <v>0.62672780686118768</v>
      </c>
      <c r="G61" s="3"/>
      <c r="H61" s="3">
        <v>107373</v>
      </c>
      <c r="I61" s="3"/>
      <c r="J61" s="22">
        <f t="shared" si="13"/>
        <v>0.46256082491973904</v>
      </c>
      <c r="K61" s="3"/>
      <c r="L61" s="3">
        <f t="shared" si="14"/>
        <v>2167</v>
      </c>
      <c r="M61" s="3"/>
      <c r="N61" s="22">
        <f t="shared" si="15"/>
        <v>2.0181982435062817E-2</v>
      </c>
      <c r="O61" s="11"/>
      <c r="P61" s="3">
        <v>109540</v>
      </c>
      <c r="Q61" s="3"/>
      <c r="R61" s="22">
        <f t="shared" si="16"/>
        <v>0.62672780686118768</v>
      </c>
      <c r="S61" s="3"/>
      <c r="T61" s="3">
        <v>107373</v>
      </c>
      <c r="U61" s="3"/>
      <c r="V61" s="22">
        <f t="shared" si="17"/>
        <v>0.46256082491973904</v>
      </c>
      <c r="W61" s="3"/>
      <c r="X61" s="3">
        <f t="shared" si="18"/>
        <v>2167</v>
      </c>
      <c r="Y61" s="3"/>
      <c r="Z61" s="22">
        <f t="shared" si="19"/>
        <v>2.0181982435062817E-2</v>
      </c>
    </row>
    <row r="62" spans="1:26" s="24" customFormat="1" hidden="1" outlineLevel="1" x14ac:dyDescent="0.25">
      <c r="A62" s="50"/>
      <c r="B62" s="11" t="str">
        <f>CONCATENATE("          ", "5540", " - ", "FREIGHT-IN-LOGO CLOTHING")</f>
        <v xml:space="preserve">          5540 - FREIGHT-IN-LOGO CLOTHING</v>
      </c>
      <c r="C62" s="11"/>
      <c r="D62" s="3">
        <v>909.83</v>
      </c>
      <c r="E62" s="3"/>
      <c r="F62" s="22">
        <f t="shared" si="12"/>
        <v>5.2055482975763593E-3</v>
      </c>
      <c r="G62" s="3"/>
      <c r="H62" s="3">
        <v>395.22</v>
      </c>
      <c r="I62" s="3"/>
      <c r="J62" s="22">
        <f t="shared" si="13"/>
        <v>1.7026001809093466E-3</v>
      </c>
      <c r="K62" s="3"/>
      <c r="L62" s="3">
        <f t="shared" si="14"/>
        <v>514.61</v>
      </c>
      <c r="M62" s="3"/>
      <c r="N62" s="22">
        <f t="shared" si="15"/>
        <v>1.3020849147310358</v>
      </c>
      <c r="O62" s="11"/>
      <c r="P62" s="3">
        <v>909.83</v>
      </c>
      <c r="Q62" s="3"/>
      <c r="R62" s="22">
        <f t="shared" si="16"/>
        <v>5.2055482975763593E-3</v>
      </c>
      <c r="S62" s="3"/>
      <c r="T62" s="3">
        <v>395.22</v>
      </c>
      <c r="U62" s="3"/>
      <c r="V62" s="22">
        <f t="shared" si="17"/>
        <v>1.7026001809093466E-3</v>
      </c>
      <c r="W62" s="3"/>
      <c r="X62" s="3">
        <f t="shared" si="18"/>
        <v>514.61</v>
      </c>
      <c r="Y62" s="3"/>
      <c r="Z62" s="22">
        <f t="shared" si="19"/>
        <v>1.3020849147310358</v>
      </c>
    </row>
    <row r="63" spans="1:26" s="24" customFormat="1" hidden="1" outlineLevel="1" x14ac:dyDescent="0.25">
      <c r="A63" s="50"/>
      <c r="B63" s="11" t="str">
        <f>CONCATENATE("          ", "5541", " - ", "FREIGHT-IN-LOGO GIFTS")</f>
        <v xml:space="preserve">          5541 - FREIGHT-IN-LOGO GIFTS</v>
      </c>
      <c r="C63" s="11"/>
      <c r="D63" s="3">
        <v>83.58</v>
      </c>
      <c r="E63" s="3"/>
      <c r="F63" s="22">
        <f t="shared" si="12"/>
        <v>4.7819892365764168E-4</v>
      </c>
      <c r="G63" s="3"/>
      <c r="H63" s="3">
        <v>314.49</v>
      </c>
      <c r="I63" s="3"/>
      <c r="J63" s="22">
        <f t="shared" si="13"/>
        <v>1.3548168890597145E-3</v>
      </c>
      <c r="K63" s="3"/>
      <c r="L63" s="3">
        <f t="shared" si="14"/>
        <v>-230.91000000000003</v>
      </c>
      <c r="M63" s="3"/>
      <c r="N63" s="22">
        <f t="shared" si="15"/>
        <v>-0.73423638271487179</v>
      </c>
      <c r="O63" s="11"/>
      <c r="P63" s="3">
        <v>83.58</v>
      </c>
      <c r="Q63" s="3"/>
      <c r="R63" s="22">
        <f t="shared" si="16"/>
        <v>4.7819892365764168E-4</v>
      </c>
      <c r="S63" s="3"/>
      <c r="T63" s="3">
        <v>314.49</v>
      </c>
      <c r="U63" s="3"/>
      <c r="V63" s="22">
        <f t="shared" si="17"/>
        <v>1.3548168890597145E-3</v>
      </c>
      <c r="W63" s="3"/>
      <c r="X63" s="3">
        <f t="shared" si="18"/>
        <v>-230.91000000000003</v>
      </c>
      <c r="Y63" s="3"/>
      <c r="Z63" s="22">
        <f t="shared" si="19"/>
        <v>-0.73423638271487179</v>
      </c>
    </row>
    <row r="64" spans="1:26" s="24" customFormat="1" hidden="1" outlineLevel="1" x14ac:dyDescent="0.25">
      <c r="A64" s="50"/>
      <c r="B64" s="11" t="str">
        <f>CONCATENATE("          ", "5542", " - ", "FREIGHT-IN-EVERYDAY GIFTS")</f>
        <v xml:space="preserve">          5542 - FREIGHT-IN-EVERYDAY GIFTS</v>
      </c>
      <c r="C64" s="11"/>
      <c r="D64" s="3">
        <v>5.94</v>
      </c>
      <c r="E64" s="3"/>
      <c r="F64" s="22">
        <f t="shared" si="12"/>
        <v>3.3985422427930025E-5</v>
      </c>
      <c r="G64" s="3"/>
      <c r="H64" s="3">
        <v>29.72</v>
      </c>
      <c r="I64" s="3"/>
      <c r="J64" s="22">
        <f t="shared" si="13"/>
        <v>1.2803319006281507E-4</v>
      </c>
      <c r="K64" s="3"/>
      <c r="L64" s="3">
        <f t="shared" si="14"/>
        <v>-23.779999999999998</v>
      </c>
      <c r="M64" s="3"/>
      <c r="N64" s="22">
        <f t="shared" si="15"/>
        <v>-0.80013458950201877</v>
      </c>
      <c r="O64" s="11"/>
      <c r="P64" s="3">
        <v>5.94</v>
      </c>
      <c r="Q64" s="3"/>
      <c r="R64" s="22">
        <f t="shared" si="16"/>
        <v>3.3985422427930025E-5</v>
      </c>
      <c r="S64" s="3"/>
      <c r="T64" s="3">
        <v>29.72</v>
      </c>
      <c r="U64" s="3"/>
      <c r="V64" s="22">
        <f t="shared" si="17"/>
        <v>1.2803319006281507E-4</v>
      </c>
      <c r="W64" s="3"/>
      <c r="X64" s="3">
        <f t="shared" si="18"/>
        <v>-23.779999999999998</v>
      </c>
      <c r="Y64" s="3"/>
      <c r="Z64" s="22">
        <f t="shared" si="19"/>
        <v>-0.80013458950201877</v>
      </c>
    </row>
    <row r="65" spans="1:26" s="24" customFormat="1" hidden="1" outlineLevel="1" x14ac:dyDescent="0.25">
      <c r="A65" s="50"/>
      <c r="B65" s="11" t="str">
        <f>CONCATENATE("          ", "5544", " - ", "FREIGHT-IN-ACCESSORIES")</f>
        <v xml:space="preserve">          5544 - FREIGHT-IN-ACCESSORIES</v>
      </c>
      <c r="C65" s="11"/>
      <c r="D65" s="3"/>
      <c r="E65" s="3"/>
      <c r="F65" s="22">
        <f t="shared" si="12"/>
        <v>0</v>
      </c>
      <c r="G65" s="3"/>
      <c r="H65" s="3">
        <v>16.73</v>
      </c>
      <c r="I65" s="3"/>
      <c r="J65" s="22">
        <f t="shared" si="13"/>
        <v>7.2072519170622356E-5</v>
      </c>
      <c r="K65" s="3"/>
      <c r="L65" s="3">
        <f t="shared" si="14"/>
        <v>-16.73</v>
      </c>
      <c r="M65" s="3"/>
      <c r="N65" s="22">
        <f t="shared" si="15"/>
        <v>-1</v>
      </c>
      <c r="O65" s="11"/>
      <c r="P65" s="3"/>
      <c r="Q65" s="3"/>
      <c r="R65" s="22">
        <f t="shared" si="16"/>
        <v>0</v>
      </c>
      <c r="S65" s="3"/>
      <c r="T65" s="3">
        <v>16.73</v>
      </c>
      <c r="U65" s="3"/>
      <c r="V65" s="22">
        <f t="shared" si="17"/>
        <v>7.2072519170622356E-5</v>
      </c>
      <c r="W65" s="3"/>
      <c r="X65" s="3">
        <f t="shared" si="18"/>
        <v>-16.73</v>
      </c>
      <c r="Y65" s="3"/>
      <c r="Z65" s="22">
        <f t="shared" si="19"/>
        <v>-1</v>
      </c>
    </row>
    <row r="66" spans="1:26" s="24" customFormat="1" hidden="1" outlineLevel="1" x14ac:dyDescent="0.25">
      <c r="A66" s="50"/>
      <c r="B66" s="11" t="str">
        <f>CONCATENATE("          ", "5545", " - ", "FREIGHT-IN-SPECIAL ORDERS")</f>
        <v xml:space="preserve">          5545 - FREIGHT-IN-SPECIAL ORDERS</v>
      </c>
      <c r="C66" s="11"/>
      <c r="D66" s="3">
        <v>300.39999999999998</v>
      </c>
      <c r="E66" s="3"/>
      <c r="F66" s="22">
        <f t="shared" si="12"/>
        <v>1.7187240567929595E-3</v>
      </c>
      <c r="G66" s="3"/>
      <c r="H66" s="3">
        <v>227.08</v>
      </c>
      <c r="I66" s="3"/>
      <c r="J66" s="22">
        <f t="shared" si="13"/>
        <v>9.7825628531171094E-4</v>
      </c>
      <c r="K66" s="3"/>
      <c r="L66" s="3">
        <f t="shared" si="14"/>
        <v>73.319999999999965</v>
      </c>
      <c r="M66" s="3"/>
      <c r="N66" s="22">
        <f t="shared" si="15"/>
        <v>0.32288180376959646</v>
      </c>
      <c r="O66" s="11"/>
      <c r="P66" s="3">
        <v>300.39999999999998</v>
      </c>
      <c r="Q66" s="3"/>
      <c r="R66" s="22">
        <f t="shared" si="16"/>
        <v>1.7187240567929595E-3</v>
      </c>
      <c r="S66" s="3"/>
      <c r="T66" s="3">
        <v>227.08</v>
      </c>
      <c r="U66" s="3"/>
      <c r="V66" s="22">
        <f t="shared" si="17"/>
        <v>9.7825628531171094E-4</v>
      </c>
      <c r="W66" s="3"/>
      <c r="X66" s="3">
        <f t="shared" si="18"/>
        <v>73.319999999999965</v>
      </c>
      <c r="Y66" s="3"/>
      <c r="Z66" s="22">
        <f t="shared" si="19"/>
        <v>0.32288180376959646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x14ac:dyDescent="0.25">
      <c r="A68" s="10"/>
      <c r="B68" s="26" t="s">
        <v>6</v>
      </c>
      <c r="C68" s="26"/>
      <c r="D68" s="19">
        <f>D12-D49</f>
        <v>64240.879999999976</v>
      </c>
      <c r="E68" s="13"/>
      <c r="F68" s="20">
        <f>IF(D$12=0,0,D68/D$12)</f>
        <v>0.3675510848387139</v>
      </c>
      <c r="G68" s="13"/>
      <c r="H68" s="19">
        <f>H12-H49</f>
        <v>124753.97000000002</v>
      </c>
      <c r="I68" s="13"/>
      <c r="J68" s="20">
        <f>IF(H$12=0,0,H68/H$12)</f>
        <v>0.53743771036678101</v>
      </c>
      <c r="K68" s="16"/>
      <c r="L68" s="19">
        <f>+D68-H68</f>
        <v>-60513.09000000004</v>
      </c>
      <c r="M68" s="16"/>
      <c r="N68" s="20">
        <f>IF(H68=0,0,L68/H68)</f>
        <v>-0.48505943337915447</v>
      </c>
      <c r="O68" s="25"/>
      <c r="P68" s="19">
        <f>P12-P49</f>
        <v>64240.879999999976</v>
      </c>
      <c r="Q68" s="13"/>
      <c r="R68" s="20">
        <f>IF(P$12=0,0,P68/P$12)</f>
        <v>0.3675510848387139</v>
      </c>
      <c r="S68" s="13"/>
      <c r="T68" s="19">
        <f>T12-T49</f>
        <v>124753.97000000002</v>
      </c>
      <c r="U68" s="13"/>
      <c r="V68" s="20">
        <f>IF(T$12=0,0,T68/T$12)</f>
        <v>0.53743771036678101</v>
      </c>
      <c r="W68" s="16"/>
      <c r="X68" s="19">
        <f>+P68-T68</f>
        <v>-60513.09000000004</v>
      </c>
      <c r="Y68" s="16"/>
      <c r="Z68" s="20">
        <f>IF(T68=0,0,X68/T68)</f>
        <v>-0.48505943337915447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5" t="s">
        <v>9</v>
      </c>
      <c r="C70" s="10"/>
      <c r="D70" s="21">
        <f>SUM(OSRRefD22x_0)</f>
        <v>62782.459999999992</v>
      </c>
      <c r="E70" s="21"/>
      <c r="F70" s="34">
        <f t="shared" ref="F70:F79" si="20">IF(D$12=0,0,D70/D$12)</f>
        <v>0.35920680541491912</v>
      </c>
      <c r="G70" s="21"/>
      <c r="H70" s="21">
        <f>SUM(OSRRefH22x_0)</f>
        <v>84174.290000000008</v>
      </c>
      <c r="I70" s="21"/>
      <c r="J70" s="34">
        <f t="shared" ref="J70:J79" si="21">IF(H$12=0,0,H70/H$12)</f>
        <v>0.36262122711885991</v>
      </c>
      <c r="K70" s="4"/>
      <c r="L70" s="21">
        <f t="shared" ref="L70:L79" si="22">+D70-H70</f>
        <v>-21391.830000000016</v>
      </c>
      <c r="M70" s="4"/>
      <c r="N70" s="34">
        <f t="shared" ref="N70:N79" si="23">IF(H70=0,0,L70/H70)</f>
        <v>-0.25413733813495798</v>
      </c>
      <c r="O70" s="10"/>
      <c r="P70" s="21">
        <f>SUM(OSRRefP22x_0)</f>
        <v>62782.459999999992</v>
      </c>
      <c r="Q70" s="21"/>
      <c r="R70" s="34">
        <f t="shared" ref="R70:R79" si="24">IF(P$12=0,0,P70/P$12)</f>
        <v>0.35920680541491912</v>
      </c>
      <c r="S70" s="21"/>
      <c r="T70" s="21">
        <f>SUM(OSRRefT22x_0)</f>
        <v>84174.290000000008</v>
      </c>
      <c r="U70" s="21"/>
      <c r="V70" s="34">
        <f t="shared" ref="V70:V79" si="25">IF(T$12=0,0,T70/T$12)</f>
        <v>0.36262122711885991</v>
      </c>
      <c r="W70" s="4"/>
      <c r="X70" s="21">
        <f t="shared" ref="X70:X79" si="26">+P70-T70</f>
        <v>-21391.830000000016</v>
      </c>
      <c r="Y70" s="4"/>
      <c r="Z70" s="34">
        <f t="shared" ref="Z70:Z79" si="27">IF(T70=0,0,X70/T70)</f>
        <v>-0.25413733813495798</v>
      </c>
    </row>
    <row r="71" spans="1:26" s="27" customFormat="1" outlineLevel="1" collapsed="1" x14ac:dyDescent="0.25">
      <c r="A71" s="28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13065.430000000002</v>
      </c>
      <c r="E71" s="1"/>
      <c r="F71" s="5">
        <f t="shared" si="20"/>
        <v>7.4753225210866983E-2</v>
      </c>
      <c r="G71" s="1"/>
      <c r="H71" s="1">
        <f>SUM(OSRRefH22_0x_0)</f>
        <v>10056.81</v>
      </c>
      <c r="I71" s="1"/>
      <c r="J71" s="5">
        <f t="shared" si="21"/>
        <v>4.3324544621656101E-2</v>
      </c>
      <c r="K71" s="1"/>
      <c r="L71" s="1">
        <f t="shared" si="22"/>
        <v>3008.6200000000026</v>
      </c>
      <c r="M71" s="1"/>
      <c r="N71" s="5">
        <f t="shared" si="23"/>
        <v>0.29916245807567238</v>
      </c>
      <c r="O71" s="14"/>
      <c r="P71" s="1">
        <f>SUM(OSRRefP22_0x_0)</f>
        <v>13065.430000000002</v>
      </c>
      <c r="Q71" s="1"/>
      <c r="R71" s="5">
        <f t="shared" si="24"/>
        <v>7.4753225210866983E-2</v>
      </c>
      <c r="S71" s="1"/>
      <c r="T71" s="1">
        <f>SUM(OSRRefT22_0x_0)</f>
        <v>10056.81</v>
      </c>
      <c r="U71" s="1"/>
      <c r="V71" s="5">
        <f t="shared" si="25"/>
        <v>4.3324544621656101E-2</v>
      </c>
      <c r="W71" s="1"/>
      <c r="X71" s="1">
        <f t="shared" si="26"/>
        <v>3008.6200000000026</v>
      </c>
      <c r="Y71" s="1"/>
      <c r="Z71" s="5">
        <f t="shared" si="27"/>
        <v>0.29916245807567238</v>
      </c>
    </row>
    <row r="72" spans="1:26" s="24" customFormat="1" hidden="1" outlineLevel="2" x14ac:dyDescent="0.25">
      <c r="A72" s="29"/>
      <c r="B72" s="11" t="str">
        <f>CONCATENATE("          ", "6111", " - ", "F.I.C.A.")</f>
        <v xml:space="preserve">          6111 - F.I.C.A.</v>
      </c>
      <c r="C72" s="11"/>
      <c r="D72" s="8">
        <v>2072.21</v>
      </c>
      <c r="E72" s="3"/>
      <c r="F72" s="7">
        <f t="shared" si="20"/>
        <v>1.1856049193498464E-2</v>
      </c>
      <c r="G72" s="3"/>
      <c r="H72" s="8">
        <v>2336.29</v>
      </c>
      <c r="I72" s="3"/>
      <c r="J72" s="7">
        <f t="shared" si="21"/>
        <v>1.0064692517222551E-2</v>
      </c>
      <c r="K72" s="3"/>
      <c r="L72" s="8">
        <f t="shared" si="22"/>
        <v>-264.07999999999993</v>
      </c>
      <c r="M72" s="3"/>
      <c r="N72" s="7">
        <f t="shared" si="23"/>
        <v>-0.11303391274199689</v>
      </c>
      <c r="O72" s="11"/>
      <c r="P72" s="8">
        <v>2072.21</v>
      </c>
      <c r="Q72" s="3"/>
      <c r="R72" s="7">
        <f t="shared" si="24"/>
        <v>1.1856049193498464E-2</v>
      </c>
      <c r="S72" s="3"/>
      <c r="T72" s="8">
        <v>2336.29</v>
      </c>
      <c r="U72" s="3"/>
      <c r="V72" s="7">
        <f t="shared" si="25"/>
        <v>1.0064692517222551E-2</v>
      </c>
      <c r="W72" s="3"/>
      <c r="X72" s="8">
        <f t="shared" si="26"/>
        <v>-264.07999999999993</v>
      </c>
      <c r="Y72" s="3"/>
      <c r="Z72" s="7">
        <f t="shared" si="27"/>
        <v>-0.11303391274199689</v>
      </c>
    </row>
    <row r="73" spans="1:26" s="24" customFormat="1" hidden="1" outlineLevel="2" x14ac:dyDescent="0.25">
      <c r="A73" s="29"/>
      <c r="B73" s="11" t="str">
        <f>CONCATENATE("          ", "6112", " - ", "COMPENSATION INSURANCE")</f>
        <v xml:space="preserve">          6112 - COMPENSATION INSURANCE</v>
      </c>
      <c r="C73" s="11"/>
      <c r="D73" s="8">
        <v>590.98</v>
      </c>
      <c r="E73" s="3"/>
      <c r="F73" s="7">
        <f t="shared" si="20"/>
        <v>3.3812634589996779E-3</v>
      </c>
      <c r="G73" s="3"/>
      <c r="H73" s="8">
        <v>545.26</v>
      </c>
      <c r="I73" s="3"/>
      <c r="J73" s="7">
        <f t="shared" si="21"/>
        <v>2.3489696236086996E-3</v>
      </c>
      <c r="K73" s="3"/>
      <c r="L73" s="8">
        <f t="shared" si="22"/>
        <v>45.720000000000027</v>
      </c>
      <c r="M73" s="3"/>
      <c r="N73" s="7">
        <f t="shared" si="23"/>
        <v>8.3849906466639826E-2</v>
      </c>
      <c r="O73" s="11"/>
      <c r="P73" s="8">
        <v>590.98</v>
      </c>
      <c r="Q73" s="3"/>
      <c r="R73" s="7">
        <f t="shared" si="24"/>
        <v>3.3812634589996779E-3</v>
      </c>
      <c r="S73" s="3"/>
      <c r="T73" s="8">
        <v>545.26</v>
      </c>
      <c r="U73" s="3"/>
      <c r="V73" s="7">
        <f t="shared" si="25"/>
        <v>2.3489696236086996E-3</v>
      </c>
      <c r="W73" s="3"/>
      <c r="X73" s="8">
        <f t="shared" si="26"/>
        <v>45.720000000000027</v>
      </c>
      <c r="Y73" s="3"/>
      <c r="Z73" s="7">
        <f t="shared" si="27"/>
        <v>8.3849906466639826E-2</v>
      </c>
    </row>
    <row r="74" spans="1:26" s="24" customFormat="1" hidden="1" outlineLevel="2" x14ac:dyDescent="0.25">
      <c r="A74" s="29"/>
      <c r="B74" s="11" t="str">
        <f>CONCATENATE("          ", "6113", " - ", "GROUP INSURANCE")</f>
        <v xml:space="preserve">          6113 - GROUP INSURANCE</v>
      </c>
      <c r="C74" s="11"/>
      <c r="D74" s="8">
        <v>4838.6000000000004</v>
      </c>
      <c r="E74" s="3"/>
      <c r="F74" s="7">
        <f t="shared" si="20"/>
        <v>2.7683815649794989E-2</v>
      </c>
      <c r="G74" s="3"/>
      <c r="H74" s="8">
        <v>2785.09</v>
      </c>
      <c r="I74" s="3"/>
      <c r="J74" s="7">
        <f t="shared" si="21"/>
        <v>1.1998114310634108E-2</v>
      </c>
      <c r="K74" s="3"/>
      <c r="L74" s="8">
        <f t="shared" si="22"/>
        <v>2053.5100000000002</v>
      </c>
      <c r="M74" s="3"/>
      <c r="N74" s="7">
        <f t="shared" si="23"/>
        <v>0.73732267179875699</v>
      </c>
      <c r="O74" s="11"/>
      <c r="P74" s="8">
        <v>4838.6000000000004</v>
      </c>
      <c r="Q74" s="3"/>
      <c r="R74" s="7">
        <f t="shared" si="24"/>
        <v>2.7683815649794989E-2</v>
      </c>
      <c r="S74" s="3"/>
      <c r="T74" s="8">
        <v>2785.09</v>
      </c>
      <c r="U74" s="3"/>
      <c r="V74" s="7">
        <f t="shared" si="25"/>
        <v>1.1998114310634108E-2</v>
      </c>
      <c r="W74" s="3"/>
      <c r="X74" s="8">
        <f t="shared" si="26"/>
        <v>2053.5100000000002</v>
      </c>
      <c r="Y74" s="3"/>
      <c r="Z74" s="7">
        <f t="shared" si="27"/>
        <v>0.73732267179875699</v>
      </c>
    </row>
    <row r="75" spans="1:26" s="24" customFormat="1" hidden="1" outlineLevel="2" x14ac:dyDescent="0.25">
      <c r="A75" s="29"/>
      <c r="B75" s="11" t="str">
        <f>CONCATENATE("          ", "6114", " - ", "STATE UNEMPLOYMENT INSURANCE")</f>
        <v xml:space="preserve">          6114 - STATE UNEMPLOYMENT INSURANCE</v>
      </c>
      <c r="C75" s="11"/>
      <c r="D75" s="8">
        <v>67.400000000000006</v>
      </c>
      <c r="E75" s="3"/>
      <c r="F75" s="7">
        <f t="shared" si="20"/>
        <v>3.8562583697684916E-4</v>
      </c>
      <c r="G75" s="3"/>
      <c r="H75" s="8">
        <v>74.61</v>
      </c>
      <c r="I75" s="3"/>
      <c r="J75" s="7">
        <f t="shared" si="21"/>
        <v>3.2141844921220163E-4</v>
      </c>
      <c r="K75" s="3"/>
      <c r="L75" s="8">
        <f t="shared" si="22"/>
        <v>-7.2099999999999937</v>
      </c>
      <c r="M75" s="3"/>
      <c r="N75" s="7">
        <f t="shared" si="23"/>
        <v>-9.6635839699772061E-2</v>
      </c>
      <c r="O75" s="11"/>
      <c r="P75" s="8">
        <v>67.400000000000006</v>
      </c>
      <c r="Q75" s="3"/>
      <c r="R75" s="7">
        <f t="shared" si="24"/>
        <v>3.8562583697684916E-4</v>
      </c>
      <c r="S75" s="3"/>
      <c r="T75" s="8">
        <v>74.61</v>
      </c>
      <c r="U75" s="3"/>
      <c r="V75" s="7">
        <f t="shared" si="25"/>
        <v>3.2141844921220163E-4</v>
      </c>
      <c r="W75" s="3"/>
      <c r="X75" s="8">
        <f t="shared" si="26"/>
        <v>-7.2099999999999937</v>
      </c>
      <c r="Y75" s="3"/>
      <c r="Z75" s="7">
        <f t="shared" si="27"/>
        <v>-9.6635839699772061E-2</v>
      </c>
    </row>
    <row r="76" spans="1:26" s="24" customFormat="1" hidden="1" outlineLevel="2" x14ac:dyDescent="0.25">
      <c r="A76" s="29"/>
      <c r="B76" s="11" t="str">
        <f>CONCATENATE("          ", "6115", " - ", "P.E.R.S.")</f>
        <v xml:space="preserve">          6115 - P.E.R.S.</v>
      </c>
      <c r="C76" s="11"/>
      <c r="D76" s="8">
        <v>2512.37</v>
      </c>
      <c r="E76" s="3"/>
      <c r="F76" s="7">
        <f t="shared" si="20"/>
        <v>1.4374403324117602E-2</v>
      </c>
      <c r="G76" s="3"/>
      <c r="H76" s="8">
        <v>825.93</v>
      </c>
      <c r="I76" s="3"/>
      <c r="J76" s="7">
        <f t="shared" si="21"/>
        <v>3.5580906012308497E-3</v>
      </c>
      <c r="K76" s="3"/>
      <c r="L76" s="8">
        <f t="shared" si="22"/>
        <v>1686.44</v>
      </c>
      <c r="M76" s="3"/>
      <c r="N76" s="7">
        <f t="shared" si="23"/>
        <v>2.0418679549114334</v>
      </c>
      <c r="O76" s="11"/>
      <c r="P76" s="8">
        <v>2512.37</v>
      </c>
      <c r="Q76" s="3"/>
      <c r="R76" s="7">
        <f t="shared" si="24"/>
        <v>1.4374403324117602E-2</v>
      </c>
      <c r="S76" s="3"/>
      <c r="T76" s="8">
        <v>825.93</v>
      </c>
      <c r="U76" s="3"/>
      <c r="V76" s="7">
        <f t="shared" si="25"/>
        <v>3.5580906012308497E-3</v>
      </c>
      <c r="W76" s="3"/>
      <c r="X76" s="8">
        <f t="shared" si="26"/>
        <v>1686.44</v>
      </c>
      <c r="Y76" s="3"/>
      <c r="Z76" s="7">
        <f t="shared" si="27"/>
        <v>2.0418679549114334</v>
      </c>
    </row>
    <row r="77" spans="1:26" s="24" customFormat="1" hidden="1" outlineLevel="2" x14ac:dyDescent="0.25">
      <c r="A77" s="29"/>
      <c r="B77" s="11" t="str">
        <f>CONCATENATE("          ", "6118", " - ", "VACATION")</f>
        <v xml:space="preserve">          6118 - VACATION</v>
      </c>
      <c r="C77" s="11"/>
      <c r="D77" s="8">
        <v>1625.03</v>
      </c>
      <c r="E77" s="3"/>
      <c r="F77" s="7">
        <f t="shared" si="20"/>
        <v>9.2975304727372261E-3</v>
      </c>
      <c r="G77" s="3"/>
      <c r="H77" s="8">
        <v>1153.1600000000001</v>
      </c>
      <c r="I77" s="3"/>
      <c r="J77" s="7">
        <f t="shared" si="21"/>
        <v>4.9677911659769805E-3</v>
      </c>
      <c r="K77" s="3"/>
      <c r="L77" s="8">
        <f t="shared" si="22"/>
        <v>471.86999999999989</v>
      </c>
      <c r="M77" s="3"/>
      <c r="N77" s="7">
        <f t="shared" si="23"/>
        <v>0.40919733601581726</v>
      </c>
      <c r="O77" s="11"/>
      <c r="P77" s="8">
        <v>1625.03</v>
      </c>
      <c r="Q77" s="3"/>
      <c r="R77" s="7">
        <f t="shared" si="24"/>
        <v>9.2975304727372261E-3</v>
      </c>
      <c r="S77" s="3"/>
      <c r="T77" s="8">
        <v>1153.1600000000001</v>
      </c>
      <c r="U77" s="3"/>
      <c r="V77" s="7">
        <f t="shared" si="25"/>
        <v>4.9677911659769805E-3</v>
      </c>
      <c r="W77" s="3"/>
      <c r="X77" s="8">
        <f t="shared" si="26"/>
        <v>471.86999999999989</v>
      </c>
      <c r="Y77" s="3"/>
      <c r="Z77" s="7">
        <f t="shared" si="27"/>
        <v>0.40919733601581726</v>
      </c>
    </row>
    <row r="78" spans="1:26" s="24" customFormat="1" hidden="1" outlineLevel="2" x14ac:dyDescent="0.25">
      <c r="A78" s="29"/>
      <c r="B78" s="11" t="str">
        <f>CONCATENATE("          ", "6119", " - ", "SICK LEAVE")</f>
        <v xml:space="preserve">          6119 - SICK LEAVE</v>
      </c>
      <c r="C78" s="11"/>
      <c r="D78" s="8">
        <v>1000.53</v>
      </c>
      <c r="E78" s="3"/>
      <c r="F78" s="7">
        <f t="shared" si="20"/>
        <v>5.7244839565348191E-3</v>
      </c>
      <c r="G78" s="3"/>
      <c r="H78" s="8">
        <v>2188.37</v>
      </c>
      <c r="I78" s="3"/>
      <c r="J78" s="7">
        <f t="shared" si="21"/>
        <v>9.4274559938681904E-3</v>
      </c>
      <c r="K78" s="3"/>
      <c r="L78" s="8">
        <f t="shared" si="22"/>
        <v>-1187.8399999999999</v>
      </c>
      <c r="M78" s="3"/>
      <c r="N78" s="7">
        <f t="shared" si="23"/>
        <v>-0.5427966934293561</v>
      </c>
      <c r="O78" s="11"/>
      <c r="P78" s="8">
        <v>1000.53</v>
      </c>
      <c r="Q78" s="3"/>
      <c r="R78" s="7">
        <f t="shared" si="24"/>
        <v>5.7244839565348191E-3</v>
      </c>
      <c r="S78" s="3"/>
      <c r="T78" s="8">
        <v>2188.37</v>
      </c>
      <c r="U78" s="3"/>
      <c r="V78" s="7">
        <f t="shared" si="25"/>
        <v>9.4274559938681904E-3</v>
      </c>
      <c r="W78" s="3"/>
      <c r="X78" s="8">
        <f t="shared" si="26"/>
        <v>-1187.8399999999999</v>
      </c>
      <c r="Y78" s="3"/>
      <c r="Z78" s="7">
        <f t="shared" si="27"/>
        <v>-0.5427966934293561</v>
      </c>
    </row>
    <row r="79" spans="1:26" s="24" customFormat="1" hidden="1" outlineLevel="2" x14ac:dyDescent="0.25">
      <c r="A79" s="29"/>
      <c r="B79" s="11" t="str">
        <f>CONCATENATE("          ", "6156", " - ", "EMPLOYEE MEALS")</f>
        <v xml:space="preserve">          6156 - EMPLOYEE MEALS</v>
      </c>
      <c r="C79" s="11"/>
      <c r="D79" s="8">
        <v>358.31</v>
      </c>
      <c r="E79" s="3"/>
      <c r="F79" s="7">
        <f t="shared" si="20"/>
        <v>2.0500533182073412E-3</v>
      </c>
      <c r="G79" s="3"/>
      <c r="H79" s="8">
        <v>148.1</v>
      </c>
      <c r="I79" s="3"/>
      <c r="J79" s="7">
        <f t="shared" si="21"/>
        <v>6.380119599025206E-4</v>
      </c>
      <c r="K79" s="3"/>
      <c r="L79" s="8">
        <f t="shared" si="22"/>
        <v>210.21</v>
      </c>
      <c r="M79" s="3"/>
      <c r="N79" s="7">
        <f t="shared" si="23"/>
        <v>1.4193787981093857</v>
      </c>
      <c r="O79" s="11"/>
      <c r="P79" s="8">
        <v>358.31</v>
      </c>
      <c r="Q79" s="3"/>
      <c r="R79" s="7">
        <f t="shared" si="24"/>
        <v>2.0500533182073412E-3</v>
      </c>
      <c r="S79" s="3"/>
      <c r="T79" s="8">
        <v>148.1</v>
      </c>
      <c r="U79" s="3"/>
      <c r="V79" s="7">
        <f t="shared" si="25"/>
        <v>6.380119599025206E-4</v>
      </c>
      <c r="W79" s="3"/>
      <c r="X79" s="8">
        <f t="shared" si="26"/>
        <v>210.21</v>
      </c>
      <c r="Y79" s="3"/>
      <c r="Z79" s="7">
        <f t="shared" si="27"/>
        <v>1.4193787981093857</v>
      </c>
    </row>
    <row r="80" spans="1:26" s="27" customFormat="1" outlineLevel="1" collapsed="1" x14ac:dyDescent="0.25">
      <c r="A80" s="28"/>
      <c r="B80" s="14" t="str">
        <f>CONCATENATE("     ","*Payroll                                          ")</f>
        <v xml:space="preserve">     *Payroll                                          </v>
      </c>
      <c r="C80" s="14"/>
      <c r="D80" s="1">
        <f>SUM(OSRRefD22_1x_0)</f>
        <v>32293.550000000003</v>
      </c>
      <c r="E80" s="1"/>
      <c r="F80" s="5">
        <f t="shared" ref="F80:F84" si="28">IF(D$12=0,0,D80/D$12)</f>
        <v>0.18476598290361612</v>
      </c>
      <c r="G80" s="1"/>
      <c r="H80" s="1">
        <f>SUM(OSRRefH22_1x_0)</f>
        <v>35206.46</v>
      </c>
      <c r="I80" s="1"/>
      <c r="J80" s="5">
        <f t="shared" ref="J80:J84" si="29">IF(H$12=0,0,H80/H$12)</f>
        <v>0.15166875452957257</v>
      </c>
      <c r="K80" s="1"/>
      <c r="L80" s="1">
        <f t="shared" ref="L80:L84" si="30">+D80-H80</f>
        <v>-2912.9099999999962</v>
      </c>
      <c r="M80" s="1"/>
      <c r="N80" s="5">
        <f t="shared" ref="N80:N84" si="31">IF(H80=0,0,L80/H80)</f>
        <v>-8.2737940707472327E-2</v>
      </c>
      <c r="O80" s="14"/>
      <c r="P80" s="1">
        <f>SUM(OSRRefP22_1x_0)</f>
        <v>32293.550000000003</v>
      </c>
      <c r="Q80" s="1"/>
      <c r="R80" s="5">
        <f t="shared" ref="R80:R84" si="32">IF(P$12=0,0,P80/P$12)</f>
        <v>0.18476598290361612</v>
      </c>
      <c r="S80" s="1"/>
      <c r="T80" s="1">
        <f>SUM(OSRRefT22_1x_0)</f>
        <v>35206.46</v>
      </c>
      <c r="U80" s="1"/>
      <c r="V80" s="5">
        <f t="shared" ref="V80:V84" si="33">IF(T$12=0,0,T80/T$12)</f>
        <v>0.15166875452957257</v>
      </c>
      <c r="W80" s="1"/>
      <c r="X80" s="1">
        <f t="shared" ref="X80:X84" si="34">+P80-T80</f>
        <v>-2912.9099999999962</v>
      </c>
      <c r="Y80" s="1"/>
      <c r="Z80" s="5">
        <f t="shared" ref="Z80:Z84" si="35">IF(T80=0,0,X80/T80)</f>
        <v>-8.2737940707472327E-2</v>
      </c>
    </row>
    <row r="81" spans="1:26" s="24" customFormat="1" hidden="1" outlineLevel="2" x14ac:dyDescent="0.25">
      <c r="A81" s="29"/>
      <c r="B81" s="11" t="str">
        <f>CONCATENATE("          ", "6002", " - ", "STAFF SALARIES")</f>
        <v xml:space="preserve">          6002 - STAFF SALARIES</v>
      </c>
      <c r="C81" s="11"/>
      <c r="D81" s="8">
        <v>22090.400000000001</v>
      </c>
      <c r="E81" s="3"/>
      <c r="F81" s="7">
        <f t="shared" si="28"/>
        <v>0.12638915414174168</v>
      </c>
      <c r="G81" s="3"/>
      <c r="H81" s="8">
        <v>8274.8799999999992</v>
      </c>
      <c r="I81" s="3"/>
      <c r="J81" s="7">
        <f t="shared" si="29"/>
        <v>3.5648024353532544E-2</v>
      </c>
      <c r="K81" s="3"/>
      <c r="L81" s="8">
        <f t="shared" si="30"/>
        <v>13815.520000000002</v>
      </c>
      <c r="M81" s="3"/>
      <c r="N81" s="7">
        <f t="shared" si="31"/>
        <v>1.6695734560501183</v>
      </c>
      <c r="O81" s="11"/>
      <c r="P81" s="8">
        <v>22090.400000000001</v>
      </c>
      <c r="Q81" s="3"/>
      <c r="R81" s="7">
        <f t="shared" si="32"/>
        <v>0.12638915414174168</v>
      </c>
      <c r="S81" s="3"/>
      <c r="T81" s="8">
        <v>8274.8799999999992</v>
      </c>
      <c r="U81" s="3"/>
      <c r="V81" s="7">
        <f t="shared" si="33"/>
        <v>3.5648024353532544E-2</v>
      </c>
      <c r="W81" s="3"/>
      <c r="X81" s="8">
        <f t="shared" si="34"/>
        <v>13815.520000000002</v>
      </c>
      <c r="Y81" s="3"/>
      <c r="Z81" s="7">
        <f t="shared" si="35"/>
        <v>1.6695734560501183</v>
      </c>
    </row>
    <row r="82" spans="1:26" s="24" customFormat="1" hidden="1" outlineLevel="2" x14ac:dyDescent="0.25">
      <c r="A82" s="29"/>
      <c r="B82" s="11" t="str">
        <f>CONCATENATE("          ", "6004", " - ", "STAFF HOURLY")</f>
        <v xml:space="preserve">          6004 - STAFF HOURLY</v>
      </c>
      <c r="C82" s="11"/>
      <c r="D82" s="8">
        <v>6739.72</v>
      </c>
      <c r="E82" s="3"/>
      <c r="F82" s="7">
        <f t="shared" si="28"/>
        <v>3.8560981691240497E-2</v>
      </c>
      <c r="G82" s="3"/>
      <c r="H82" s="8"/>
      <c r="I82" s="3"/>
      <c r="J82" s="7">
        <f t="shared" si="29"/>
        <v>0</v>
      </c>
      <c r="K82" s="3"/>
      <c r="L82" s="8">
        <f t="shared" si="30"/>
        <v>6739.72</v>
      </c>
      <c r="M82" s="3"/>
      <c r="N82" s="7">
        <f t="shared" si="31"/>
        <v>0</v>
      </c>
      <c r="O82" s="11"/>
      <c r="P82" s="8">
        <v>6739.72</v>
      </c>
      <c r="Q82" s="3"/>
      <c r="R82" s="7">
        <f t="shared" si="32"/>
        <v>3.8560981691240497E-2</v>
      </c>
      <c r="S82" s="3"/>
      <c r="T82" s="8"/>
      <c r="U82" s="3"/>
      <c r="V82" s="7">
        <f t="shared" si="33"/>
        <v>0</v>
      </c>
      <c r="W82" s="3"/>
      <c r="X82" s="8">
        <f t="shared" si="34"/>
        <v>6739.72</v>
      </c>
      <c r="Y82" s="3"/>
      <c r="Z82" s="7">
        <f t="shared" si="35"/>
        <v>0</v>
      </c>
    </row>
    <row r="83" spans="1:26" s="24" customFormat="1" hidden="1" outlineLevel="2" x14ac:dyDescent="0.25">
      <c r="A83" s="29"/>
      <c r="B83" s="11" t="str">
        <f>CONCATENATE("          ", "6005", " - ", "TEMPORARY WAGES-HOURLY")</f>
        <v xml:space="preserve">          6005 - TEMPORARY WAGES-HOURLY</v>
      </c>
      <c r="C83" s="11"/>
      <c r="D83" s="8">
        <v>1937.43</v>
      </c>
      <c r="E83" s="3"/>
      <c r="F83" s="7">
        <f t="shared" si="28"/>
        <v>1.108491194857651E-2</v>
      </c>
      <c r="G83" s="3"/>
      <c r="H83" s="8">
        <v>4525.72</v>
      </c>
      <c r="I83" s="3"/>
      <c r="J83" s="7">
        <f t="shared" si="29"/>
        <v>1.9496714970763242E-2</v>
      </c>
      <c r="K83" s="3"/>
      <c r="L83" s="8">
        <f t="shared" si="30"/>
        <v>-2588.29</v>
      </c>
      <c r="M83" s="3"/>
      <c r="N83" s="7">
        <f t="shared" si="31"/>
        <v>-0.5719067905217291</v>
      </c>
      <c r="O83" s="11"/>
      <c r="P83" s="8">
        <v>1937.43</v>
      </c>
      <c r="Q83" s="3"/>
      <c r="R83" s="7">
        <f t="shared" si="32"/>
        <v>1.108491194857651E-2</v>
      </c>
      <c r="S83" s="3"/>
      <c r="T83" s="8">
        <v>4525.72</v>
      </c>
      <c r="U83" s="3"/>
      <c r="V83" s="7">
        <f t="shared" si="33"/>
        <v>1.9496714970763242E-2</v>
      </c>
      <c r="W83" s="3"/>
      <c r="X83" s="8">
        <f t="shared" si="34"/>
        <v>-2588.29</v>
      </c>
      <c r="Y83" s="3"/>
      <c r="Z83" s="7">
        <f t="shared" si="35"/>
        <v>-0.5719067905217291</v>
      </c>
    </row>
    <row r="84" spans="1:26" s="24" customFormat="1" hidden="1" outlineLevel="2" x14ac:dyDescent="0.25">
      <c r="A84" s="29"/>
      <c r="B84" s="11" t="str">
        <f>CONCATENATE("          ", "6007", " - ", "STUDENT HOURLY")</f>
        <v xml:space="preserve">          6007 - STUDENT HOURLY</v>
      </c>
      <c r="C84" s="11"/>
      <c r="D84" s="8">
        <v>1526</v>
      </c>
      <c r="E84" s="3"/>
      <c r="F84" s="7">
        <f t="shared" si="28"/>
        <v>8.7309351220574444E-3</v>
      </c>
      <c r="G84" s="3"/>
      <c r="H84" s="8">
        <v>22405.86</v>
      </c>
      <c r="I84" s="3"/>
      <c r="J84" s="7">
        <f t="shared" si="29"/>
        <v>9.6524015205276786E-2</v>
      </c>
      <c r="K84" s="3"/>
      <c r="L84" s="8">
        <f t="shared" si="30"/>
        <v>-20879.86</v>
      </c>
      <c r="M84" s="3"/>
      <c r="N84" s="7">
        <f t="shared" si="31"/>
        <v>-0.93189281732546758</v>
      </c>
      <c r="O84" s="11"/>
      <c r="P84" s="8">
        <v>1526</v>
      </c>
      <c r="Q84" s="3"/>
      <c r="R84" s="7">
        <f t="shared" si="32"/>
        <v>8.7309351220574444E-3</v>
      </c>
      <c r="S84" s="3"/>
      <c r="T84" s="8">
        <v>22405.86</v>
      </c>
      <c r="U84" s="3"/>
      <c r="V84" s="7">
        <f t="shared" si="33"/>
        <v>9.6524015205276786E-2</v>
      </c>
      <c r="W84" s="3"/>
      <c r="X84" s="8">
        <f t="shared" si="34"/>
        <v>-20879.86</v>
      </c>
      <c r="Y84" s="3"/>
      <c r="Z84" s="7">
        <f t="shared" si="35"/>
        <v>-0.93189281732546758</v>
      </c>
    </row>
    <row r="85" spans="1:26" s="27" customFormat="1" outlineLevel="1" collapsed="1" x14ac:dyDescent="0.25">
      <c r="A85" s="28"/>
      <c r="B85" s="14" t="str">
        <f>CONCATENATE("     ","Advertising/Promo                                 ")</f>
        <v xml:space="preserve">     Advertising/Promo                                 </v>
      </c>
      <c r="C85" s="14"/>
      <c r="D85" s="1">
        <f>SUM(OSRRefD22_2x_0)</f>
        <v>1340.93</v>
      </c>
      <c r="E85" s="1"/>
      <c r="F85" s="5">
        <f t="shared" ref="F85:F107" si="36">IF(D$12=0,0,D85/D$12)</f>
        <v>7.6720660768155235E-3</v>
      </c>
      <c r="G85" s="1"/>
      <c r="H85" s="1">
        <f>SUM(OSRRefH22_2x_0)</f>
        <v>192</v>
      </c>
      <c r="I85" s="1"/>
      <c r="J85" s="5">
        <f t="shared" ref="J85:J107" si="37">IF(H$12=0,0,H85/H$12)</f>
        <v>8.2713231803702885E-4</v>
      </c>
      <c r="K85" s="1"/>
      <c r="L85" s="1">
        <f t="shared" ref="L85:L107" si="38">+D85-H85</f>
        <v>1148.93</v>
      </c>
      <c r="M85" s="1"/>
      <c r="N85" s="5">
        <f t="shared" ref="N85:N107" si="39">IF(H85=0,0,L85/H85)</f>
        <v>5.984010416666667</v>
      </c>
      <c r="O85" s="14"/>
      <c r="P85" s="1">
        <f>SUM(OSRRefP22_2x_0)</f>
        <v>1340.93</v>
      </c>
      <c r="Q85" s="1"/>
      <c r="R85" s="5">
        <f t="shared" ref="R85:R107" si="40">IF(P$12=0,0,P85/P$12)</f>
        <v>7.6720660768155235E-3</v>
      </c>
      <c r="S85" s="1"/>
      <c r="T85" s="1">
        <f>SUM(OSRRefT22_2x_0)</f>
        <v>192</v>
      </c>
      <c r="U85" s="1"/>
      <c r="V85" s="5">
        <f t="shared" ref="V85:V107" si="41">IF(T$12=0,0,T85/T$12)</f>
        <v>8.2713231803702885E-4</v>
      </c>
      <c r="W85" s="1"/>
      <c r="X85" s="1">
        <f t="shared" ref="X85:X107" si="42">+P85-T85</f>
        <v>1148.93</v>
      </c>
      <c r="Y85" s="1"/>
      <c r="Z85" s="5">
        <f t="shared" ref="Z85:Z107" si="43">IF(T85=0,0,X85/T85)</f>
        <v>5.984010416666667</v>
      </c>
    </row>
    <row r="86" spans="1:26" s="24" customFormat="1" hidden="1" outlineLevel="2" x14ac:dyDescent="0.25">
      <c r="A86" s="29"/>
      <c r="B86" s="11" t="str">
        <f>CONCATENATE("          ", "6362", " - ", "ADVERTISING EXPENSE")</f>
        <v xml:space="preserve">          6362 - ADVERTISING EXPENSE</v>
      </c>
      <c r="C86" s="11"/>
      <c r="D86" s="8">
        <v>1340.93</v>
      </c>
      <c r="E86" s="3"/>
      <c r="F86" s="7">
        <f t="shared" si="36"/>
        <v>7.6720660768155235E-3</v>
      </c>
      <c r="G86" s="3"/>
      <c r="H86" s="8">
        <v>192</v>
      </c>
      <c r="I86" s="3"/>
      <c r="J86" s="7">
        <f t="shared" si="37"/>
        <v>8.2713231803702885E-4</v>
      </c>
      <c r="K86" s="3"/>
      <c r="L86" s="8">
        <f t="shared" si="38"/>
        <v>1148.93</v>
      </c>
      <c r="M86" s="3"/>
      <c r="N86" s="7">
        <f t="shared" si="39"/>
        <v>5.984010416666667</v>
      </c>
      <c r="O86" s="11"/>
      <c r="P86" s="8">
        <v>1340.93</v>
      </c>
      <c r="Q86" s="3"/>
      <c r="R86" s="7">
        <f t="shared" si="40"/>
        <v>7.6720660768155235E-3</v>
      </c>
      <c r="S86" s="3"/>
      <c r="T86" s="8">
        <v>192</v>
      </c>
      <c r="U86" s="3"/>
      <c r="V86" s="7">
        <f t="shared" si="41"/>
        <v>8.2713231803702885E-4</v>
      </c>
      <c r="W86" s="3"/>
      <c r="X86" s="8">
        <f t="shared" si="42"/>
        <v>1148.93</v>
      </c>
      <c r="Y86" s="3"/>
      <c r="Z86" s="7">
        <f t="shared" si="43"/>
        <v>5.984010416666667</v>
      </c>
    </row>
    <row r="87" spans="1:26" s="27" customFormat="1" outlineLevel="1" collapsed="1" x14ac:dyDescent="0.25">
      <c r="A87" s="28"/>
      <c r="B87" s="14" t="str">
        <f>CONCATENATE("     ","Bad Debts/Over/Short                              ")</f>
        <v xml:space="preserve">     Bad Debts/Over/Short                              </v>
      </c>
      <c r="C87" s="14"/>
      <c r="D87" s="1">
        <f>SUM(OSRRefD22_3x_0)</f>
        <v>-0.9</v>
      </c>
      <c r="E87" s="1"/>
      <c r="F87" s="5">
        <f t="shared" si="36"/>
        <v>-5.1493064284742461E-6</v>
      </c>
      <c r="G87" s="1"/>
      <c r="H87" s="1">
        <f>SUM(OSRRefH22_3x_0)</f>
        <v>-6.13</v>
      </c>
      <c r="I87" s="1"/>
      <c r="J87" s="5">
        <f t="shared" si="37"/>
        <v>-2.640792244566139E-5</v>
      </c>
      <c r="K87" s="1"/>
      <c r="L87" s="1">
        <f t="shared" si="38"/>
        <v>5.2299999999999995</v>
      </c>
      <c r="M87" s="1"/>
      <c r="N87" s="5">
        <f t="shared" si="39"/>
        <v>-0.8531810766721043</v>
      </c>
      <c r="O87" s="14"/>
      <c r="P87" s="1">
        <f>SUM(OSRRefP22_3x_0)</f>
        <v>-0.9</v>
      </c>
      <c r="Q87" s="1"/>
      <c r="R87" s="5">
        <f t="shared" si="40"/>
        <v>-5.1493064284742461E-6</v>
      </c>
      <c r="S87" s="1"/>
      <c r="T87" s="1">
        <f>SUM(OSRRefT22_3x_0)</f>
        <v>-6.13</v>
      </c>
      <c r="U87" s="1"/>
      <c r="V87" s="5">
        <f t="shared" si="41"/>
        <v>-2.640792244566139E-5</v>
      </c>
      <c r="W87" s="1"/>
      <c r="X87" s="1">
        <f t="shared" si="42"/>
        <v>5.2299999999999995</v>
      </c>
      <c r="Y87" s="1"/>
      <c r="Z87" s="5">
        <f t="shared" si="43"/>
        <v>-0.8531810766721043</v>
      </c>
    </row>
    <row r="88" spans="1:26" s="24" customFormat="1" hidden="1" outlineLevel="2" x14ac:dyDescent="0.25">
      <c r="A88" s="29"/>
      <c r="B88" s="11" t="str">
        <f>CONCATENATE("          ", "6272", " - ", "CASH (OVER/SHORT)")</f>
        <v xml:space="preserve">          6272 - CASH (OVER/SHORT)</v>
      </c>
      <c r="C88" s="11"/>
      <c r="D88" s="8">
        <v>-0.9</v>
      </c>
      <c r="E88" s="3"/>
      <c r="F88" s="7">
        <f t="shared" si="36"/>
        <v>-5.1493064284742461E-6</v>
      </c>
      <c r="G88" s="3"/>
      <c r="H88" s="8">
        <v>-6.13</v>
      </c>
      <c r="I88" s="3"/>
      <c r="J88" s="7">
        <f t="shared" si="37"/>
        <v>-2.640792244566139E-5</v>
      </c>
      <c r="K88" s="3"/>
      <c r="L88" s="8">
        <f t="shared" si="38"/>
        <v>5.2299999999999995</v>
      </c>
      <c r="M88" s="3"/>
      <c r="N88" s="7">
        <f t="shared" si="39"/>
        <v>-0.8531810766721043</v>
      </c>
      <c r="O88" s="11"/>
      <c r="P88" s="8">
        <v>-0.9</v>
      </c>
      <c r="Q88" s="3"/>
      <c r="R88" s="7">
        <f t="shared" si="40"/>
        <v>-5.1493064284742461E-6</v>
      </c>
      <c r="S88" s="3"/>
      <c r="T88" s="8">
        <v>-6.13</v>
      </c>
      <c r="U88" s="3"/>
      <c r="V88" s="7">
        <f t="shared" si="41"/>
        <v>-2.640792244566139E-5</v>
      </c>
      <c r="W88" s="3"/>
      <c r="X88" s="8">
        <f t="shared" si="42"/>
        <v>5.2299999999999995</v>
      </c>
      <c r="Y88" s="3"/>
      <c r="Z88" s="7">
        <f t="shared" si="43"/>
        <v>-0.8531810766721043</v>
      </c>
    </row>
    <row r="89" spans="1:26" s="27" customFormat="1" outlineLevel="1" collapsed="1" x14ac:dyDescent="0.25">
      <c r="A89" s="28"/>
      <c r="B89" s="14" t="str">
        <f>CONCATENATE("     ","Bank/card Fees                                    ")</f>
        <v xml:space="preserve">     Bank/card Fees                                    </v>
      </c>
      <c r="C89" s="14"/>
      <c r="D89" s="1">
        <f>SUM(OSRRefD22_4x_0)</f>
        <v>306.89</v>
      </c>
      <c r="E89" s="1"/>
      <c r="F89" s="5">
        <f t="shared" si="36"/>
        <v>1.755856277593846E-3</v>
      </c>
      <c r="G89" s="1"/>
      <c r="H89" s="1">
        <f>SUM(OSRRefH22_4x_0)</f>
        <v>677.71</v>
      </c>
      <c r="I89" s="1"/>
      <c r="J89" s="5">
        <f t="shared" si="37"/>
        <v>2.9195616836295564E-3</v>
      </c>
      <c r="K89" s="1"/>
      <c r="L89" s="1">
        <f t="shared" si="38"/>
        <v>-370.82000000000005</v>
      </c>
      <c r="M89" s="1"/>
      <c r="N89" s="5">
        <f t="shared" si="39"/>
        <v>-0.54716619202903904</v>
      </c>
      <c r="O89" s="14"/>
      <c r="P89" s="1">
        <f>SUM(OSRRefP22_4x_0)</f>
        <v>306.89</v>
      </c>
      <c r="Q89" s="1"/>
      <c r="R89" s="5">
        <f t="shared" si="40"/>
        <v>1.755856277593846E-3</v>
      </c>
      <c r="S89" s="1"/>
      <c r="T89" s="1">
        <f>SUM(OSRRefT22_4x_0)</f>
        <v>677.71</v>
      </c>
      <c r="U89" s="1"/>
      <c r="V89" s="5">
        <f t="shared" si="41"/>
        <v>2.9195616836295564E-3</v>
      </c>
      <c r="W89" s="1"/>
      <c r="X89" s="1">
        <f t="shared" si="42"/>
        <v>-370.82000000000005</v>
      </c>
      <c r="Y89" s="1"/>
      <c r="Z89" s="5">
        <f t="shared" si="43"/>
        <v>-0.54716619202903904</v>
      </c>
    </row>
    <row r="90" spans="1:26" s="24" customFormat="1" hidden="1" outlineLevel="2" x14ac:dyDescent="0.25">
      <c r="A90" s="29"/>
      <c r="B90" s="11" t="str">
        <f>CONCATENATE("          ", "6381", " - ", "BANK/CREDIT CARD FEES")</f>
        <v xml:space="preserve">          6381 - BANK/CREDIT CARD FEES</v>
      </c>
      <c r="C90" s="11"/>
      <c r="D90" s="8">
        <v>306.89</v>
      </c>
      <c r="E90" s="3"/>
      <c r="F90" s="7">
        <f t="shared" si="36"/>
        <v>1.755856277593846E-3</v>
      </c>
      <c r="G90" s="3"/>
      <c r="H90" s="8">
        <v>677.71</v>
      </c>
      <c r="I90" s="3"/>
      <c r="J90" s="7">
        <f t="shared" si="37"/>
        <v>2.9195616836295564E-3</v>
      </c>
      <c r="K90" s="3"/>
      <c r="L90" s="8">
        <f t="shared" si="38"/>
        <v>-370.82000000000005</v>
      </c>
      <c r="M90" s="3"/>
      <c r="N90" s="7">
        <f t="shared" si="39"/>
        <v>-0.54716619202903904</v>
      </c>
      <c r="O90" s="11"/>
      <c r="P90" s="8">
        <v>306.89</v>
      </c>
      <c r="Q90" s="3"/>
      <c r="R90" s="7">
        <f t="shared" si="40"/>
        <v>1.755856277593846E-3</v>
      </c>
      <c r="S90" s="3"/>
      <c r="T90" s="8">
        <v>677.71</v>
      </c>
      <c r="U90" s="3"/>
      <c r="V90" s="7">
        <f t="shared" si="41"/>
        <v>2.9195616836295564E-3</v>
      </c>
      <c r="W90" s="3"/>
      <c r="X90" s="8">
        <f t="shared" si="42"/>
        <v>-370.82000000000005</v>
      </c>
      <c r="Y90" s="3"/>
      <c r="Z90" s="7">
        <f t="shared" si="43"/>
        <v>-0.54716619202903904</v>
      </c>
    </row>
    <row r="91" spans="1:26" s="27" customFormat="1" outlineLevel="1" collapsed="1" x14ac:dyDescent="0.25">
      <c r="A91" s="28"/>
      <c r="B91" s="14" t="str">
        <f>CONCATENATE("     ","Discounts and Markdowns                           ")</f>
        <v xml:space="preserve">     Discounts and Markdowns                           </v>
      </c>
      <c r="C91" s="14"/>
      <c r="D91" s="1">
        <f>SUM(OSRRefD22_5x_0)</f>
        <v>0</v>
      </c>
      <c r="E91" s="1"/>
      <c r="F91" s="5">
        <f t="shared" si="36"/>
        <v>0</v>
      </c>
      <c r="G91" s="1"/>
      <c r="H91" s="1">
        <f>SUM(OSRRefH22_5x_0)</f>
        <v>20017.78</v>
      </c>
      <c r="I91" s="1"/>
      <c r="J91" s="5">
        <f t="shared" si="37"/>
        <v>8.6236212361225389E-2</v>
      </c>
      <c r="K91" s="1"/>
      <c r="L91" s="1">
        <f t="shared" si="38"/>
        <v>-20017.78</v>
      </c>
      <c r="M91" s="1"/>
      <c r="N91" s="5">
        <f t="shared" si="39"/>
        <v>-1</v>
      </c>
      <c r="O91" s="14"/>
      <c r="P91" s="1">
        <f>SUM(OSRRefP22_5x_0)</f>
        <v>0</v>
      </c>
      <c r="Q91" s="1"/>
      <c r="R91" s="5">
        <f t="shared" si="40"/>
        <v>0</v>
      </c>
      <c r="S91" s="1"/>
      <c r="T91" s="1">
        <f>SUM(OSRRefT22_5x_0)</f>
        <v>20017.78</v>
      </c>
      <c r="U91" s="1"/>
      <c r="V91" s="5">
        <f t="shared" si="41"/>
        <v>8.6236212361225389E-2</v>
      </c>
      <c r="W91" s="1"/>
      <c r="X91" s="1">
        <f t="shared" si="42"/>
        <v>-20017.78</v>
      </c>
      <c r="Y91" s="1"/>
      <c r="Z91" s="5">
        <f t="shared" si="43"/>
        <v>-1</v>
      </c>
    </row>
    <row r="92" spans="1:26" s="24" customFormat="1" hidden="1" outlineLevel="2" x14ac:dyDescent="0.25">
      <c r="A92" s="29"/>
      <c r="B92" s="11" t="str">
        <f>CONCATENATE("          ", "6382", " - ", "DISCOUNTS/MARK DOWNS")</f>
        <v xml:space="preserve">          6382 - DISCOUNTS/MARK DOWNS</v>
      </c>
      <c r="C92" s="11"/>
      <c r="D92" s="8"/>
      <c r="E92" s="3"/>
      <c r="F92" s="7">
        <f t="shared" si="36"/>
        <v>0</v>
      </c>
      <c r="G92" s="3"/>
      <c r="H92" s="8">
        <v>20017.78</v>
      </c>
      <c r="I92" s="3"/>
      <c r="J92" s="7">
        <f t="shared" si="37"/>
        <v>8.6236212361225389E-2</v>
      </c>
      <c r="K92" s="3"/>
      <c r="L92" s="8">
        <f t="shared" si="38"/>
        <v>-20017.78</v>
      </c>
      <c r="M92" s="3"/>
      <c r="N92" s="7">
        <f t="shared" si="39"/>
        <v>-1</v>
      </c>
      <c r="O92" s="11"/>
      <c r="P92" s="8"/>
      <c r="Q92" s="3"/>
      <c r="R92" s="7">
        <f t="shared" si="40"/>
        <v>0</v>
      </c>
      <c r="S92" s="3"/>
      <c r="T92" s="8">
        <v>20017.78</v>
      </c>
      <c r="U92" s="3"/>
      <c r="V92" s="7">
        <f t="shared" si="41"/>
        <v>8.6236212361225389E-2</v>
      </c>
      <c r="W92" s="3"/>
      <c r="X92" s="8">
        <f t="shared" si="42"/>
        <v>-20017.78</v>
      </c>
      <c r="Y92" s="3"/>
      <c r="Z92" s="7">
        <f t="shared" si="43"/>
        <v>-1</v>
      </c>
    </row>
    <row r="93" spans="1:26" s="27" customFormat="1" outlineLevel="1" collapsed="1" x14ac:dyDescent="0.25">
      <c r="A93" s="28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SUM(OSRRefD22_6x_0)</f>
        <v>0</v>
      </c>
      <c r="E93" s="1"/>
      <c r="F93" s="5">
        <f t="shared" si="36"/>
        <v>0</v>
      </c>
      <c r="G93" s="1"/>
      <c r="H93" s="1">
        <f>SUM(OSRRefH22_6x_0)</f>
        <v>133.91</v>
      </c>
      <c r="I93" s="1"/>
      <c r="J93" s="5">
        <f t="shared" si="37"/>
        <v>5.7688171202259649E-4</v>
      </c>
      <c r="K93" s="1"/>
      <c r="L93" s="1">
        <f t="shared" si="38"/>
        <v>-133.91</v>
      </c>
      <c r="M93" s="1"/>
      <c r="N93" s="5">
        <f t="shared" si="39"/>
        <v>-1</v>
      </c>
      <c r="O93" s="14"/>
      <c r="P93" s="1">
        <f>SUM(OSRRefP22_6x_0)</f>
        <v>0</v>
      </c>
      <c r="Q93" s="1"/>
      <c r="R93" s="5">
        <f t="shared" si="40"/>
        <v>0</v>
      </c>
      <c r="S93" s="1"/>
      <c r="T93" s="1">
        <f>SUM(OSRRefT22_6x_0)</f>
        <v>133.91</v>
      </c>
      <c r="U93" s="1"/>
      <c r="V93" s="5">
        <f t="shared" si="41"/>
        <v>5.7688171202259649E-4</v>
      </c>
      <c r="W93" s="1"/>
      <c r="X93" s="1">
        <f t="shared" si="42"/>
        <v>-133.91</v>
      </c>
      <c r="Y93" s="1"/>
      <c r="Z93" s="5">
        <f t="shared" si="43"/>
        <v>-1</v>
      </c>
    </row>
    <row r="94" spans="1:26" s="24" customFormat="1" hidden="1" outlineLevel="2" x14ac:dyDescent="0.25">
      <c r="A94" s="29"/>
      <c r="B94" s="11" t="str">
        <f>CONCATENATE("          ", "6277", " - ", "EMPLOYEE APPRECIATION")</f>
        <v xml:space="preserve">          6277 - EMPLOYEE APPRECIATION</v>
      </c>
      <c r="C94" s="11"/>
      <c r="D94" s="8"/>
      <c r="E94" s="3"/>
      <c r="F94" s="7">
        <f t="shared" si="36"/>
        <v>0</v>
      </c>
      <c r="G94" s="3"/>
      <c r="H94" s="8">
        <v>133.91</v>
      </c>
      <c r="I94" s="3"/>
      <c r="J94" s="7">
        <f t="shared" si="37"/>
        <v>5.7688171202259649E-4</v>
      </c>
      <c r="K94" s="3"/>
      <c r="L94" s="8">
        <f t="shared" si="38"/>
        <v>-133.91</v>
      </c>
      <c r="M94" s="3"/>
      <c r="N94" s="7">
        <f t="shared" si="39"/>
        <v>-1</v>
      </c>
      <c r="O94" s="11"/>
      <c r="P94" s="8"/>
      <c r="Q94" s="3"/>
      <c r="R94" s="7">
        <f t="shared" si="40"/>
        <v>0</v>
      </c>
      <c r="S94" s="3"/>
      <c r="T94" s="8">
        <v>133.91</v>
      </c>
      <c r="U94" s="3"/>
      <c r="V94" s="7">
        <f t="shared" si="41"/>
        <v>5.7688171202259649E-4</v>
      </c>
      <c r="W94" s="3"/>
      <c r="X94" s="8">
        <f t="shared" si="42"/>
        <v>-133.91</v>
      </c>
      <c r="Y94" s="3"/>
      <c r="Z94" s="7">
        <f t="shared" si="43"/>
        <v>-1</v>
      </c>
    </row>
    <row r="95" spans="1:26" s="27" customFormat="1" outlineLevel="1" collapsed="1" x14ac:dyDescent="0.25">
      <c r="A95" s="28"/>
      <c r="B95" s="14" t="str">
        <f>CONCATENATE("     ","Freight out/Postage                               ")</f>
        <v xml:space="preserve">     Freight out/Postage                               </v>
      </c>
      <c r="C95" s="14"/>
      <c r="D95" s="1">
        <f>SUM(OSRRefD22_7x_0)</f>
        <v>16.39</v>
      </c>
      <c r="E95" s="1"/>
      <c r="F95" s="5">
        <f t="shared" si="36"/>
        <v>9.3774591514103216E-5</v>
      </c>
      <c r="G95" s="1"/>
      <c r="H95" s="1">
        <f>SUM(OSRRefH22_7x_0)</f>
        <v>0</v>
      </c>
      <c r="I95" s="1"/>
      <c r="J95" s="5">
        <f t="shared" si="37"/>
        <v>0</v>
      </c>
      <c r="K95" s="1"/>
      <c r="L95" s="1">
        <f t="shared" si="38"/>
        <v>16.39</v>
      </c>
      <c r="M95" s="1"/>
      <c r="N95" s="5">
        <f t="shared" si="39"/>
        <v>0</v>
      </c>
      <c r="O95" s="14"/>
      <c r="P95" s="1">
        <f>SUM(OSRRefP22_7x_0)</f>
        <v>16.39</v>
      </c>
      <c r="Q95" s="1"/>
      <c r="R95" s="5">
        <f t="shared" si="40"/>
        <v>9.3774591514103216E-5</v>
      </c>
      <c r="S95" s="1"/>
      <c r="T95" s="1">
        <f>SUM(OSRRefT22_7x_0)</f>
        <v>0</v>
      </c>
      <c r="U95" s="1"/>
      <c r="V95" s="5">
        <f t="shared" si="41"/>
        <v>0</v>
      </c>
      <c r="W95" s="1"/>
      <c r="X95" s="1">
        <f t="shared" si="42"/>
        <v>16.39</v>
      </c>
      <c r="Y95" s="1"/>
      <c r="Z95" s="5">
        <f t="shared" si="43"/>
        <v>0</v>
      </c>
    </row>
    <row r="96" spans="1:26" s="24" customFormat="1" hidden="1" outlineLevel="2" x14ac:dyDescent="0.25">
      <c r="A96" s="29"/>
      <c r="B96" s="11" t="str">
        <f>CONCATENATE("          ", "6305", " - ", "FREIGHT OUT")</f>
        <v xml:space="preserve">          6305 - FREIGHT OUT</v>
      </c>
      <c r="C96" s="11"/>
      <c r="D96" s="8">
        <v>16.39</v>
      </c>
      <c r="E96" s="3"/>
      <c r="F96" s="7">
        <f t="shared" si="36"/>
        <v>9.3774591514103216E-5</v>
      </c>
      <c r="G96" s="3"/>
      <c r="H96" s="8"/>
      <c r="I96" s="3"/>
      <c r="J96" s="7">
        <f t="shared" si="37"/>
        <v>0</v>
      </c>
      <c r="K96" s="3"/>
      <c r="L96" s="8">
        <f t="shared" si="38"/>
        <v>16.39</v>
      </c>
      <c r="M96" s="3"/>
      <c r="N96" s="7">
        <f t="shared" si="39"/>
        <v>0</v>
      </c>
      <c r="O96" s="11"/>
      <c r="P96" s="8">
        <v>16.39</v>
      </c>
      <c r="Q96" s="3"/>
      <c r="R96" s="7">
        <f t="shared" si="40"/>
        <v>9.3774591514103216E-5</v>
      </c>
      <c r="S96" s="3"/>
      <c r="T96" s="8"/>
      <c r="U96" s="3"/>
      <c r="V96" s="7">
        <f t="shared" si="41"/>
        <v>0</v>
      </c>
      <c r="W96" s="3"/>
      <c r="X96" s="8">
        <f t="shared" si="42"/>
        <v>16.39</v>
      </c>
      <c r="Y96" s="3"/>
      <c r="Z96" s="7">
        <f t="shared" si="43"/>
        <v>0</v>
      </c>
    </row>
    <row r="97" spans="1:26" s="27" customFormat="1" outlineLevel="1" collapsed="1" x14ac:dyDescent="0.25">
      <c r="A97" s="28"/>
      <c r="B97" s="14" t="str">
        <f>CONCATENATE("     ","Insurance                                         ")</f>
        <v xml:space="preserve">     Insurance                                         </v>
      </c>
      <c r="C97" s="14"/>
      <c r="D97" s="1">
        <f>SUM(OSRRefD22_8x_0)</f>
        <v>161.18</v>
      </c>
      <c r="E97" s="1"/>
      <c r="F97" s="5">
        <f t="shared" si="36"/>
        <v>9.2218356682386565E-4</v>
      </c>
      <c r="G97" s="1"/>
      <c r="H97" s="1">
        <f>SUM(OSRRefH22_8x_0)</f>
        <v>161.18</v>
      </c>
      <c r="I97" s="1"/>
      <c r="J97" s="5">
        <f t="shared" si="37"/>
        <v>6.9436034906879328E-4</v>
      </c>
      <c r="K97" s="1"/>
      <c r="L97" s="1">
        <f t="shared" si="38"/>
        <v>0</v>
      </c>
      <c r="M97" s="1"/>
      <c r="N97" s="5">
        <f t="shared" si="39"/>
        <v>0</v>
      </c>
      <c r="O97" s="14"/>
      <c r="P97" s="1">
        <f>SUM(OSRRefP22_8x_0)</f>
        <v>161.18</v>
      </c>
      <c r="Q97" s="1"/>
      <c r="R97" s="5">
        <f t="shared" si="40"/>
        <v>9.2218356682386565E-4</v>
      </c>
      <c r="S97" s="1"/>
      <c r="T97" s="1">
        <f>SUM(OSRRefT22_8x_0)</f>
        <v>161.18</v>
      </c>
      <c r="U97" s="1"/>
      <c r="V97" s="5">
        <f t="shared" si="41"/>
        <v>6.9436034906879328E-4</v>
      </c>
      <c r="W97" s="1"/>
      <c r="X97" s="1">
        <f t="shared" si="42"/>
        <v>0</v>
      </c>
      <c r="Y97" s="1"/>
      <c r="Z97" s="5">
        <f t="shared" si="43"/>
        <v>0</v>
      </c>
    </row>
    <row r="98" spans="1:26" s="24" customFormat="1" hidden="1" outlineLevel="2" x14ac:dyDescent="0.25">
      <c r="A98" s="29"/>
      <c r="B98" s="11" t="str">
        <f>CONCATENATE("          ", "6314", " - ", "LIABILITY INSURANCE")</f>
        <v xml:space="preserve">          6314 - LIABILITY INSURANCE</v>
      </c>
      <c r="C98" s="11"/>
      <c r="D98" s="8">
        <v>161.18</v>
      </c>
      <c r="E98" s="3"/>
      <c r="F98" s="7">
        <f t="shared" si="36"/>
        <v>9.2218356682386565E-4</v>
      </c>
      <c r="G98" s="3"/>
      <c r="H98" s="8">
        <v>161.18</v>
      </c>
      <c r="I98" s="3"/>
      <c r="J98" s="7">
        <f t="shared" si="37"/>
        <v>6.9436034906879328E-4</v>
      </c>
      <c r="K98" s="3"/>
      <c r="L98" s="8">
        <f t="shared" si="38"/>
        <v>0</v>
      </c>
      <c r="M98" s="3"/>
      <c r="N98" s="7">
        <f t="shared" si="39"/>
        <v>0</v>
      </c>
      <c r="O98" s="11"/>
      <c r="P98" s="8">
        <v>161.18</v>
      </c>
      <c r="Q98" s="3"/>
      <c r="R98" s="7">
        <f t="shared" si="40"/>
        <v>9.2218356682386565E-4</v>
      </c>
      <c r="S98" s="3"/>
      <c r="T98" s="8">
        <v>161.18</v>
      </c>
      <c r="U98" s="3"/>
      <c r="V98" s="7">
        <f t="shared" si="41"/>
        <v>6.9436034906879328E-4</v>
      </c>
      <c r="W98" s="3"/>
      <c r="X98" s="8">
        <f t="shared" si="42"/>
        <v>0</v>
      </c>
      <c r="Y98" s="3"/>
      <c r="Z98" s="7">
        <f t="shared" si="43"/>
        <v>0</v>
      </c>
    </row>
    <row r="99" spans="1:26" s="27" customFormat="1" outlineLevel="1" collapsed="1" x14ac:dyDescent="0.25">
      <c r="A99" s="28"/>
      <c r="B99" s="14" t="str">
        <f>CONCATENATE("     ","Inventory Adjustment                              ")</f>
        <v xml:space="preserve">     Inventory Adjustment                              </v>
      </c>
      <c r="C99" s="14"/>
      <c r="D99" s="1">
        <f>SUM(OSRRefD22_9x_0)</f>
        <v>1100</v>
      </c>
      <c r="E99" s="1"/>
      <c r="F99" s="5">
        <f t="shared" si="36"/>
        <v>6.2935967459129679E-3</v>
      </c>
      <c r="G99" s="1"/>
      <c r="H99" s="1">
        <f>SUM(OSRRefH22_9x_0)</f>
        <v>3150</v>
      </c>
      <c r="I99" s="1"/>
      <c r="J99" s="5">
        <f t="shared" si="37"/>
        <v>1.3570139592795004E-2</v>
      </c>
      <c r="K99" s="1"/>
      <c r="L99" s="1">
        <f t="shared" si="38"/>
        <v>-2050</v>
      </c>
      <c r="M99" s="1"/>
      <c r="N99" s="5">
        <f t="shared" si="39"/>
        <v>-0.65079365079365081</v>
      </c>
      <c r="O99" s="14"/>
      <c r="P99" s="1">
        <f>SUM(OSRRefP22_9x_0)</f>
        <v>1100</v>
      </c>
      <c r="Q99" s="1"/>
      <c r="R99" s="5">
        <f t="shared" si="40"/>
        <v>6.2935967459129679E-3</v>
      </c>
      <c r="S99" s="1"/>
      <c r="T99" s="1">
        <f>SUM(OSRRefT22_9x_0)</f>
        <v>3150</v>
      </c>
      <c r="U99" s="1"/>
      <c r="V99" s="5">
        <f t="shared" si="41"/>
        <v>1.3570139592795004E-2</v>
      </c>
      <c r="W99" s="1"/>
      <c r="X99" s="1">
        <f t="shared" si="42"/>
        <v>-2050</v>
      </c>
      <c r="Y99" s="1"/>
      <c r="Z99" s="5">
        <f t="shared" si="43"/>
        <v>-0.65079365079365081</v>
      </c>
    </row>
    <row r="100" spans="1:26" s="24" customFormat="1" hidden="1" outlineLevel="2" x14ac:dyDescent="0.25">
      <c r="A100" s="29"/>
      <c r="B100" s="11" t="str">
        <f>CONCATENATE("          ", "6408", " - ", "INVENTORY ADJUSTMENT")</f>
        <v xml:space="preserve">          6408 - INVENTORY ADJUSTMENT</v>
      </c>
      <c r="C100" s="11"/>
      <c r="D100" s="8">
        <v>1100</v>
      </c>
      <c r="E100" s="3"/>
      <c r="F100" s="7">
        <f t="shared" si="36"/>
        <v>6.2935967459129679E-3</v>
      </c>
      <c r="G100" s="3"/>
      <c r="H100" s="8">
        <v>3150</v>
      </c>
      <c r="I100" s="3"/>
      <c r="J100" s="7">
        <f t="shared" si="37"/>
        <v>1.3570139592795004E-2</v>
      </c>
      <c r="K100" s="3"/>
      <c r="L100" s="8">
        <f t="shared" si="38"/>
        <v>-2050</v>
      </c>
      <c r="M100" s="3"/>
      <c r="N100" s="7">
        <f t="shared" si="39"/>
        <v>-0.65079365079365081</v>
      </c>
      <c r="O100" s="11"/>
      <c r="P100" s="8">
        <v>1100</v>
      </c>
      <c r="Q100" s="3"/>
      <c r="R100" s="7">
        <f t="shared" si="40"/>
        <v>6.2935967459129679E-3</v>
      </c>
      <c r="S100" s="3"/>
      <c r="T100" s="8">
        <v>3150</v>
      </c>
      <c r="U100" s="3"/>
      <c r="V100" s="7">
        <f t="shared" si="41"/>
        <v>1.3570139592795004E-2</v>
      </c>
      <c r="W100" s="3"/>
      <c r="X100" s="8">
        <f t="shared" si="42"/>
        <v>-2050</v>
      </c>
      <c r="Y100" s="3"/>
      <c r="Z100" s="7">
        <f t="shared" si="43"/>
        <v>-0.65079365079365081</v>
      </c>
    </row>
    <row r="101" spans="1:26" s="27" customFormat="1" outlineLevel="1" collapsed="1" x14ac:dyDescent="0.25">
      <c r="A101" s="28"/>
      <c r="B101" s="14" t="str">
        <f>CONCATENATE("     ","Professional Services                             ")</f>
        <v xml:space="preserve">     Professional Services                             </v>
      </c>
      <c r="C101" s="14"/>
      <c r="D101" s="1">
        <f>SUM(OSRRefD22_10x_0)</f>
        <v>0</v>
      </c>
      <c r="E101" s="1"/>
      <c r="F101" s="5">
        <f t="shared" si="36"/>
        <v>0</v>
      </c>
      <c r="G101" s="1"/>
      <c r="H101" s="1">
        <f>SUM(OSRRefH22_10x_0)</f>
        <v>750</v>
      </c>
      <c r="I101" s="1"/>
      <c r="J101" s="5">
        <f t="shared" si="37"/>
        <v>3.2309856173321438E-3</v>
      </c>
      <c r="K101" s="1"/>
      <c r="L101" s="1">
        <f t="shared" si="38"/>
        <v>-750</v>
      </c>
      <c r="M101" s="1"/>
      <c r="N101" s="5">
        <f t="shared" si="39"/>
        <v>-1</v>
      </c>
      <c r="O101" s="14"/>
      <c r="P101" s="1">
        <f>SUM(OSRRefP22_10x_0)</f>
        <v>0</v>
      </c>
      <c r="Q101" s="1"/>
      <c r="R101" s="5">
        <f t="shared" si="40"/>
        <v>0</v>
      </c>
      <c r="S101" s="1"/>
      <c r="T101" s="1">
        <f>SUM(OSRRefT22_10x_0)</f>
        <v>750</v>
      </c>
      <c r="U101" s="1"/>
      <c r="V101" s="5">
        <f t="shared" si="41"/>
        <v>3.2309856173321438E-3</v>
      </c>
      <c r="W101" s="1"/>
      <c r="X101" s="1">
        <f t="shared" si="42"/>
        <v>-750</v>
      </c>
      <c r="Y101" s="1"/>
      <c r="Z101" s="5">
        <f t="shared" si="43"/>
        <v>-1</v>
      </c>
    </row>
    <row r="102" spans="1:26" s="24" customFormat="1" hidden="1" outlineLevel="2" x14ac:dyDescent="0.25">
      <c r="A102" s="29"/>
      <c r="B102" s="11" t="str">
        <f>CONCATENATE("          ", "6336", " - ", "PROFESSIONAL SERVICES")</f>
        <v xml:space="preserve">          6336 - PROFESSIONAL SERVICES</v>
      </c>
      <c r="C102" s="11"/>
      <c r="D102" s="8"/>
      <c r="E102" s="3"/>
      <c r="F102" s="7">
        <f t="shared" si="36"/>
        <v>0</v>
      </c>
      <c r="G102" s="3"/>
      <c r="H102" s="8">
        <v>750</v>
      </c>
      <c r="I102" s="3"/>
      <c r="J102" s="7">
        <f t="shared" si="37"/>
        <v>3.2309856173321438E-3</v>
      </c>
      <c r="K102" s="3"/>
      <c r="L102" s="8">
        <f t="shared" si="38"/>
        <v>-750</v>
      </c>
      <c r="M102" s="3"/>
      <c r="N102" s="7">
        <f t="shared" si="39"/>
        <v>-1</v>
      </c>
      <c r="O102" s="11"/>
      <c r="P102" s="8"/>
      <c r="Q102" s="3"/>
      <c r="R102" s="7">
        <f t="shared" si="40"/>
        <v>0</v>
      </c>
      <c r="S102" s="3"/>
      <c r="T102" s="8">
        <v>750</v>
      </c>
      <c r="U102" s="3"/>
      <c r="V102" s="7">
        <f t="shared" si="41"/>
        <v>3.2309856173321438E-3</v>
      </c>
      <c r="W102" s="3"/>
      <c r="X102" s="8">
        <f t="shared" si="42"/>
        <v>-750</v>
      </c>
      <c r="Y102" s="3"/>
      <c r="Z102" s="7">
        <f t="shared" si="43"/>
        <v>-1</v>
      </c>
    </row>
    <row r="103" spans="1:26" s="27" customFormat="1" outlineLevel="1" collapsed="1" x14ac:dyDescent="0.25">
      <c r="A103" s="28"/>
      <c r="B103" s="14" t="str">
        <f>CONCATENATE("     ","Rent                                              ")</f>
        <v xml:space="preserve">     Rent                                              </v>
      </c>
      <c r="C103" s="14"/>
      <c r="D103" s="1">
        <f>SUM(OSRRefD22_11x_0)</f>
        <v>6900</v>
      </c>
      <c r="E103" s="1"/>
      <c r="F103" s="5">
        <f t="shared" si="36"/>
        <v>3.9478015951635886E-2</v>
      </c>
      <c r="G103" s="1"/>
      <c r="H103" s="1">
        <f>SUM(OSRRefH22_11x_0)</f>
        <v>6900</v>
      </c>
      <c r="I103" s="1"/>
      <c r="J103" s="5">
        <f t="shared" si="37"/>
        <v>2.9725067679455722E-2</v>
      </c>
      <c r="K103" s="1"/>
      <c r="L103" s="1">
        <f t="shared" si="38"/>
        <v>0</v>
      </c>
      <c r="M103" s="1"/>
      <c r="N103" s="5">
        <f t="shared" si="39"/>
        <v>0</v>
      </c>
      <c r="O103" s="14"/>
      <c r="P103" s="1">
        <f>SUM(OSRRefP22_11x_0)</f>
        <v>6900</v>
      </c>
      <c r="Q103" s="1"/>
      <c r="R103" s="5">
        <f t="shared" si="40"/>
        <v>3.9478015951635886E-2</v>
      </c>
      <c r="S103" s="1"/>
      <c r="T103" s="1">
        <f>SUM(OSRRefT22_11x_0)</f>
        <v>6900</v>
      </c>
      <c r="U103" s="1"/>
      <c r="V103" s="5">
        <f t="shared" si="41"/>
        <v>2.9725067679455722E-2</v>
      </c>
      <c r="W103" s="1"/>
      <c r="X103" s="1">
        <f t="shared" si="42"/>
        <v>0</v>
      </c>
      <c r="Y103" s="1"/>
      <c r="Z103" s="5">
        <f t="shared" si="43"/>
        <v>0</v>
      </c>
    </row>
    <row r="104" spans="1:26" s="24" customFormat="1" hidden="1" outlineLevel="2" x14ac:dyDescent="0.25">
      <c r="A104" s="29"/>
      <c r="B104" s="11" t="str">
        <f>CONCATENATE("          ", "6273", " - ", "RENT")</f>
        <v xml:space="preserve">          6273 - RENT</v>
      </c>
      <c r="C104" s="11"/>
      <c r="D104" s="8">
        <v>6900</v>
      </c>
      <c r="E104" s="3"/>
      <c r="F104" s="7">
        <f t="shared" si="36"/>
        <v>3.9478015951635886E-2</v>
      </c>
      <c r="G104" s="3"/>
      <c r="H104" s="8">
        <v>6900</v>
      </c>
      <c r="I104" s="3"/>
      <c r="J104" s="7">
        <f t="shared" si="37"/>
        <v>2.9725067679455722E-2</v>
      </c>
      <c r="K104" s="3"/>
      <c r="L104" s="8">
        <f t="shared" si="38"/>
        <v>0</v>
      </c>
      <c r="M104" s="3"/>
      <c r="N104" s="7">
        <f t="shared" si="39"/>
        <v>0</v>
      </c>
      <c r="O104" s="11"/>
      <c r="P104" s="8">
        <v>6900</v>
      </c>
      <c r="Q104" s="3"/>
      <c r="R104" s="7">
        <f t="shared" si="40"/>
        <v>3.9478015951635886E-2</v>
      </c>
      <c r="S104" s="3"/>
      <c r="T104" s="8">
        <v>6900</v>
      </c>
      <c r="U104" s="3"/>
      <c r="V104" s="7">
        <f t="shared" si="41"/>
        <v>2.9725067679455722E-2</v>
      </c>
      <c r="W104" s="3"/>
      <c r="X104" s="8">
        <f t="shared" si="42"/>
        <v>0</v>
      </c>
      <c r="Y104" s="3"/>
      <c r="Z104" s="7">
        <f t="shared" si="43"/>
        <v>0</v>
      </c>
    </row>
    <row r="105" spans="1:26" s="27" customFormat="1" outlineLevel="1" collapsed="1" x14ac:dyDescent="0.25">
      <c r="A105" s="28"/>
      <c r="B105" s="14" t="str">
        <f>CONCATENATE("     ","Royalty &amp; Commissions                             ")</f>
        <v xml:space="preserve">     Royalty &amp; Commissions                             </v>
      </c>
      <c r="C105" s="14"/>
      <c r="D105" s="1">
        <f>SUM(OSRRefD22_12x_0)</f>
        <v>5672.2</v>
      </c>
      <c r="E105" s="1"/>
      <c r="F105" s="5">
        <f t="shared" si="36"/>
        <v>3.245321769287958E-2</v>
      </c>
      <c r="G105" s="1"/>
      <c r="H105" s="1">
        <f>SUM(OSRRefH22_12x_0)</f>
        <v>4481.04</v>
      </c>
      <c r="I105" s="1"/>
      <c r="J105" s="5">
        <f t="shared" si="37"/>
        <v>1.9304234387586706E-2</v>
      </c>
      <c r="K105" s="1"/>
      <c r="L105" s="1">
        <f t="shared" si="38"/>
        <v>1191.1599999999999</v>
      </c>
      <c r="M105" s="1"/>
      <c r="N105" s="5">
        <f t="shared" si="39"/>
        <v>0.26582221984182242</v>
      </c>
      <c r="O105" s="14"/>
      <c r="P105" s="1">
        <f>SUM(OSRRefP22_12x_0)</f>
        <v>5672.2</v>
      </c>
      <c r="Q105" s="1"/>
      <c r="R105" s="5">
        <f t="shared" si="40"/>
        <v>3.245321769287958E-2</v>
      </c>
      <c r="S105" s="1"/>
      <c r="T105" s="1">
        <f>SUM(OSRRefT22_12x_0)</f>
        <v>4481.04</v>
      </c>
      <c r="U105" s="1"/>
      <c r="V105" s="5">
        <f t="shared" si="41"/>
        <v>1.9304234387586706E-2</v>
      </c>
      <c r="W105" s="1"/>
      <c r="X105" s="1">
        <f t="shared" si="42"/>
        <v>1191.1599999999999</v>
      </c>
      <c r="Y105" s="1"/>
      <c r="Z105" s="5">
        <f t="shared" si="43"/>
        <v>0.26582221984182242</v>
      </c>
    </row>
    <row r="106" spans="1:26" s="24" customFormat="1" hidden="1" outlineLevel="2" x14ac:dyDescent="0.25">
      <c r="A106" s="29"/>
      <c r="B106" s="11" t="str">
        <f>CONCATENATE("          ", "6253", " - ", "ROYALTY DUE ATHLETICS-LRG")</f>
        <v xml:space="preserve">          6253 - ROYALTY DUE ATHLETICS-LRG</v>
      </c>
      <c r="C106" s="11"/>
      <c r="D106" s="8">
        <v>5672.2</v>
      </c>
      <c r="E106" s="3"/>
      <c r="F106" s="7">
        <f t="shared" si="36"/>
        <v>3.245321769287958E-2</v>
      </c>
      <c r="G106" s="3"/>
      <c r="H106" s="8">
        <v>4366.95</v>
      </c>
      <c r="I106" s="3"/>
      <c r="J106" s="7">
        <f t="shared" si="37"/>
        <v>1.881273685547814E-2</v>
      </c>
      <c r="K106" s="3"/>
      <c r="L106" s="8">
        <f t="shared" si="38"/>
        <v>1305.25</v>
      </c>
      <c r="M106" s="3"/>
      <c r="N106" s="7">
        <f t="shared" si="39"/>
        <v>0.29889281993153116</v>
      </c>
      <c r="O106" s="11"/>
      <c r="P106" s="8">
        <v>5672.2</v>
      </c>
      <c r="Q106" s="3"/>
      <c r="R106" s="7">
        <f t="shared" si="40"/>
        <v>3.245321769287958E-2</v>
      </c>
      <c r="S106" s="3"/>
      <c r="T106" s="8">
        <v>4366.95</v>
      </c>
      <c r="U106" s="3"/>
      <c r="V106" s="7">
        <f t="shared" si="41"/>
        <v>1.881273685547814E-2</v>
      </c>
      <c r="W106" s="3"/>
      <c r="X106" s="8">
        <f t="shared" si="42"/>
        <v>1305.25</v>
      </c>
      <c r="Y106" s="3"/>
      <c r="Z106" s="7">
        <f t="shared" si="43"/>
        <v>0.29889281993153116</v>
      </c>
    </row>
    <row r="107" spans="1:26" s="24" customFormat="1" hidden="1" outlineLevel="2" x14ac:dyDescent="0.25">
      <c r="A107" s="29"/>
      <c r="B107" s="11" t="str">
        <f>CONCATENATE("          ", "6254", " - ", "ROYALTY &amp; COMMISSIONS")</f>
        <v xml:space="preserve">          6254 - ROYALTY &amp; COMMISSIONS</v>
      </c>
      <c r="C107" s="11"/>
      <c r="D107" s="8"/>
      <c r="E107" s="3"/>
      <c r="F107" s="7">
        <f t="shared" si="36"/>
        <v>0</v>
      </c>
      <c r="G107" s="3"/>
      <c r="H107" s="8">
        <v>114.09</v>
      </c>
      <c r="I107" s="3"/>
      <c r="J107" s="7">
        <f t="shared" si="37"/>
        <v>4.9149753210856568E-4</v>
      </c>
      <c r="K107" s="3"/>
      <c r="L107" s="8">
        <f t="shared" si="38"/>
        <v>-114.09</v>
      </c>
      <c r="M107" s="3"/>
      <c r="N107" s="7">
        <f t="shared" si="39"/>
        <v>-1</v>
      </c>
      <c r="O107" s="11"/>
      <c r="P107" s="8"/>
      <c r="Q107" s="3"/>
      <c r="R107" s="7">
        <f t="shared" si="40"/>
        <v>0</v>
      </c>
      <c r="S107" s="3"/>
      <c r="T107" s="8">
        <v>114.09</v>
      </c>
      <c r="U107" s="3"/>
      <c r="V107" s="7">
        <f t="shared" si="41"/>
        <v>4.9149753210856568E-4</v>
      </c>
      <c r="W107" s="3"/>
      <c r="X107" s="8">
        <f t="shared" si="42"/>
        <v>-114.09</v>
      </c>
      <c r="Y107" s="3"/>
      <c r="Z107" s="7">
        <f t="shared" si="43"/>
        <v>-1</v>
      </c>
    </row>
    <row r="108" spans="1:26" s="27" customFormat="1" outlineLevel="1" collapsed="1" x14ac:dyDescent="0.25">
      <c r="A108" s="28"/>
      <c r="B108" s="14" t="str">
        <f>CONCATENATE("     ","Services                                          ")</f>
        <v xml:space="preserve">     Services                                          </v>
      </c>
      <c r="C108" s="14"/>
      <c r="D108" s="1">
        <f>SUM(OSRRefD22_13x_0)</f>
        <v>-333.44</v>
      </c>
      <c r="E108" s="1"/>
      <c r="F108" s="5">
        <f t="shared" ref="F108:F111" si="44">IF(D$12=0,0,D108/D$12)</f>
        <v>-1.9077608172338363E-3</v>
      </c>
      <c r="G108" s="1"/>
      <c r="H108" s="1">
        <f>SUM(OSRRefH22_13x_0)</f>
        <v>241.37</v>
      </c>
      <c r="I108" s="1"/>
      <c r="J108" s="5">
        <f t="shared" ref="J108:J111" si="45">IF(H$12=0,0,H108/H$12)</f>
        <v>1.0398173312739462E-3</v>
      </c>
      <c r="K108" s="1"/>
      <c r="L108" s="1">
        <f t="shared" ref="L108:L111" si="46">+D108-H108</f>
        <v>-574.80999999999995</v>
      </c>
      <c r="M108" s="1"/>
      <c r="N108" s="5">
        <f t="shared" ref="N108:N111" si="47">IF(H108=0,0,L108/H108)</f>
        <v>-2.3814475701205615</v>
      </c>
      <c r="O108" s="14"/>
      <c r="P108" s="1">
        <f>SUM(OSRRefP22_13x_0)</f>
        <v>-333.44</v>
      </c>
      <c r="Q108" s="1"/>
      <c r="R108" s="5">
        <f t="shared" ref="R108:R111" si="48">IF(P$12=0,0,P108/P$12)</f>
        <v>-1.9077608172338363E-3</v>
      </c>
      <c r="S108" s="1"/>
      <c r="T108" s="1">
        <f>SUM(OSRRefT22_13x_0)</f>
        <v>241.37</v>
      </c>
      <c r="U108" s="1"/>
      <c r="V108" s="5">
        <f t="shared" ref="V108:V111" si="49">IF(T$12=0,0,T108/T$12)</f>
        <v>1.0398173312739462E-3</v>
      </c>
      <c r="W108" s="1"/>
      <c r="X108" s="1">
        <f t="shared" ref="X108:X111" si="50">+P108-T108</f>
        <v>-574.80999999999995</v>
      </c>
      <c r="Y108" s="1"/>
      <c r="Z108" s="5">
        <f t="shared" ref="Z108:Z111" si="51">IF(T108=0,0,X108/T108)</f>
        <v>-2.3814475701205615</v>
      </c>
    </row>
    <row r="109" spans="1:26" s="24" customFormat="1" hidden="1" outlineLevel="2" x14ac:dyDescent="0.25">
      <c r="A109" s="29"/>
      <c r="B109" s="11" t="str">
        <f>CONCATENATE("          ", "6283", " - ", "PLANT SERVICE")</f>
        <v xml:space="preserve">          6283 - PLANT SERVICE</v>
      </c>
      <c r="C109" s="11"/>
      <c r="D109" s="8"/>
      <c r="E109" s="3"/>
      <c r="F109" s="7">
        <f t="shared" si="44"/>
        <v>0</v>
      </c>
      <c r="G109" s="3"/>
      <c r="H109" s="8">
        <v>59.55</v>
      </c>
      <c r="I109" s="3"/>
      <c r="J109" s="7">
        <f t="shared" si="45"/>
        <v>2.5654025801617221E-4</v>
      </c>
      <c r="K109" s="3"/>
      <c r="L109" s="8">
        <f t="shared" si="46"/>
        <v>-59.55</v>
      </c>
      <c r="M109" s="3"/>
      <c r="N109" s="7">
        <f t="shared" si="47"/>
        <v>-1</v>
      </c>
      <c r="O109" s="11"/>
      <c r="P109" s="8"/>
      <c r="Q109" s="3"/>
      <c r="R109" s="7">
        <f t="shared" si="48"/>
        <v>0</v>
      </c>
      <c r="S109" s="3"/>
      <c r="T109" s="8">
        <v>59.55</v>
      </c>
      <c r="U109" s="3"/>
      <c r="V109" s="7">
        <f t="shared" si="49"/>
        <v>2.5654025801617221E-4</v>
      </c>
      <c r="W109" s="3"/>
      <c r="X109" s="8">
        <f t="shared" si="50"/>
        <v>-59.55</v>
      </c>
      <c r="Y109" s="3"/>
      <c r="Z109" s="7">
        <f t="shared" si="51"/>
        <v>-1</v>
      </c>
    </row>
    <row r="110" spans="1:26" s="24" customFormat="1" hidden="1" outlineLevel="2" x14ac:dyDescent="0.25">
      <c r="A110" s="29"/>
      <c r="B110" s="11" t="str">
        <f>CONCATENATE("          ", "6284", " - ", "TRASH REMOVAL EXPENSE")</f>
        <v xml:space="preserve">          6284 - TRASH REMOVAL EXPENSE</v>
      </c>
      <c r="C110" s="11"/>
      <c r="D110" s="8">
        <v>142.57</v>
      </c>
      <c r="E110" s="3"/>
      <c r="F110" s="7">
        <f t="shared" si="44"/>
        <v>8.1570735278619255E-4</v>
      </c>
      <c r="G110" s="3"/>
      <c r="H110" s="8">
        <v>134.82</v>
      </c>
      <c r="I110" s="3"/>
      <c r="J110" s="7">
        <f t="shared" si="45"/>
        <v>5.8080197457162613E-4</v>
      </c>
      <c r="K110" s="3"/>
      <c r="L110" s="8">
        <f t="shared" si="46"/>
        <v>7.75</v>
      </c>
      <c r="M110" s="3"/>
      <c r="N110" s="7">
        <f t="shared" si="47"/>
        <v>5.7484052811155616E-2</v>
      </c>
      <c r="O110" s="11"/>
      <c r="P110" s="8">
        <v>142.57</v>
      </c>
      <c r="Q110" s="3"/>
      <c r="R110" s="7">
        <f t="shared" si="48"/>
        <v>8.1570735278619255E-4</v>
      </c>
      <c r="S110" s="3"/>
      <c r="T110" s="8">
        <v>134.82</v>
      </c>
      <c r="U110" s="3"/>
      <c r="V110" s="7">
        <f t="shared" si="49"/>
        <v>5.8080197457162613E-4</v>
      </c>
      <c r="W110" s="3"/>
      <c r="X110" s="8">
        <f t="shared" si="50"/>
        <v>7.75</v>
      </c>
      <c r="Y110" s="3"/>
      <c r="Z110" s="7">
        <f t="shared" si="51"/>
        <v>5.7484052811155616E-2</v>
      </c>
    </row>
    <row r="111" spans="1:26" s="24" customFormat="1" hidden="1" outlineLevel="2" x14ac:dyDescent="0.25">
      <c r="A111" s="29"/>
      <c r="B111" s="11" t="str">
        <f>CONCATENATE("          ", "6285", " - ", "JANITORIAL SERVICES")</f>
        <v xml:space="preserve">          6285 - JANITORIAL SERVICES</v>
      </c>
      <c r="C111" s="11"/>
      <c r="D111" s="8">
        <v>-476.01</v>
      </c>
      <c r="E111" s="3"/>
      <c r="F111" s="7">
        <f t="shared" si="44"/>
        <v>-2.7234681700200286E-3</v>
      </c>
      <c r="G111" s="3"/>
      <c r="H111" s="8">
        <v>47</v>
      </c>
      <c r="I111" s="3"/>
      <c r="J111" s="7">
        <f t="shared" si="45"/>
        <v>2.0247509868614769E-4</v>
      </c>
      <c r="K111" s="3"/>
      <c r="L111" s="8">
        <f t="shared" si="46"/>
        <v>-523.01</v>
      </c>
      <c r="M111" s="3"/>
      <c r="N111" s="7">
        <f t="shared" si="47"/>
        <v>-11.127872340425531</v>
      </c>
      <c r="O111" s="11"/>
      <c r="P111" s="8">
        <v>-476.01</v>
      </c>
      <c r="Q111" s="3"/>
      <c r="R111" s="7">
        <f t="shared" si="48"/>
        <v>-2.7234681700200286E-3</v>
      </c>
      <c r="S111" s="3"/>
      <c r="T111" s="8">
        <v>47</v>
      </c>
      <c r="U111" s="3"/>
      <c r="V111" s="7">
        <f t="shared" si="49"/>
        <v>2.0247509868614769E-4</v>
      </c>
      <c r="W111" s="3"/>
      <c r="X111" s="8">
        <f t="shared" si="50"/>
        <v>-523.01</v>
      </c>
      <c r="Y111" s="3"/>
      <c r="Z111" s="7">
        <f t="shared" si="51"/>
        <v>-11.127872340425531</v>
      </c>
    </row>
    <row r="112" spans="1:26" s="27" customFormat="1" outlineLevel="1" collapsed="1" x14ac:dyDescent="0.25">
      <c r="A112" s="28"/>
      <c r="B112" s="14" t="str">
        <f>CONCATENATE("     ","Subscriptions &amp; Dues                              ")</f>
        <v xml:space="preserve">     Subscriptions &amp; Dues                              </v>
      </c>
      <c r="C112" s="14"/>
      <c r="D112" s="1">
        <f>SUM(OSRRefD22_14x_0)</f>
        <v>75</v>
      </c>
      <c r="E112" s="1"/>
      <c r="F112" s="5">
        <f t="shared" ref="F112:F118" si="52">IF(D$12=0,0,D112/D$12)</f>
        <v>4.2910886903952051E-4</v>
      </c>
      <c r="G112" s="1"/>
      <c r="H112" s="1">
        <f>SUM(OSRRefH22_14x_0)</f>
        <v>13.42</v>
      </c>
      <c r="I112" s="1"/>
      <c r="J112" s="5">
        <f t="shared" ref="J112:J118" si="53">IF(H$12=0,0,H112/H$12)</f>
        <v>5.7813102646129827E-5</v>
      </c>
      <c r="K112" s="1"/>
      <c r="L112" s="1">
        <f t="shared" ref="L112:L118" si="54">+D112-H112</f>
        <v>61.58</v>
      </c>
      <c r="M112" s="1"/>
      <c r="N112" s="5">
        <f t="shared" ref="N112:N118" si="55">IF(H112=0,0,L112/H112)</f>
        <v>4.5886736214605062</v>
      </c>
      <c r="O112" s="14"/>
      <c r="P112" s="1">
        <f>SUM(OSRRefP22_14x_0)</f>
        <v>75</v>
      </c>
      <c r="Q112" s="1"/>
      <c r="R112" s="5">
        <f t="shared" ref="R112:R118" si="56">IF(P$12=0,0,P112/P$12)</f>
        <v>4.2910886903952051E-4</v>
      </c>
      <c r="S112" s="1"/>
      <c r="T112" s="1">
        <f>SUM(OSRRefT22_14x_0)</f>
        <v>13.42</v>
      </c>
      <c r="U112" s="1"/>
      <c r="V112" s="5">
        <f t="shared" ref="V112:V118" si="57">IF(T$12=0,0,T112/T$12)</f>
        <v>5.7813102646129827E-5</v>
      </c>
      <c r="W112" s="1"/>
      <c r="X112" s="1">
        <f t="shared" ref="X112:X118" si="58">+P112-T112</f>
        <v>61.58</v>
      </c>
      <c r="Y112" s="1"/>
      <c r="Z112" s="5">
        <f t="shared" ref="Z112:Z118" si="59">IF(T112=0,0,X112/T112)</f>
        <v>4.5886736214605062</v>
      </c>
    </row>
    <row r="113" spans="1:26" s="24" customFormat="1" hidden="1" outlineLevel="2" x14ac:dyDescent="0.25">
      <c r="A113" s="29"/>
      <c r="B113" s="11" t="str">
        <f>CONCATENATE("          ", "6275", " - ", "SUBSCRIPTIONS")</f>
        <v xml:space="preserve">          6275 - SUBSCRIPTIONS</v>
      </c>
      <c r="C113" s="11"/>
      <c r="D113" s="8">
        <v>75</v>
      </c>
      <c r="E113" s="3"/>
      <c r="F113" s="7">
        <f t="shared" si="52"/>
        <v>4.2910886903952051E-4</v>
      </c>
      <c r="G113" s="3"/>
      <c r="H113" s="8">
        <v>13.42</v>
      </c>
      <c r="I113" s="3"/>
      <c r="J113" s="7">
        <f t="shared" si="53"/>
        <v>5.7813102646129827E-5</v>
      </c>
      <c r="K113" s="3"/>
      <c r="L113" s="8">
        <f t="shared" si="54"/>
        <v>61.58</v>
      </c>
      <c r="M113" s="3"/>
      <c r="N113" s="7">
        <f t="shared" si="55"/>
        <v>4.5886736214605062</v>
      </c>
      <c r="O113" s="11"/>
      <c r="P113" s="8">
        <v>75</v>
      </c>
      <c r="Q113" s="3"/>
      <c r="R113" s="7">
        <f t="shared" si="56"/>
        <v>4.2910886903952051E-4</v>
      </c>
      <c r="S113" s="3"/>
      <c r="T113" s="8">
        <v>13.42</v>
      </c>
      <c r="U113" s="3"/>
      <c r="V113" s="7">
        <f t="shared" si="57"/>
        <v>5.7813102646129827E-5</v>
      </c>
      <c r="W113" s="3"/>
      <c r="X113" s="8">
        <f t="shared" si="58"/>
        <v>61.58</v>
      </c>
      <c r="Y113" s="3"/>
      <c r="Z113" s="7">
        <f t="shared" si="59"/>
        <v>4.5886736214605062</v>
      </c>
    </row>
    <row r="114" spans="1:26" s="27" customFormat="1" outlineLevel="1" collapsed="1" x14ac:dyDescent="0.25">
      <c r="A114" s="28"/>
      <c r="B114" s="14" t="str">
        <f>CONCATENATE("     ","Supplies                                          ")</f>
        <v xml:space="preserve">     Supplies                                          </v>
      </c>
      <c r="C114" s="14"/>
      <c r="D114" s="1">
        <f>SUM(OSRRefD22_15x_0)</f>
        <v>1149.0700000000002</v>
      </c>
      <c r="E114" s="1"/>
      <c r="F114" s="5">
        <f t="shared" si="52"/>
        <v>6.5743483752965593E-3</v>
      </c>
      <c r="G114" s="1"/>
      <c r="H114" s="1">
        <f>SUM(OSRRefH22_15x_0)</f>
        <v>1534.33</v>
      </c>
      <c r="I114" s="1"/>
      <c r="J114" s="5">
        <f t="shared" si="53"/>
        <v>6.6098642163216368E-3</v>
      </c>
      <c r="K114" s="1"/>
      <c r="L114" s="1">
        <f t="shared" si="54"/>
        <v>-385.25999999999976</v>
      </c>
      <c r="M114" s="1"/>
      <c r="N114" s="5">
        <f t="shared" si="55"/>
        <v>-0.25109331108692379</v>
      </c>
      <c r="O114" s="14"/>
      <c r="P114" s="1">
        <f>SUM(OSRRefP22_15x_0)</f>
        <v>1149.0700000000002</v>
      </c>
      <c r="Q114" s="1"/>
      <c r="R114" s="5">
        <f t="shared" si="56"/>
        <v>6.5743483752965593E-3</v>
      </c>
      <c r="S114" s="1"/>
      <c r="T114" s="1">
        <f>SUM(OSRRefT22_15x_0)</f>
        <v>1534.33</v>
      </c>
      <c r="U114" s="1"/>
      <c r="V114" s="5">
        <f t="shared" si="57"/>
        <v>6.6098642163216368E-3</v>
      </c>
      <c r="W114" s="1"/>
      <c r="X114" s="1">
        <f t="shared" si="58"/>
        <v>-385.25999999999976</v>
      </c>
      <c r="Y114" s="1"/>
      <c r="Z114" s="5">
        <f t="shared" si="59"/>
        <v>-0.25109331108692379</v>
      </c>
    </row>
    <row r="115" spans="1:26" s="24" customFormat="1" hidden="1" outlineLevel="2" x14ac:dyDescent="0.25">
      <c r="A115" s="29"/>
      <c r="B115" s="11" t="str">
        <f>CONCATENATE("          ", "6234", " - ", "EXPENDABLE SUPPLIES &amp; EQUIPMEN")</f>
        <v xml:space="preserve">          6234 - EXPENDABLE SUPPLIES &amp; EQUIPMEN</v>
      </c>
      <c r="C115" s="11"/>
      <c r="D115" s="8"/>
      <c r="E115" s="3"/>
      <c r="F115" s="7">
        <f t="shared" si="52"/>
        <v>0</v>
      </c>
      <c r="G115" s="3"/>
      <c r="H115" s="8">
        <v>-15.95</v>
      </c>
      <c r="I115" s="3"/>
      <c r="J115" s="7">
        <f t="shared" si="53"/>
        <v>-6.8712294128596928E-5</v>
      </c>
      <c r="K115" s="3"/>
      <c r="L115" s="8">
        <f t="shared" si="54"/>
        <v>15.95</v>
      </c>
      <c r="M115" s="3"/>
      <c r="N115" s="7">
        <f t="shared" si="55"/>
        <v>-1</v>
      </c>
      <c r="O115" s="11"/>
      <c r="P115" s="8"/>
      <c r="Q115" s="3"/>
      <c r="R115" s="7">
        <f t="shared" si="56"/>
        <v>0</v>
      </c>
      <c r="S115" s="3"/>
      <c r="T115" s="8">
        <v>-15.95</v>
      </c>
      <c r="U115" s="3"/>
      <c r="V115" s="7">
        <f t="shared" si="57"/>
        <v>-6.8712294128596928E-5</v>
      </c>
      <c r="W115" s="3"/>
      <c r="X115" s="8">
        <f t="shared" si="58"/>
        <v>15.95</v>
      </c>
      <c r="Y115" s="3"/>
      <c r="Z115" s="7">
        <f t="shared" si="59"/>
        <v>-1</v>
      </c>
    </row>
    <row r="116" spans="1:26" s="24" customFormat="1" hidden="1" outlineLevel="2" x14ac:dyDescent="0.25">
      <c r="A116" s="29"/>
      <c r="B116" s="11" t="str">
        <f>CONCATENATE("          ", "6235", " - ", "COVID-19 EXPENSES")</f>
        <v xml:space="preserve">          6235 - COVID-19 EXPENSES</v>
      </c>
      <c r="C116" s="11"/>
      <c r="D116" s="8">
        <v>961.38</v>
      </c>
      <c r="E116" s="3"/>
      <c r="F116" s="7">
        <f t="shared" si="52"/>
        <v>5.5004891268961896E-3</v>
      </c>
      <c r="G116" s="3"/>
      <c r="H116" s="8"/>
      <c r="I116" s="3"/>
      <c r="J116" s="7">
        <f t="shared" si="53"/>
        <v>0</v>
      </c>
      <c r="K116" s="3"/>
      <c r="L116" s="8">
        <f t="shared" si="54"/>
        <v>961.38</v>
      </c>
      <c r="M116" s="3"/>
      <c r="N116" s="7">
        <f t="shared" si="55"/>
        <v>0</v>
      </c>
      <c r="O116" s="11"/>
      <c r="P116" s="8">
        <v>961.38</v>
      </c>
      <c r="Q116" s="3"/>
      <c r="R116" s="7">
        <f t="shared" si="56"/>
        <v>5.5004891268961896E-3</v>
      </c>
      <c r="S116" s="3"/>
      <c r="T116" s="8"/>
      <c r="U116" s="3"/>
      <c r="V116" s="7">
        <f t="shared" si="57"/>
        <v>0</v>
      </c>
      <c r="W116" s="3"/>
      <c r="X116" s="8">
        <f t="shared" si="58"/>
        <v>961.38</v>
      </c>
      <c r="Y116" s="3"/>
      <c r="Z116" s="7">
        <f t="shared" si="59"/>
        <v>0</v>
      </c>
    </row>
    <row r="117" spans="1:26" s="24" customFormat="1" hidden="1" outlineLevel="2" x14ac:dyDescent="0.25">
      <c r="A117" s="29"/>
      <c r="B117" s="11" t="str">
        <f>CONCATENATE("          ", "6237", " - ", "JANITORIAL SUPPLIES")</f>
        <v xml:space="preserve">          6237 - JANITORIAL SUPPLIES</v>
      </c>
      <c r="C117" s="11"/>
      <c r="D117" s="8">
        <v>139.31</v>
      </c>
      <c r="E117" s="3"/>
      <c r="F117" s="7">
        <f t="shared" si="52"/>
        <v>7.970554206119414E-4</v>
      </c>
      <c r="G117" s="3"/>
      <c r="H117" s="8"/>
      <c r="I117" s="3"/>
      <c r="J117" s="7">
        <f t="shared" si="53"/>
        <v>0</v>
      </c>
      <c r="K117" s="3"/>
      <c r="L117" s="8">
        <f t="shared" si="54"/>
        <v>139.31</v>
      </c>
      <c r="M117" s="3"/>
      <c r="N117" s="7">
        <f t="shared" si="55"/>
        <v>0</v>
      </c>
      <c r="O117" s="11"/>
      <c r="P117" s="8">
        <v>139.31</v>
      </c>
      <c r="Q117" s="3"/>
      <c r="R117" s="7">
        <f t="shared" si="56"/>
        <v>7.970554206119414E-4</v>
      </c>
      <c r="S117" s="3"/>
      <c r="T117" s="8"/>
      <c r="U117" s="3"/>
      <c r="V117" s="7">
        <f t="shared" si="57"/>
        <v>0</v>
      </c>
      <c r="W117" s="3"/>
      <c r="X117" s="8">
        <f t="shared" si="58"/>
        <v>139.31</v>
      </c>
      <c r="Y117" s="3"/>
      <c r="Z117" s="7">
        <f t="shared" si="59"/>
        <v>0</v>
      </c>
    </row>
    <row r="118" spans="1:26" s="24" customFormat="1" hidden="1" outlineLevel="2" x14ac:dyDescent="0.25">
      <c r="A118" s="29"/>
      <c r="B118" s="11" t="str">
        <f>CONCATENATE("          ", "6241", " - ", "OFFICE EXPENSE")</f>
        <v xml:space="preserve">          6241 - OFFICE EXPENSE</v>
      </c>
      <c r="C118" s="11"/>
      <c r="D118" s="8">
        <v>48.38</v>
      </c>
      <c r="E118" s="3"/>
      <c r="F118" s="7">
        <f t="shared" si="52"/>
        <v>2.7680382778842673E-4</v>
      </c>
      <c r="G118" s="3"/>
      <c r="H118" s="8">
        <v>1550.28</v>
      </c>
      <c r="I118" s="3"/>
      <c r="J118" s="7">
        <f t="shared" si="53"/>
        <v>6.6785765104502345E-3</v>
      </c>
      <c r="K118" s="3"/>
      <c r="L118" s="8">
        <f t="shared" si="54"/>
        <v>-1501.8999999999999</v>
      </c>
      <c r="M118" s="3"/>
      <c r="N118" s="7">
        <f t="shared" si="55"/>
        <v>-0.96879273421575451</v>
      </c>
      <c r="O118" s="11"/>
      <c r="P118" s="8">
        <v>48.38</v>
      </c>
      <c r="Q118" s="3"/>
      <c r="R118" s="7">
        <f t="shared" si="56"/>
        <v>2.7680382778842673E-4</v>
      </c>
      <c r="S118" s="3"/>
      <c r="T118" s="8">
        <v>1550.28</v>
      </c>
      <c r="U118" s="3"/>
      <c r="V118" s="7">
        <f t="shared" si="57"/>
        <v>6.6785765104502345E-3</v>
      </c>
      <c r="W118" s="3"/>
      <c r="X118" s="8">
        <f t="shared" si="58"/>
        <v>-1501.8999999999999</v>
      </c>
      <c r="Y118" s="3"/>
      <c r="Z118" s="7">
        <f t="shared" si="59"/>
        <v>-0.96879273421575451</v>
      </c>
    </row>
    <row r="119" spans="1:26" s="27" customFormat="1" outlineLevel="1" collapsed="1" x14ac:dyDescent="0.25">
      <c r="A119" s="28"/>
      <c r="B119" s="14" t="str">
        <f>CONCATENATE("     ","Telephone/Data Lines                              ")</f>
        <v xml:space="preserve">     Telephone/Data Lines                              </v>
      </c>
      <c r="C119" s="14"/>
      <c r="D119" s="1">
        <f>SUM(OSRRefD22_16x_0)</f>
        <v>792.54</v>
      </c>
      <c r="E119" s="1"/>
      <c r="F119" s="5">
        <f t="shared" ref="F119:F126" si="60">IF(D$12=0,0,D119/D$12)</f>
        <v>4.5344792409144213E-3</v>
      </c>
      <c r="G119" s="1"/>
      <c r="H119" s="1">
        <f>SUM(OSRRefH22_16x_0)</f>
        <v>517.91</v>
      </c>
      <c r="I119" s="1"/>
      <c r="J119" s="5">
        <f t="shared" ref="J119:J126" si="61">IF(H$12=0,0,H119/H$12)</f>
        <v>2.2311463480966542E-3</v>
      </c>
      <c r="K119" s="1"/>
      <c r="L119" s="1">
        <f t="shared" ref="L119:L126" si="62">+D119-H119</f>
        <v>274.63</v>
      </c>
      <c r="M119" s="1"/>
      <c r="N119" s="5">
        <f t="shared" ref="N119:N126" si="63">IF(H119=0,0,L119/H119)</f>
        <v>0.53026587631055588</v>
      </c>
      <c r="O119" s="14"/>
      <c r="P119" s="1">
        <f>SUM(OSRRefP22_16x_0)</f>
        <v>792.54</v>
      </c>
      <c r="Q119" s="1"/>
      <c r="R119" s="5">
        <f t="shared" ref="R119:R126" si="64">IF(P$12=0,0,P119/P$12)</f>
        <v>4.5344792409144213E-3</v>
      </c>
      <c r="S119" s="1"/>
      <c r="T119" s="1">
        <f>SUM(OSRRefT22_16x_0)</f>
        <v>517.91</v>
      </c>
      <c r="U119" s="1"/>
      <c r="V119" s="5">
        <f t="shared" ref="V119:V126" si="65">IF(T$12=0,0,T119/T$12)</f>
        <v>2.2311463480966542E-3</v>
      </c>
      <c r="W119" s="1"/>
      <c r="X119" s="1">
        <f t="shared" ref="X119:X126" si="66">+P119-T119</f>
        <v>274.63</v>
      </c>
      <c r="Y119" s="1"/>
      <c r="Z119" s="5">
        <f t="shared" ref="Z119:Z126" si="67">IF(T119=0,0,X119/T119)</f>
        <v>0.53026587631055588</v>
      </c>
    </row>
    <row r="120" spans="1:26" s="24" customFormat="1" hidden="1" outlineLevel="2" x14ac:dyDescent="0.25">
      <c r="A120" s="29"/>
      <c r="B120" s="11" t="str">
        <f>CONCATENATE("          ", "6309", " - ", "TELEPHONE")</f>
        <v xml:space="preserve">          6309 - TELEPHONE</v>
      </c>
      <c r="C120" s="11"/>
      <c r="D120" s="8">
        <v>792.54</v>
      </c>
      <c r="E120" s="3"/>
      <c r="F120" s="7">
        <f t="shared" si="60"/>
        <v>4.5344792409144213E-3</v>
      </c>
      <c r="G120" s="3"/>
      <c r="H120" s="8">
        <v>517.91</v>
      </c>
      <c r="I120" s="3"/>
      <c r="J120" s="7">
        <f t="shared" si="61"/>
        <v>2.2311463480966542E-3</v>
      </c>
      <c r="K120" s="3"/>
      <c r="L120" s="8">
        <f t="shared" si="62"/>
        <v>274.63</v>
      </c>
      <c r="M120" s="3"/>
      <c r="N120" s="7">
        <f t="shared" si="63"/>
        <v>0.53026587631055588</v>
      </c>
      <c r="O120" s="11"/>
      <c r="P120" s="8">
        <v>792.54</v>
      </c>
      <c r="Q120" s="3"/>
      <c r="R120" s="7">
        <f t="shared" si="64"/>
        <v>4.5344792409144213E-3</v>
      </c>
      <c r="S120" s="3"/>
      <c r="T120" s="8">
        <v>517.91</v>
      </c>
      <c r="U120" s="3"/>
      <c r="V120" s="7">
        <f t="shared" si="65"/>
        <v>2.2311463480966542E-3</v>
      </c>
      <c r="W120" s="3"/>
      <c r="X120" s="8">
        <f t="shared" si="66"/>
        <v>274.63</v>
      </c>
      <c r="Y120" s="3"/>
      <c r="Z120" s="7">
        <f t="shared" si="67"/>
        <v>0.53026587631055588</v>
      </c>
    </row>
    <row r="121" spans="1:26" s="27" customFormat="1" outlineLevel="1" collapsed="1" x14ac:dyDescent="0.25">
      <c r="A121" s="28"/>
      <c r="B121" s="14" t="str">
        <f>CONCATENATE("     ","Training                                          ")</f>
        <v xml:space="preserve">     Training                                          </v>
      </c>
      <c r="C121" s="14"/>
      <c r="D121" s="1">
        <f>SUM(OSRRefD22_17x_0)</f>
        <v>0</v>
      </c>
      <c r="E121" s="1"/>
      <c r="F121" s="5">
        <f t="shared" si="60"/>
        <v>0</v>
      </c>
      <c r="G121" s="1"/>
      <c r="H121" s="1">
        <f>SUM(OSRRefH22_17x_0)</f>
        <v>103.5</v>
      </c>
      <c r="I121" s="1"/>
      <c r="J121" s="5">
        <f t="shared" si="61"/>
        <v>4.4587601519183585E-4</v>
      </c>
      <c r="K121" s="1"/>
      <c r="L121" s="1">
        <f t="shared" si="62"/>
        <v>-103.5</v>
      </c>
      <c r="M121" s="1"/>
      <c r="N121" s="5">
        <f t="shared" si="63"/>
        <v>-1</v>
      </c>
      <c r="O121" s="14"/>
      <c r="P121" s="1">
        <f>SUM(OSRRefP22_17x_0)</f>
        <v>0</v>
      </c>
      <c r="Q121" s="1"/>
      <c r="R121" s="5">
        <f t="shared" si="64"/>
        <v>0</v>
      </c>
      <c r="S121" s="1"/>
      <c r="T121" s="1">
        <f>SUM(OSRRefT22_17x_0)</f>
        <v>103.5</v>
      </c>
      <c r="U121" s="1"/>
      <c r="V121" s="5">
        <f t="shared" si="65"/>
        <v>4.4587601519183585E-4</v>
      </c>
      <c r="W121" s="1"/>
      <c r="X121" s="1">
        <f t="shared" si="66"/>
        <v>-103.5</v>
      </c>
      <c r="Y121" s="1"/>
      <c r="Z121" s="5">
        <f t="shared" si="67"/>
        <v>-1</v>
      </c>
    </row>
    <row r="122" spans="1:26" s="24" customFormat="1" hidden="1" outlineLevel="2" x14ac:dyDescent="0.25">
      <c r="A122" s="29"/>
      <c r="B122" s="11" t="str">
        <f>CONCATENATE("          ", "6376", " - ", "TRAINING")</f>
        <v xml:space="preserve">          6376 - TRAINING</v>
      </c>
      <c r="C122" s="11"/>
      <c r="D122" s="8"/>
      <c r="E122" s="3"/>
      <c r="F122" s="7">
        <f t="shared" si="60"/>
        <v>0</v>
      </c>
      <c r="G122" s="3"/>
      <c r="H122" s="8">
        <v>103.5</v>
      </c>
      <c r="I122" s="3"/>
      <c r="J122" s="7">
        <f t="shared" si="61"/>
        <v>4.4587601519183585E-4</v>
      </c>
      <c r="K122" s="3"/>
      <c r="L122" s="8">
        <f t="shared" si="62"/>
        <v>-103.5</v>
      </c>
      <c r="M122" s="3"/>
      <c r="N122" s="7">
        <f t="shared" si="63"/>
        <v>-1</v>
      </c>
      <c r="O122" s="11"/>
      <c r="P122" s="8"/>
      <c r="Q122" s="3"/>
      <c r="R122" s="7">
        <f t="shared" si="64"/>
        <v>0</v>
      </c>
      <c r="S122" s="3"/>
      <c r="T122" s="8">
        <v>103.5</v>
      </c>
      <c r="U122" s="3"/>
      <c r="V122" s="7">
        <f t="shared" si="65"/>
        <v>4.4587601519183585E-4</v>
      </c>
      <c r="W122" s="3"/>
      <c r="X122" s="8">
        <f t="shared" si="66"/>
        <v>-103.5</v>
      </c>
      <c r="Y122" s="3"/>
      <c r="Z122" s="7">
        <f t="shared" si="67"/>
        <v>-1</v>
      </c>
    </row>
    <row r="123" spans="1:26" s="27" customFormat="1" outlineLevel="1" collapsed="1" x14ac:dyDescent="0.25">
      <c r="A123" s="28"/>
      <c r="B123" s="14" t="str">
        <f>CONCATENATE("     ","Travel                                            ")</f>
        <v xml:space="preserve">     Travel                                            </v>
      </c>
      <c r="C123" s="14"/>
      <c r="D123" s="1">
        <f>SUM(OSRRefD22_18x_0)</f>
        <v>215.16</v>
      </c>
      <c r="E123" s="1"/>
      <c r="F123" s="5">
        <f t="shared" si="60"/>
        <v>1.2310275235005764E-3</v>
      </c>
      <c r="G123" s="1"/>
      <c r="H123" s="1">
        <f>SUM(OSRRefH22_18x_0)</f>
        <v>0</v>
      </c>
      <c r="I123" s="1"/>
      <c r="J123" s="5">
        <f t="shared" si="61"/>
        <v>0</v>
      </c>
      <c r="K123" s="1"/>
      <c r="L123" s="1">
        <f t="shared" si="62"/>
        <v>215.16</v>
      </c>
      <c r="M123" s="1"/>
      <c r="N123" s="5">
        <f t="shared" si="63"/>
        <v>0</v>
      </c>
      <c r="O123" s="14"/>
      <c r="P123" s="1">
        <f>SUM(OSRRefP22_18x_0)</f>
        <v>215.16</v>
      </c>
      <c r="Q123" s="1"/>
      <c r="R123" s="5">
        <f t="shared" si="64"/>
        <v>1.2310275235005764E-3</v>
      </c>
      <c r="S123" s="1"/>
      <c r="T123" s="1">
        <f>SUM(OSRRefT22_18x_0)</f>
        <v>0</v>
      </c>
      <c r="U123" s="1"/>
      <c r="V123" s="5">
        <f t="shared" si="65"/>
        <v>0</v>
      </c>
      <c r="W123" s="1"/>
      <c r="X123" s="1">
        <f t="shared" si="66"/>
        <v>215.16</v>
      </c>
      <c r="Y123" s="1"/>
      <c r="Z123" s="5">
        <f t="shared" si="67"/>
        <v>0</v>
      </c>
    </row>
    <row r="124" spans="1:26" s="24" customFormat="1" hidden="1" outlineLevel="2" x14ac:dyDescent="0.25">
      <c r="A124" s="29"/>
      <c r="B124" s="11" t="str">
        <f>CONCATENATE("          ", "6294", " - ", "TRAVEL OPERATIONAL")</f>
        <v xml:space="preserve">          6294 - TRAVEL OPERATIONAL</v>
      </c>
      <c r="C124" s="11"/>
      <c r="D124" s="8">
        <v>215.16</v>
      </c>
      <c r="E124" s="3"/>
      <c r="F124" s="7">
        <f t="shared" si="60"/>
        <v>1.2310275235005764E-3</v>
      </c>
      <c r="G124" s="3"/>
      <c r="H124" s="8"/>
      <c r="I124" s="3"/>
      <c r="J124" s="7">
        <f t="shared" si="61"/>
        <v>0</v>
      </c>
      <c r="K124" s="3"/>
      <c r="L124" s="8">
        <f t="shared" si="62"/>
        <v>215.16</v>
      </c>
      <c r="M124" s="3"/>
      <c r="N124" s="7">
        <f t="shared" si="63"/>
        <v>0</v>
      </c>
      <c r="O124" s="11"/>
      <c r="P124" s="8">
        <v>215.16</v>
      </c>
      <c r="Q124" s="3"/>
      <c r="R124" s="7">
        <f t="shared" si="64"/>
        <v>1.2310275235005764E-3</v>
      </c>
      <c r="S124" s="3"/>
      <c r="T124" s="8"/>
      <c r="U124" s="3"/>
      <c r="V124" s="7">
        <f t="shared" si="65"/>
        <v>0</v>
      </c>
      <c r="W124" s="3"/>
      <c r="X124" s="8">
        <f t="shared" si="66"/>
        <v>215.16</v>
      </c>
      <c r="Y124" s="3"/>
      <c r="Z124" s="7">
        <f t="shared" si="67"/>
        <v>0</v>
      </c>
    </row>
    <row r="125" spans="1:26" s="27" customFormat="1" outlineLevel="1" collapsed="1" x14ac:dyDescent="0.25">
      <c r="A125" s="28"/>
      <c r="B125" s="14" t="str">
        <f>CONCATENATE("     ","Utilities                                         ")</f>
        <v xml:space="preserve">     Utilities                                         </v>
      </c>
      <c r="C125" s="14"/>
      <c r="D125" s="1">
        <f>SUM(OSRRefD22_19x_0)</f>
        <v>28.46</v>
      </c>
      <c r="E125" s="1"/>
      <c r="F125" s="5">
        <f t="shared" si="60"/>
        <v>1.6283251217153006E-4</v>
      </c>
      <c r="G125" s="1"/>
      <c r="H125" s="1">
        <f>SUM(OSRRefH22_19x_0)</f>
        <v>43</v>
      </c>
      <c r="I125" s="1"/>
      <c r="J125" s="5">
        <f t="shared" si="61"/>
        <v>1.8524317539370957E-4</v>
      </c>
      <c r="K125" s="1"/>
      <c r="L125" s="1">
        <f t="shared" si="62"/>
        <v>-14.54</v>
      </c>
      <c r="M125" s="1"/>
      <c r="N125" s="5">
        <f t="shared" si="63"/>
        <v>-0.33813953488372089</v>
      </c>
      <c r="O125" s="14"/>
      <c r="P125" s="1">
        <f>SUM(OSRRefP22_19x_0)</f>
        <v>28.46</v>
      </c>
      <c r="Q125" s="1"/>
      <c r="R125" s="5">
        <f t="shared" si="64"/>
        <v>1.6283251217153006E-4</v>
      </c>
      <c r="S125" s="1"/>
      <c r="T125" s="1">
        <f>SUM(OSRRefT22_19x_0)</f>
        <v>43</v>
      </c>
      <c r="U125" s="1"/>
      <c r="V125" s="5">
        <f t="shared" si="65"/>
        <v>1.8524317539370957E-4</v>
      </c>
      <c r="W125" s="1"/>
      <c r="X125" s="1">
        <f t="shared" si="66"/>
        <v>-14.54</v>
      </c>
      <c r="Y125" s="1"/>
      <c r="Z125" s="5">
        <f t="shared" si="67"/>
        <v>-0.33813953488372089</v>
      </c>
    </row>
    <row r="126" spans="1:26" s="24" customFormat="1" hidden="1" outlineLevel="2" x14ac:dyDescent="0.25">
      <c r="A126" s="29"/>
      <c r="B126" s="11" t="str">
        <f>CONCATENATE("          ", "6274", " - ", "UTILITIES")</f>
        <v xml:space="preserve">          6274 - UTILITIES</v>
      </c>
      <c r="C126" s="11"/>
      <c r="D126" s="8">
        <v>28.46</v>
      </c>
      <c r="E126" s="3"/>
      <c r="F126" s="7">
        <f t="shared" si="60"/>
        <v>1.6283251217153006E-4</v>
      </c>
      <c r="G126" s="3"/>
      <c r="H126" s="8">
        <v>43</v>
      </c>
      <c r="I126" s="3"/>
      <c r="J126" s="7">
        <f t="shared" si="61"/>
        <v>1.8524317539370957E-4</v>
      </c>
      <c r="K126" s="3"/>
      <c r="L126" s="8">
        <f t="shared" si="62"/>
        <v>-14.54</v>
      </c>
      <c r="M126" s="3"/>
      <c r="N126" s="7">
        <f t="shared" si="63"/>
        <v>-0.33813953488372089</v>
      </c>
      <c r="O126" s="11"/>
      <c r="P126" s="8">
        <v>28.46</v>
      </c>
      <c r="Q126" s="3"/>
      <c r="R126" s="7">
        <f t="shared" si="64"/>
        <v>1.6283251217153006E-4</v>
      </c>
      <c r="S126" s="3"/>
      <c r="T126" s="8">
        <v>43</v>
      </c>
      <c r="U126" s="3"/>
      <c r="V126" s="7">
        <f t="shared" si="65"/>
        <v>1.8524317539370957E-4</v>
      </c>
      <c r="W126" s="3"/>
      <c r="X126" s="8">
        <f t="shared" si="66"/>
        <v>-14.54</v>
      </c>
      <c r="Y126" s="3"/>
      <c r="Z126" s="7">
        <f t="shared" si="67"/>
        <v>-0.33813953488372089</v>
      </c>
    </row>
    <row r="127" spans="1:26" s="61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5" t="s">
        <v>0</v>
      </c>
      <c r="C128" s="10"/>
      <c r="D128" s="4">
        <f>SUM(OSRRefD25x_0)</f>
        <v>172008.31</v>
      </c>
      <c r="E128" s="4"/>
      <c r="F128" s="12">
        <f t="shared" ref="F128:F130" si="68">IF(D$12=0,0,D128/D$12)</f>
        <v>0.98413721825999001</v>
      </c>
      <c r="G128" s="4"/>
      <c r="H128" s="4">
        <f>SUM(OSRRefH25x_0)</f>
        <v>9374.82</v>
      </c>
      <c r="I128" s="4"/>
      <c r="J128" s="12">
        <f t="shared" ref="J128:J130" si="69">IF(H$12=0,0,H128/H$12)</f>
        <v>4.0386544780103638E-2</v>
      </c>
      <c r="K128" s="4"/>
      <c r="L128" s="4">
        <f t="shared" ref="L128:L130" si="70">+D128-H128</f>
        <v>162633.49</v>
      </c>
      <c r="M128" s="4"/>
      <c r="N128" s="12">
        <f t="shared" ref="N128:N130" si="71">IF(H128=0,0,L128/H128)</f>
        <v>17.34790534644932</v>
      </c>
      <c r="O128" s="10"/>
      <c r="P128" s="4">
        <f>SUM(OSRRefP25x_0)</f>
        <v>172008.31</v>
      </c>
      <c r="Q128" s="4"/>
      <c r="R128" s="12">
        <f t="shared" ref="R128:R130" si="72">IF(P$12=0,0,P128/P$12)</f>
        <v>0.98413721825999001</v>
      </c>
      <c r="S128" s="4"/>
      <c r="T128" s="4">
        <f>SUM(OSRRefT25x_0)</f>
        <v>9374.82</v>
      </c>
      <c r="U128" s="4"/>
      <c r="V128" s="12">
        <f t="shared" ref="V128:V130" si="73">IF(T$12=0,0,T128/T$12)</f>
        <v>4.0386544780103638E-2</v>
      </c>
      <c r="W128" s="4"/>
      <c r="X128" s="4">
        <f t="shared" ref="X128:X130" si="74">+P128-T128</f>
        <v>162633.49</v>
      </c>
      <c r="Y128" s="4"/>
      <c r="Z128" s="12">
        <f t="shared" ref="Z128:Z130" si="75">IF(T128=0,0,X128/T128)</f>
        <v>17.34790534644932</v>
      </c>
    </row>
    <row r="129" spans="1:26" s="24" customFormat="1" hidden="1" outlineLevel="1" x14ac:dyDescent="0.25">
      <c r="A129" s="50"/>
      <c r="B129" s="11" t="str">
        <f>CONCATENATE("          ", "9150", " - ", "MISC. INCOME")</f>
        <v xml:space="preserve">          9150 - MISC. INCOME</v>
      </c>
      <c r="C129" s="11"/>
      <c r="D129" s="3">
        <f>--11344.41</f>
        <v>11344.41</v>
      </c>
      <c r="E129" s="3"/>
      <c r="F129" s="22">
        <f t="shared" si="68"/>
        <v>6.490649260027502E-2</v>
      </c>
      <c r="G129" s="3"/>
      <c r="H129" s="3">
        <f>--9374.82</f>
        <v>9374.82</v>
      </c>
      <c r="I129" s="3"/>
      <c r="J129" s="22">
        <f t="shared" si="69"/>
        <v>4.0386544780103638E-2</v>
      </c>
      <c r="K129" s="3"/>
      <c r="L129" s="3">
        <f t="shared" si="70"/>
        <v>1969.5900000000001</v>
      </c>
      <c r="M129" s="3"/>
      <c r="N129" s="22">
        <f t="shared" si="71"/>
        <v>0.21009363379776894</v>
      </c>
      <c r="O129" s="11"/>
      <c r="P129" s="3">
        <f>--11344.41</f>
        <v>11344.41</v>
      </c>
      <c r="Q129" s="3"/>
      <c r="R129" s="22">
        <f t="shared" si="72"/>
        <v>6.490649260027502E-2</v>
      </c>
      <c r="S129" s="3"/>
      <c r="T129" s="3">
        <f>--9374.82</f>
        <v>9374.82</v>
      </c>
      <c r="U129" s="3"/>
      <c r="V129" s="22">
        <f t="shared" si="73"/>
        <v>4.0386544780103638E-2</v>
      </c>
      <c r="W129" s="3"/>
      <c r="X129" s="3">
        <f t="shared" si="74"/>
        <v>1969.5900000000001</v>
      </c>
      <c r="Y129" s="3"/>
      <c r="Z129" s="22">
        <f t="shared" si="75"/>
        <v>0.21009363379776894</v>
      </c>
    </row>
    <row r="130" spans="1:26" s="24" customFormat="1" hidden="1" outlineLevel="1" x14ac:dyDescent="0.25">
      <c r="A130" s="50"/>
      <c r="B130" s="11" t="str">
        <f>CONCATENATE("          ", "9163", " - ", "MISC. INCOME")</f>
        <v xml:space="preserve">          9163 - MISC. INCOME</v>
      </c>
      <c r="C130" s="11"/>
      <c r="D130" s="3">
        <f>--160663.9</f>
        <v>160663.9</v>
      </c>
      <c r="E130" s="3"/>
      <c r="F130" s="22">
        <f t="shared" si="68"/>
        <v>0.91923072565971486</v>
      </c>
      <c r="G130" s="3"/>
      <c r="H130" s="3">
        <f>0</f>
        <v>0</v>
      </c>
      <c r="I130" s="3"/>
      <c r="J130" s="22">
        <f t="shared" si="69"/>
        <v>0</v>
      </c>
      <c r="K130" s="3"/>
      <c r="L130" s="3">
        <f t="shared" si="70"/>
        <v>160663.9</v>
      </c>
      <c r="M130" s="3"/>
      <c r="N130" s="22">
        <f t="shared" si="71"/>
        <v>0</v>
      </c>
      <c r="O130" s="11"/>
      <c r="P130" s="3">
        <f>--160663.9</f>
        <v>160663.9</v>
      </c>
      <c r="Q130" s="3"/>
      <c r="R130" s="22">
        <f t="shared" si="72"/>
        <v>0.91923072565971486</v>
      </c>
      <c r="S130" s="3"/>
      <c r="T130" s="3">
        <f>0</f>
        <v>0</v>
      </c>
      <c r="U130" s="3"/>
      <c r="V130" s="22">
        <f t="shared" si="73"/>
        <v>0</v>
      </c>
      <c r="W130" s="3"/>
      <c r="X130" s="3">
        <f t="shared" si="74"/>
        <v>160663.9</v>
      </c>
      <c r="Y130" s="3"/>
      <c r="Z130" s="22">
        <f t="shared" si="75"/>
        <v>0</v>
      </c>
    </row>
    <row r="131" spans="1:26" x14ac:dyDescent="0.25">
      <c r="A131" s="9"/>
      <c r="B131" s="10"/>
      <c r="C131" s="10"/>
      <c r="D131" s="2"/>
      <c r="E131" s="2"/>
      <c r="F131" s="6"/>
      <c r="G131" s="2"/>
      <c r="H131" s="2"/>
      <c r="I131" s="2"/>
      <c r="J131" s="6"/>
      <c r="K131" s="2"/>
      <c r="L131" s="2"/>
      <c r="M131" s="2"/>
      <c r="N131" s="6"/>
      <c r="O131" s="10"/>
      <c r="P131" s="2"/>
      <c r="Q131" s="2"/>
      <c r="R131" s="6"/>
      <c r="S131" s="2"/>
      <c r="T131" s="2"/>
      <c r="U131" s="2"/>
      <c r="V131" s="6"/>
      <c r="W131" s="2"/>
      <c r="X131" s="2"/>
      <c r="Y131" s="2"/>
      <c r="Z131" s="6"/>
    </row>
    <row r="132" spans="1:26" s="23" customFormat="1" x14ac:dyDescent="0.25">
      <c r="A132" s="10"/>
      <c r="B132" s="26" t="s">
        <v>3</v>
      </c>
      <c r="C132" s="26"/>
      <c r="D132" s="19">
        <f>+D68-D70+D128</f>
        <v>173466.72999999998</v>
      </c>
      <c r="E132" s="13"/>
      <c r="F132" s="20">
        <f>IF(D$12=0,0,D132/D$12)</f>
        <v>0.9924814976837848</v>
      </c>
      <c r="G132" s="13"/>
      <c r="H132" s="19">
        <f>+H68-H70+H128</f>
        <v>49954.500000000007</v>
      </c>
      <c r="I132" s="13"/>
      <c r="J132" s="20">
        <f>IF(H$12=0,0,H132/H$12)</f>
        <v>0.2152030280280248</v>
      </c>
      <c r="K132" s="16"/>
      <c r="L132" s="19">
        <f>+D132-H132</f>
        <v>123512.22999999998</v>
      </c>
      <c r="M132" s="16"/>
      <c r="N132" s="20">
        <f>IF(H132=0,0,L132/H132)</f>
        <v>2.4724945700587528</v>
      </c>
      <c r="O132" s="25"/>
      <c r="P132" s="19">
        <f>+P68-P70+P128</f>
        <v>173466.72999999998</v>
      </c>
      <c r="Q132" s="13"/>
      <c r="R132" s="20">
        <f>IF(P$12=0,0,P132/P$12)</f>
        <v>0.9924814976837848</v>
      </c>
      <c r="S132" s="13"/>
      <c r="T132" s="19">
        <f>+T68-T70+T128</f>
        <v>49954.500000000007</v>
      </c>
      <c r="U132" s="13"/>
      <c r="V132" s="20">
        <f>IF(T$12=0,0,T132/T$12)</f>
        <v>0.2152030280280248</v>
      </c>
      <c r="W132" s="16"/>
      <c r="X132" s="19">
        <f>+P132-T132</f>
        <v>123512.22999999998</v>
      </c>
      <c r="Y132" s="16"/>
      <c r="Z132" s="20">
        <f>IF(T132=0,0,X132/T132)</f>
        <v>2.4724945700587528</v>
      </c>
    </row>
    <row r="133" spans="1:26" x14ac:dyDescent="0.25">
      <c r="A133" s="9"/>
      <c r="B133" s="10"/>
      <c r="C133" s="9"/>
      <c r="D133" s="2"/>
      <c r="E133" s="2"/>
      <c r="F133" s="6"/>
      <c r="G133" s="2"/>
      <c r="H133" s="2"/>
      <c r="I133" s="2"/>
      <c r="J133" s="6"/>
      <c r="K133" s="2"/>
      <c r="L133" s="2"/>
      <c r="M133" s="2"/>
      <c r="N133" s="6"/>
      <c r="P133" s="2"/>
      <c r="Q133" s="2"/>
      <c r="R133" s="6"/>
      <c r="S133" s="2"/>
      <c r="T133" s="2"/>
      <c r="U133" s="2"/>
      <c r="V133" s="6"/>
      <c r="W133" s="2"/>
      <c r="X133" s="2"/>
      <c r="Y133" s="2"/>
      <c r="Z133" s="6"/>
    </row>
    <row r="134" spans="1:26" s="23" customFormat="1" x14ac:dyDescent="0.25">
      <c r="A134" s="51"/>
      <c r="B134" s="10" t="s">
        <v>13</v>
      </c>
      <c r="C134" s="10"/>
      <c r="D134" s="4">
        <v>88847.32</v>
      </c>
      <c r="E134" s="4"/>
      <c r="F134" s="12">
        <f>IF(D$12=0,0,D134/D$12)</f>
        <v>0.50833564003189835</v>
      </c>
      <c r="G134" s="4"/>
      <c r="H134" s="4">
        <v>48266.11</v>
      </c>
      <c r="I134" s="4"/>
      <c r="J134" s="12">
        <f>IF(H$12=0,0,H134/H$12)</f>
        <v>0.20792947628609487</v>
      </c>
      <c r="K134" s="4"/>
      <c r="L134" s="4">
        <f>+D134-H134</f>
        <v>40581.210000000006</v>
      </c>
      <c r="M134" s="4"/>
      <c r="N134" s="12">
        <f>IF(H134=0,0,L134/H134)</f>
        <v>0.84078062226270167</v>
      </c>
      <c r="O134" s="10"/>
      <c r="P134" s="4">
        <v>88847.32</v>
      </c>
      <c r="Q134" s="4"/>
      <c r="R134" s="12">
        <f>IF(P$12=0,0,P134/P$12)</f>
        <v>0.50833564003189835</v>
      </c>
      <c r="S134" s="4"/>
      <c r="T134" s="4">
        <v>48266.11</v>
      </c>
      <c r="U134" s="4"/>
      <c r="V134" s="12">
        <f>IF(T$12=0,0,T134/T$12)</f>
        <v>0.20792947628609487</v>
      </c>
      <c r="W134" s="4"/>
      <c r="X134" s="4">
        <f>+P134-T134</f>
        <v>40581.210000000006</v>
      </c>
      <c r="Y134" s="4"/>
      <c r="Z134" s="12">
        <f>IF(T134=0,0,X134/T134)</f>
        <v>0.84078062226270167</v>
      </c>
    </row>
    <row r="135" spans="1:26" x14ac:dyDescent="0.25">
      <c r="A135" s="9"/>
      <c r="B135" s="10"/>
      <c r="C135" s="10"/>
      <c r="D135" s="2"/>
      <c r="E135" s="2"/>
      <c r="F135" s="6"/>
      <c r="G135" s="2"/>
      <c r="H135" s="2"/>
      <c r="I135" s="2"/>
      <c r="J135" s="6"/>
      <c r="K135" s="2"/>
      <c r="L135" s="2"/>
      <c r="M135" s="2"/>
      <c r="N135" s="6"/>
      <c r="O135" s="10"/>
      <c r="P135" s="2"/>
      <c r="Q135" s="2"/>
      <c r="R135" s="6"/>
      <c r="S135" s="2"/>
      <c r="T135" s="2"/>
      <c r="U135" s="2"/>
      <c r="V135" s="6"/>
      <c r="W135" s="2"/>
      <c r="X135" s="2"/>
      <c r="Y135" s="2"/>
      <c r="Z135" s="6"/>
    </row>
    <row r="136" spans="1:26" s="23" customFormat="1" ht="15.75" thickBot="1" x14ac:dyDescent="0.3">
      <c r="A136" s="10"/>
      <c r="B136" s="26" t="s">
        <v>4</v>
      </c>
      <c r="C136" s="26"/>
      <c r="D136" s="35">
        <f>+D132-D134</f>
        <v>84619.409999999974</v>
      </c>
      <c r="E136" s="13"/>
      <c r="F136" s="30">
        <f>IF(D$12=0,0,D136/D$12)</f>
        <v>0.48414585765188645</v>
      </c>
      <c r="G136" s="13"/>
      <c r="H136" s="35">
        <f>+H132-H134</f>
        <v>1688.3900000000067</v>
      </c>
      <c r="I136" s="13"/>
      <c r="J136" s="30">
        <f>IF(H$12=0,0,H136/H$12)</f>
        <v>7.2735517419299199E-3</v>
      </c>
      <c r="K136" s="16"/>
      <c r="L136" s="35">
        <f>D136-H136</f>
        <v>82931.01999999996</v>
      </c>
      <c r="M136" s="16"/>
      <c r="N136" s="30">
        <f>IF(H136=0,0,L136/H136)</f>
        <v>49.118402738703516</v>
      </c>
      <c r="O136" s="25"/>
      <c r="P136" s="35">
        <f>+P132-P134</f>
        <v>84619.409999999974</v>
      </c>
      <c r="Q136" s="13"/>
      <c r="R136" s="30">
        <f>IF(P$12=0,0,P136/P$12)</f>
        <v>0.48414585765188645</v>
      </c>
      <c r="S136" s="13"/>
      <c r="T136" s="35">
        <f>+T132-T134</f>
        <v>1688.3900000000067</v>
      </c>
      <c r="U136" s="13"/>
      <c r="V136" s="30">
        <f>IF(T$12=0,0,T136/T$12)</f>
        <v>7.2735517419299199E-3</v>
      </c>
      <c r="W136" s="16"/>
      <c r="X136" s="35">
        <f>P136-T136</f>
        <v>82931.01999999996</v>
      </c>
      <c r="Y136" s="16"/>
      <c r="Z136" s="30">
        <f>IF(T136=0,0,X136/T136)</f>
        <v>49.118402738703516</v>
      </c>
    </row>
    <row r="137" spans="1:26" ht="15.75" thickTop="1" x14ac:dyDescent="0.25">
      <c r="A137" s="9"/>
      <c r="B137" s="9"/>
      <c r="C137" s="9"/>
      <c r="D137" s="2"/>
      <c r="E137" s="2"/>
      <c r="F137" s="6"/>
      <c r="G137" s="2"/>
      <c r="H137" s="2"/>
      <c r="I137" s="2"/>
      <c r="J137" s="6"/>
      <c r="K137" s="2"/>
      <c r="L137" s="2"/>
      <c r="M137" s="2"/>
      <c r="N137" s="6"/>
      <c r="P137" s="2"/>
      <c r="Q137" s="2"/>
      <c r="R137" s="6"/>
      <c r="S137" s="2"/>
      <c r="T137" s="2"/>
      <c r="U137" s="2"/>
      <c r="V137" s="6"/>
      <c r="W137" s="2"/>
      <c r="X137" s="2"/>
      <c r="Y137" s="2"/>
      <c r="Z137" s="6"/>
    </row>
    <row r="138" spans="1:26" x14ac:dyDescent="0.25">
      <c r="A138" s="9"/>
      <c r="B138" s="9"/>
      <c r="C138" s="9"/>
      <c r="D138" s="2"/>
      <c r="E138" s="2"/>
      <c r="F138" s="6"/>
      <c r="G138" s="2"/>
      <c r="H138" s="2"/>
      <c r="I138" s="2"/>
      <c r="J138" s="6"/>
      <c r="K138" s="2"/>
      <c r="L138" s="2"/>
      <c r="M138" s="2"/>
      <c r="N138" s="6"/>
      <c r="P138" s="2"/>
      <c r="Q138" s="2"/>
      <c r="R138" s="6"/>
      <c r="S138" s="2"/>
      <c r="T138" s="2"/>
      <c r="U138" s="2"/>
      <c r="V138" s="6"/>
      <c r="W138" s="2"/>
      <c r="X138" s="2"/>
      <c r="Y138" s="2"/>
      <c r="Z138" s="6"/>
    </row>
    <row r="139" spans="1:26" s="23" customFormat="1" ht="15.75" thickBot="1" x14ac:dyDescent="0.3">
      <c r="A139" s="10"/>
      <c r="B139" s="26" t="s">
        <v>5</v>
      </c>
      <c r="C139" s="26"/>
      <c r="D139" s="31">
        <f>SUM(D136:D138)</f>
        <v>84619.409999999974</v>
      </c>
      <c r="E139" s="13"/>
      <c r="F139" s="32">
        <f>IF(D$12=0,0,D139/D$12)</f>
        <v>0.48414585765188645</v>
      </c>
      <c r="G139" s="13"/>
      <c r="H139" s="31">
        <f>SUM(H136:H138)</f>
        <v>1688.3900000000067</v>
      </c>
      <c r="I139" s="13"/>
      <c r="J139" s="32">
        <f>IF(H$12=0,0,H139/H$12)</f>
        <v>7.2735517419299199E-3</v>
      </c>
      <c r="K139" s="16"/>
      <c r="L139" s="31">
        <f>+D139-H139</f>
        <v>82931.01999999996</v>
      </c>
      <c r="M139" s="16"/>
      <c r="N139" s="32">
        <f>IF(H139=0,0,L139/H139)</f>
        <v>49.118402738703516</v>
      </c>
      <c r="O139" s="25"/>
      <c r="P139" s="31">
        <f>SUM(P136:P138)</f>
        <v>84619.409999999974</v>
      </c>
      <c r="Q139" s="13"/>
      <c r="R139" s="32">
        <f>IF(P$12=0,0,P139/P$12)</f>
        <v>0.48414585765188645</v>
      </c>
      <c r="S139" s="13"/>
      <c r="T139" s="31">
        <f>SUM(T136:T138)</f>
        <v>1688.3900000000067</v>
      </c>
      <c r="U139" s="13"/>
      <c r="V139" s="32">
        <f>IF(T$12=0,0,T139/T$12)</f>
        <v>7.2735517419299199E-3</v>
      </c>
      <c r="W139" s="16"/>
      <c r="X139" s="31">
        <f>+P139-T139</f>
        <v>82931.01999999996</v>
      </c>
      <c r="Y139" s="16"/>
      <c r="Z139" s="32">
        <f>IF(T139=0,0,X139/T139)</f>
        <v>49.118402738703516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9">
        <v>44109.413718252312</v>
      </c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A142" s="9"/>
      <c r="B142" s="62" t="s">
        <v>313</v>
      </c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56"/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2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25">
      <c r="A22" s="10"/>
      <c r="B22" s="26" t="s">
        <v>3</v>
      </c>
      <c r="C22" s="26"/>
      <c r="D22" s="19">
        <f>+D16-D18+D20</f>
        <v>0</v>
      </c>
      <c r="E22" s="13"/>
      <c r="F22" s="20">
        <f>IF(D$12=0,0,D22/D$12)</f>
        <v>0</v>
      </c>
      <c r="G22" s="13"/>
      <c r="H22" s="19">
        <f>+H16-H18+H20</f>
        <v>0</v>
      </c>
      <c r="I22" s="13"/>
      <c r="J22" s="20">
        <f>IF(H$12=0,0,H22/H$12)</f>
        <v>0</v>
      </c>
      <c r="K22" s="16"/>
      <c r="L22" s="19">
        <f>+D22-H22</f>
        <v>0</v>
      </c>
      <c r="M22" s="16"/>
      <c r="N22" s="20">
        <f>IF(H22=0,0,L22/H22)</f>
        <v>0</v>
      </c>
      <c r="O22" s="25"/>
      <c r="P22" s="19">
        <f>+P16-P18+P20</f>
        <v>0</v>
      </c>
      <c r="Q22" s="13"/>
      <c r="R22" s="20">
        <f>IF(P$12=0,0,P22/P$12)</f>
        <v>0</v>
      </c>
      <c r="S22" s="13"/>
      <c r="T22" s="19">
        <f>+T16-T18+T20</f>
        <v>0</v>
      </c>
      <c r="U22" s="13"/>
      <c r="V22" s="20">
        <f>IF(T$12=0,0,T22/T$12)</f>
        <v>0</v>
      </c>
      <c r="W22" s="16"/>
      <c r="X22" s="19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25">
      <c r="A28" s="51"/>
      <c r="B28" s="10" t="s">
        <v>2</v>
      </c>
      <c r="C28" s="10"/>
      <c r="D28" s="4">
        <f>--463883.16</f>
        <v>463883.16</v>
      </c>
      <c r="E28" s="4"/>
      <c r="F28" s="12">
        <f t="shared" ref="F28:F29" si="0">IF(D$12=0,0,D28/D$12)</f>
        <v>0</v>
      </c>
      <c r="G28" s="4"/>
      <c r="H28" s="4">
        <f>--29008.14</f>
        <v>29008.14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434875.01999999996</v>
      </c>
      <c r="M28" s="4"/>
      <c r="N28" s="12">
        <f t="shared" ref="N28:N29" si="3">IF(H28=0,0,L28/H28)</f>
        <v>14.991482390804787</v>
      </c>
      <c r="O28" s="10"/>
      <c r="P28" s="4">
        <f>--463883.16</f>
        <v>463883.16</v>
      </c>
      <c r="Q28" s="4"/>
      <c r="R28" s="12">
        <f t="shared" ref="R28:R29" si="4">IF(P$12=0,0,P28/P$12)</f>
        <v>0</v>
      </c>
      <c r="S28" s="4"/>
      <c r="T28" s="4">
        <f>--29008.14</f>
        <v>29008.14</v>
      </c>
      <c r="U28" s="4"/>
      <c r="V28" s="12">
        <f t="shared" ref="V28:V29" si="5">IF(T$12=0,0,T28/T$12)</f>
        <v>0</v>
      </c>
      <c r="W28" s="4"/>
      <c r="X28" s="4">
        <f t="shared" ref="X28:X29" si="6">+P28-T28</f>
        <v>434875.01999999996</v>
      </c>
      <c r="Y28" s="4"/>
      <c r="Z28" s="12">
        <f t="shared" ref="Z28:Z29" si="7">IF(T28=0,0,X28/T28)</f>
        <v>14.991482390804787</v>
      </c>
    </row>
    <row r="29" spans="1:26" s="23" customFormat="1" x14ac:dyDescent="0.25">
      <c r="A29" s="51"/>
      <c r="B29" s="10" t="s">
        <v>1</v>
      </c>
      <c r="C29" s="10"/>
      <c r="D29" s="4">
        <f>-81628.27</f>
        <v>-81628.27</v>
      </c>
      <c r="E29" s="4"/>
      <c r="F29" s="12">
        <f t="shared" si="0"/>
        <v>0</v>
      </c>
      <c r="G29" s="4"/>
      <c r="H29" s="4">
        <f>--16534.29</f>
        <v>16534.29</v>
      </c>
      <c r="I29" s="4"/>
      <c r="J29" s="12">
        <f t="shared" si="1"/>
        <v>0</v>
      </c>
      <c r="K29" s="4"/>
      <c r="L29" s="4">
        <f t="shared" si="2"/>
        <v>-98162.559999999998</v>
      </c>
      <c r="M29" s="4"/>
      <c r="N29" s="12">
        <f t="shared" si="3"/>
        <v>-5.9369080861651753</v>
      </c>
      <c r="O29" s="10"/>
      <c r="P29" s="4">
        <f>-81628.27</f>
        <v>-81628.27</v>
      </c>
      <c r="Q29" s="4"/>
      <c r="R29" s="12">
        <f t="shared" si="4"/>
        <v>0</v>
      </c>
      <c r="S29" s="4"/>
      <c r="T29" s="4">
        <f>--16534.29</f>
        <v>16534.29</v>
      </c>
      <c r="U29" s="4"/>
      <c r="V29" s="12">
        <f t="shared" si="5"/>
        <v>0</v>
      </c>
      <c r="W29" s="4"/>
      <c r="X29" s="4">
        <f t="shared" si="6"/>
        <v>-98162.559999999998</v>
      </c>
      <c r="Y29" s="4"/>
      <c r="Z29" s="12">
        <f t="shared" si="7"/>
        <v>-5.9369080861651753</v>
      </c>
    </row>
    <row r="30" spans="1:26" x14ac:dyDescent="0.25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5</v>
      </c>
      <c r="C31" s="26"/>
      <c r="D31" s="31">
        <f>SUM(D26:D30)</f>
        <v>382254.88999999996</v>
      </c>
      <c r="E31" s="13"/>
      <c r="F31" s="32">
        <f>IF(D$12=0,0,D31/D$12)</f>
        <v>0</v>
      </c>
      <c r="G31" s="13"/>
      <c r="H31" s="31">
        <f>SUM(H26:H30)</f>
        <v>45542.43</v>
      </c>
      <c r="I31" s="13"/>
      <c r="J31" s="32">
        <f>IF(H$12=0,0,H31/H$12)</f>
        <v>0</v>
      </c>
      <c r="K31" s="16"/>
      <c r="L31" s="31">
        <f>+D31-H31</f>
        <v>336712.45999999996</v>
      </c>
      <c r="M31" s="16"/>
      <c r="N31" s="32">
        <f>IF(H31=0,0,L31/H31)</f>
        <v>7.3933793168260884</v>
      </c>
      <c r="O31" s="25"/>
      <c r="P31" s="31">
        <f>SUM(P26:P30)</f>
        <v>382254.88999999996</v>
      </c>
      <c r="Q31" s="13"/>
      <c r="R31" s="32">
        <f>IF(P$12=0,0,P31/P$12)</f>
        <v>0</v>
      </c>
      <c r="S31" s="13"/>
      <c r="T31" s="31">
        <f>SUM(T26:T30)</f>
        <v>45542.43</v>
      </c>
      <c r="U31" s="13"/>
      <c r="V31" s="32">
        <f>IF(T$12=0,0,T31/T$12)</f>
        <v>0</v>
      </c>
      <c r="W31" s="16"/>
      <c r="X31" s="31">
        <f>+P31-T31</f>
        <v>336712.45999999996</v>
      </c>
      <c r="Y31" s="16"/>
      <c r="Z31" s="32">
        <f>IF(T31=0,0,X31/T31)</f>
        <v>7.3933793168260884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9">
        <v>44109.413530092592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147901.04999999996</v>
      </c>
      <c r="E12" s="4"/>
      <c r="F12" s="12"/>
      <c r="G12" s="4"/>
      <c r="H12" s="4">
        <f>SUM(OSRRefH13x_0)</f>
        <v>180645.16</v>
      </c>
      <c r="I12" s="4"/>
      <c r="J12" s="12"/>
      <c r="K12" s="4"/>
      <c r="L12" s="4">
        <f t="shared" ref="L12:L46" si="0">+D12-H12</f>
        <v>-32744.110000000044</v>
      </c>
      <c r="M12" s="4"/>
      <c r="N12" s="12">
        <f t="shared" ref="N12:N46" si="1">IF(H12=0,0,L12/H12)</f>
        <v>-0.1812620387947291</v>
      </c>
      <c r="O12" s="10"/>
      <c r="P12" s="4">
        <f>SUM(OSRRefP13x_0)</f>
        <v>147901.04999999996</v>
      </c>
      <c r="Q12" s="4"/>
      <c r="R12" s="12"/>
      <c r="S12" s="4"/>
      <c r="T12" s="4">
        <f>SUM(OSRRefT13x_0)</f>
        <v>180645.16</v>
      </c>
      <c r="U12" s="4"/>
      <c r="V12" s="12"/>
      <c r="W12" s="4"/>
      <c r="X12" s="4">
        <f t="shared" ref="X12:X46" si="2">+P12-T12</f>
        <v>-32744.110000000044</v>
      </c>
      <c r="Y12" s="4"/>
      <c r="Z12" s="12">
        <f t="shared" ref="Z12:Z46" si="3">IF(T12=0,0,X12/T12)</f>
        <v>-0.1812620387947291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-9603.06</f>
        <v>-9603.06</v>
      </c>
      <c r="E13" s="3"/>
      <c r="F13" s="22"/>
      <c r="G13" s="3"/>
      <c r="H13" s="3">
        <f t="shared" ref="H13:H18" si="4">0</f>
        <v>0</v>
      </c>
      <c r="I13" s="3"/>
      <c r="J13" s="22"/>
      <c r="K13" s="3"/>
      <c r="L13" s="3">
        <f t="shared" si="0"/>
        <v>-9603.06</v>
      </c>
      <c r="M13" s="3"/>
      <c r="N13" s="22">
        <f t="shared" si="1"/>
        <v>0</v>
      </c>
      <c r="O13" s="11"/>
      <c r="P13" s="3">
        <f>-9603.06</f>
        <v>-9603.06</v>
      </c>
      <c r="Q13" s="3"/>
      <c r="R13" s="22"/>
      <c r="S13" s="3"/>
      <c r="T13" s="3">
        <f t="shared" ref="T13:T18" si="5">0</f>
        <v>0</v>
      </c>
      <c r="U13" s="3"/>
      <c r="V13" s="22"/>
      <c r="W13" s="3"/>
      <c r="X13" s="3">
        <f t="shared" si="2"/>
        <v>-9603.06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3">
        <f>--221.99</f>
        <v>221.99</v>
      </c>
      <c r="E14" s="3"/>
      <c r="F14" s="22"/>
      <c r="G14" s="3"/>
      <c r="H14" s="3">
        <f t="shared" si="4"/>
        <v>0</v>
      </c>
      <c r="I14" s="3"/>
      <c r="J14" s="22"/>
      <c r="K14" s="3"/>
      <c r="L14" s="3">
        <f t="shared" si="0"/>
        <v>221.99</v>
      </c>
      <c r="M14" s="3"/>
      <c r="N14" s="22">
        <f t="shared" si="1"/>
        <v>0</v>
      </c>
      <c r="O14" s="11"/>
      <c r="P14" s="3">
        <f>--221.99</f>
        <v>221.99</v>
      </c>
      <c r="Q14" s="3"/>
      <c r="R14" s="22"/>
      <c r="S14" s="3"/>
      <c r="T14" s="3">
        <f t="shared" si="5"/>
        <v>0</v>
      </c>
      <c r="U14" s="3"/>
      <c r="V14" s="22"/>
      <c r="W14" s="3"/>
      <c r="X14" s="3">
        <f t="shared" si="2"/>
        <v>221.99</v>
      </c>
      <c r="Y14" s="3"/>
      <c r="Z14" s="22">
        <f t="shared" si="3"/>
        <v>0</v>
      </c>
    </row>
    <row r="15" spans="1:26" s="24" customFormat="1" hidden="1" outlineLevel="1" x14ac:dyDescent="0.25">
      <c r="A15" s="50"/>
      <c r="B15" s="11" t="str">
        <f>CONCATENATE("          ", "4027", " - ", "TAXABLE SALES-SCHOOL SUPPLIES")</f>
        <v xml:space="preserve">          4027 - TAXABLE SALES-SCHOOL SUPPLIES</v>
      </c>
      <c r="C15" s="11"/>
      <c r="D15" s="3">
        <f>--1653.17</f>
        <v>1653.17</v>
      </c>
      <c r="E15" s="3"/>
      <c r="F15" s="22"/>
      <c r="G15" s="3"/>
      <c r="H15" s="3">
        <f t="shared" si="4"/>
        <v>0</v>
      </c>
      <c r="I15" s="3"/>
      <c r="J15" s="22"/>
      <c r="K15" s="3"/>
      <c r="L15" s="3">
        <f t="shared" si="0"/>
        <v>1653.17</v>
      </c>
      <c r="M15" s="3"/>
      <c r="N15" s="22">
        <f t="shared" si="1"/>
        <v>0</v>
      </c>
      <c r="O15" s="11"/>
      <c r="P15" s="3">
        <f>--1653.17</f>
        <v>1653.17</v>
      </c>
      <c r="Q15" s="3"/>
      <c r="R15" s="22"/>
      <c r="S15" s="3"/>
      <c r="T15" s="3">
        <f t="shared" si="5"/>
        <v>0</v>
      </c>
      <c r="U15" s="3"/>
      <c r="V15" s="22"/>
      <c r="W15" s="3"/>
      <c r="X15" s="3">
        <f t="shared" si="2"/>
        <v>1653.17</v>
      </c>
      <c r="Y15" s="3"/>
      <c r="Z15" s="22">
        <f t="shared" si="3"/>
        <v>0</v>
      </c>
    </row>
    <row r="16" spans="1:26" s="24" customFormat="1" hidden="1" outlineLevel="1" x14ac:dyDescent="0.25">
      <c r="A16" s="50"/>
      <c r="B16" s="11" t="str">
        <f>CONCATENATE("          ", "4028", " - ", "TAXABLE SALES-ART/TECH")</f>
        <v xml:space="preserve">          4028 - TAXABLE SALES-ART/TECH</v>
      </c>
      <c r="C16" s="11"/>
      <c r="D16" s="3">
        <f>--19.85</f>
        <v>19.850000000000001</v>
      </c>
      <c r="E16" s="3"/>
      <c r="F16" s="22"/>
      <c r="G16" s="3"/>
      <c r="H16" s="3">
        <f t="shared" si="4"/>
        <v>0</v>
      </c>
      <c r="I16" s="3"/>
      <c r="J16" s="22"/>
      <c r="K16" s="3"/>
      <c r="L16" s="3">
        <f t="shared" si="0"/>
        <v>19.850000000000001</v>
      </c>
      <c r="M16" s="3"/>
      <c r="N16" s="22">
        <f t="shared" si="1"/>
        <v>0</v>
      </c>
      <c r="O16" s="11"/>
      <c r="P16" s="3">
        <f>--19.85</f>
        <v>19.850000000000001</v>
      </c>
      <c r="Q16" s="3"/>
      <c r="R16" s="22"/>
      <c r="S16" s="3"/>
      <c r="T16" s="3">
        <f t="shared" si="5"/>
        <v>0</v>
      </c>
      <c r="U16" s="3"/>
      <c r="V16" s="22"/>
      <c r="W16" s="3"/>
      <c r="X16" s="3">
        <f t="shared" si="2"/>
        <v>19.850000000000001</v>
      </c>
      <c r="Y16" s="3"/>
      <c r="Z16" s="22">
        <f t="shared" si="3"/>
        <v>0</v>
      </c>
    </row>
    <row r="17" spans="1:26" s="24" customFormat="1" hidden="1" outlineLevel="1" x14ac:dyDescent="0.25">
      <c r="A17" s="50"/>
      <c r="B17" s="11" t="str">
        <f>CONCATENATE("          ", "4031", " - ", "TAXABLE SALES-FOOD")</f>
        <v xml:space="preserve">          4031 - TAXABLE SALES-FOOD</v>
      </c>
      <c r="C17" s="11"/>
      <c r="D17" s="3">
        <f>--19.75</f>
        <v>19.75</v>
      </c>
      <c r="E17" s="3"/>
      <c r="F17" s="22"/>
      <c r="G17" s="3"/>
      <c r="H17" s="3">
        <f t="shared" si="4"/>
        <v>0</v>
      </c>
      <c r="I17" s="3"/>
      <c r="J17" s="22"/>
      <c r="K17" s="3"/>
      <c r="L17" s="3">
        <f t="shared" si="0"/>
        <v>19.75</v>
      </c>
      <c r="M17" s="3"/>
      <c r="N17" s="22">
        <f t="shared" si="1"/>
        <v>0</v>
      </c>
      <c r="O17" s="11"/>
      <c r="P17" s="3">
        <f>--19.75</f>
        <v>19.75</v>
      </c>
      <c r="Q17" s="3"/>
      <c r="R17" s="22"/>
      <c r="S17" s="3"/>
      <c r="T17" s="3">
        <f t="shared" si="5"/>
        <v>0</v>
      </c>
      <c r="U17" s="3"/>
      <c r="V17" s="22"/>
      <c r="W17" s="3"/>
      <c r="X17" s="3">
        <f t="shared" si="2"/>
        <v>19.75</v>
      </c>
      <c r="Y17" s="3"/>
      <c r="Z17" s="22">
        <f t="shared" si="3"/>
        <v>0</v>
      </c>
    </row>
    <row r="18" spans="1:26" s="24" customFormat="1" hidden="1" outlineLevel="1" x14ac:dyDescent="0.25">
      <c r="A18" s="50"/>
      <c r="B18" s="11" t="str">
        <f>CONCATENATE("          ", "4034", " - ", "TAXABLE SALES-SODA")</f>
        <v xml:space="preserve">          4034 - TAXABLE SALES-SODA</v>
      </c>
      <c r="C18" s="11"/>
      <c r="D18" s="3">
        <f>--6.78</f>
        <v>6.78</v>
      </c>
      <c r="E18" s="3"/>
      <c r="F18" s="22"/>
      <c r="G18" s="3"/>
      <c r="H18" s="3">
        <f t="shared" si="4"/>
        <v>0</v>
      </c>
      <c r="I18" s="3"/>
      <c r="J18" s="22"/>
      <c r="K18" s="3"/>
      <c r="L18" s="3">
        <f t="shared" si="0"/>
        <v>6.78</v>
      </c>
      <c r="M18" s="3"/>
      <c r="N18" s="22">
        <f t="shared" si="1"/>
        <v>0</v>
      </c>
      <c r="O18" s="11"/>
      <c r="P18" s="3">
        <f>--6.78</f>
        <v>6.78</v>
      </c>
      <c r="Q18" s="3"/>
      <c r="R18" s="22"/>
      <c r="S18" s="3"/>
      <c r="T18" s="3">
        <f t="shared" si="5"/>
        <v>0</v>
      </c>
      <c r="U18" s="3"/>
      <c r="V18" s="22"/>
      <c r="W18" s="3"/>
      <c r="X18" s="3">
        <f t="shared" si="2"/>
        <v>6.78</v>
      </c>
      <c r="Y18" s="3"/>
      <c r="Z18" s="22">
        <f t="shared" si="3"/>
        <v>0</v>
      </c>
    </row>
    <row r="19" spans="1:26" s="24" customFormat="1" hidden="1" outlineLevel="1" x14ac:dyDescent="0.25">
      <c r="A19" s="50"/>
      <c r="B19" s="11" t="str">
        <f>CONCATENATE("          ", "4040", " - ", "TAXABLE SALES-LOGO CLOTHING")</f>
        <v xml:space="preserve">          4040 - TAXABLE SALES-LOGO CLOTHING</v>
      </c>
      <c r="C19" s="11"/>
      <c r="D19" s="3">
        <f>--50380.6</f>
        <v>50380.6</v>
      </c>
      <c r="E19" s="3"/>
      <c r="F19" s="22"/>
      <c r="G19" s="3"/>
      <c r="H19" s="3">
        <f>--126559.61</f>
        <v>126559.61</v>
      </c>
      <c r="I19" s="3"/>
      <c r="J19" s="22"/>
      <c r="K19" s="3"/>
      <c r="L19" s="3">
        <f t="shared" si="0"/>
        <v>-76179.010000000009</v>
      </c>
      <c r="M19" s="3"/>
      <c r="N19" s="22">
        <f t="shared" si="1"/>
        <v>-0.60192197178862994</v>
      </c>
      <c r="O19" s="11"/>
      <c r="P19" s="3">
        <f>--50380.6</f>
        <v>50380.6</v>
      </c>
      <c r="Q19" s="3"/>
      <c r="R19" s="22"/>
      <c r="S19" s="3"/>
      <c r="T19" s="3">
        <f>--126559.61</f>
        <v>126559.61</v>
      </c>
      <c r="U19" s="3"/>
      <c r="V19" s="22"/>
      <c r="W19" s="3"/>
      <c r="X19" s="3">
        <f t="shared" si="2"/>
        <v>-76179.010000000009</v>
      </c>
      <c r="Y19" s="3"/>
      <c r="Z19" s="22">
        <f t="shared" si="3"/>
        <v>-0.60192197178862994</v>
      </c>
    </row>
    <row r="20" spans="1:26" s="24" customFormat="1" hidden="1" outlineLevel="1" x14ac:dyDescent="0.25">
      <c r="A20" s="50"/>
      <c r="B20" s="11" t="str">
        <f>CONCATENATE("          ", "4041", " - ", "TAXABLE SALES-LOGO GIFTS")</f>
        <v xml:space="preserve">          4041 - TAXABLE SALES-LOGO GIFTS</v>
      </c>
      <c r="C20" s="11"/>
      <c r="D20" s="3">
        <f>--15917.84</f>
        <v>15917.84</v>
      </c>
      <c r="E20" s="3"/>
      <c r="F20" s="22"/>
      <c r="G20" s="3"/>
      <c r="H20" s="3">
        <f>--24352.36</f>
        <v>24352.36</v>
      </c>
      <c r="I20" s="3"/>
      <c r="J20" s="22"/>
      <c r="K20" s="3"/>
      <c r="L20" s="3">
        <f t="shared" si="0"/>
        <v>-8434.52</v>
      </c>
      <c r="M20" s="3"/>
      <c r="N20" s="22">
        <f t="shared" si="1"/>
        <v>-0.34635328978382385</v>
      </c>
      <c r="O20" s="11"/>
      <c r="P20" s="3">
        <f>--15917.84</f>
        <v>15917.84</v>
      </c>
      <c r="Q20" s="3"/>
      <c r="R20" s="22"/>
      <c r="S20" s="3"/>
      <c r="T20" s="3">
        <f>--24352.36</f>
        <v>24352.36</v>
      </c>
      <c r="U20" s="3"/>
      <c r="V20" s="22"/>
      <c r="W20" s="3"/>
      <c r="X20" s="3">
        <f t="shared" si="2"/>
        <v>-8434.52</v>
      </c>
      <c r="Y20" s="3"/>
      <c r="Z20" s="22">
        <f t="shared" si="3"/>
        <v>-0.34635328978382385</v>
      </c>
    </row>
    <row r="21" spans="1:26" s="24" customFormat="1" hidden="1" outlineLevel="1" x14ac:dyDescent="0.25">
      <c r="A21" s="50"/>
      <c r="B21" s="11" t="str">
        <f>CONCATENATE("          ", "4042", " - ", "TAXABLE SALES-EVERYDAY GIFTS")</f>
        <v xml:space="preserve">          4042 - TAXABLE SALES-EVERYDAY GIFTS</v>
      </c>
      <c r="C21" s="11"/>
      <c r="D21" s="3">
        <f>--4154.05</f>
        <v>4154.05</v>
      </c>
      <c r="E21" s="3"/>
      <c r="F21" s="22"/>
      <c r="G21" s="3"/>
      <c r="H21" s="3">
        <f>--9099.52</f>
        <v>9099.52</v>
      </c>
      <c r="I21" s="3"/>
      <c r="J21" s="22"/>
      <c r="K21" s="3"/>
      <c r="L21" s="3">
        <f t="shared" si="0"/>
        <v>-4945.47</v>
      </c>
      <c r="M21" s="3"/>
      <c r="N21" s="22">
        <f t="shared" si="1"/>
        <v>-0.54348690919960618</v>
      </c>
      <c r="O21" s="11"/>
      <c r="P21" s="3">
        <f>--4154.05</f>
        <v>4154.05</v>
      </c>
      <c r="Q21" s="3"/>
      <c r="R21" s="22"/>
      <c r="S21" s="3"/>
      <c r="T21" s="3">
        <f>--9099.52</f>
        <v>9099.52</v>
      </c>
      <c r="U21" s="3"/>
      <c r="V21" s="22"/>
      <c r="W21" s="3"/>
      <c r="X21" s="3">
        <f t="shared" si="2"/>
        <v>-4945.47</v>
      </c>
      <c r="Y21" s="3"/>
      <c r="Z21" s="22">
        <f t="shared" si="3"/>
        <v>-0.54348690919960618</v>
      </c>
    </row>
    <row r="22" spans="1:26" s="24" customFormat="1" hidden="1" outlineLevel="1" x14ac:dyDescent="0.25">
      <c r="A22" s="50"/>
      <c r="B22" s="11" t="str">
        <f>CONCATENATE("          ", "4043", " - ", "TAXABLE SALES-CARDS")</f>
        <v xml:space="preserve">          4043 - TAXABLE SALES-CARDS</v>
      </c>
      <c r="C22" s="11"/>
      <c r="D22" s="3">
        <f>--187.37</f>
        <v>187.37</v>
      </c>
      <c r="E22" s="3"/>
      <c r="F22" s="22"/>
      <c r="G22" s="3"/>
      <c r="H22" s="3">
        <f>--40.85</f>
        <v>40.85</v>
      </c>
      <c r="I22" s="3"/>
      <c r="J22" s="22"/>
      <c r="K22" s="3"/>
      <c r="L22" s="3">
        <f t="shared" si="0"/>
        <v>146.52000000000001</v>
      </c>
      <c r="M22" s="3"/>
      <c r="N22" s="22">
        <f t="shared" si="1"/>
        <v>3.5867809057527542</v>
      </c>
      <c r="O22" s="11"/>
      <c r="P22" s="3">
        <f>--187.37</f>
        <v>187.37</v>
      </c>
      <c r="Q22" s="3"/>
      <c r="R22" s="22"/>
      <c r="S22" s="3"/>
      <c r="T22" s="3">
        <f>--40.85</f>
        <v>40.85</v>
      </c>
      <c r="U22" s="3"/>
      <c r="V22" s="22"/>
      <c r="W22" s="3"/>
      <c r="X22" s="3">
        <f t="shared" si="2"/>
        <v>146.52000000000001</v>
      </c>
      <c r="Y22" s="3"/>
      <c r="Z22" s="22">
        <f t="shared" si="3"/>
        <v>3.5867809057527542</v>
      </c>
    </row>
    <row r="23" spans="1:26" s="24" customFormat="1" hidden="1" outlineLevel="1" x14ac:dyDescent="0.25">
      <c r="A23" s="50"/>
      <c r="B23" s="11" t="str">
        <f>CONCATENATE("          ", "4044", " - ", "TAXABLE SALES-ACCESSORIES")</f>
        <v xml:space="preserve">          4044 - TAXABLE SALES-ACCESSORIES</v>
      </c>
      <c r="C23" s="11"/>
      <c r="D23" s="3">
        <f>--1503.2</f>
        <v>1503.2</v>
      </c>
      <c r="E23" s="3"/>
      <c r="F23" s="22"/>
      <c r="G23" s="3"/>
      <c r="H23" s="3">
        <f>--2094.45</f>
        <v>2094.4499999999998</v>
      </c>
      <c r="I23" s="3"/>
      <c r="J23" s="22"/>
      <c r="K23" s="3"/>
      <c r="L23" s="3">
        <f t="shared" si="0"/>
        <v>-591.24999999999977</v>
      </c>
      <c r="M23" s="3"/>
      <c r="N23" s="22">
        <f t="shared" si="1"/>
        <v>-0.28229368091861817</v>
      </c>
      <c r="O23" s="11"/>
      <c r="P23" s="3">
        <f>--1503.2</f>
        <v>1503.2</v>
      </c>
      <c r="Q23" s="3"/>
      <c r="R23" s="22"/>
      <c r="S23" s="3"/>
      <c r="T23" s="3">
        <f>--2094.45</f>
        <v>2094.4499999999998</v>
      </c>
      <c r="U23" s="3"/>
      <c r="V23" s="22"/>
      <c r="W23" s="3"/>
      <c r="X23" s="3">
        <f t="shared" si="2"/>
        <v>-591.24999999999977</v>
      </c>
      <c r="Y23" s="3"/>
      <c r="Z23" s="22">
        <f t="shared" si="3"/>
        <v>-0.28229368091861817</v>
      </c>
    </row>
    <row r="24" spans="1:26" s="24" customFormat="1" hidden="1" outlineLevel="1" x14ac:dyDescent="0.25">
      <c r="A24" s="50"/>
      <c r="B24" s="11" t="str">
        <f>CONCATENATE("          ", "4045", " - ", "TAXABLE SALES-SPECIAL ORDERS")</f>
        <v xml:space="preserve">          4045 - TAXABLE SALES-SPECIAL ORDERS</v>
      </c>
      <c r="C24" s="11"/>
      <c r="D24" s="3">
        <f>--43426.73</f>
        <v>43426.73</v>
      </c>
      <c r="E24" s="3"/>
      <c r="F24" s="22"/>
      <c r="G24" s="3"/>
      <c r="H24" s="3">
        <f>--19182.83</f>
        <v>19182.830000000002</v>
      </c>
      <c r="I24" s="3"/>
      <c r="J24" s="22"/>
      <c r="K24" s="3"/>
      <c r="L24" s="3">
        <f t="shared" si="0"/>
        <v>24243.9</v>
      </c>
      <c r="M24" s="3"/>
      <c r="N24" s="22">
        <f t="shared" si="1"/>
        <v>1.2638333342890491</v>
      </c>
      <c r="O24" s="11"/>
      <c r="P24" s="3">
        <f>--43426.73</f>
        <v>43426.73</v>
      </c>
      <c r="Q24" s="3"/>
      <c r="R24" s="22"/>
      <c r="S24" s="3"/>
      <c r="T24" s="3">
        <f>--19182.83</f>
        <v>19182.830000000002</v>
      </c>
      <c r="U24" s="3"/>
      <c r="V24" s="22"/>
      <c r="W24" s="3"/>
      <c r="X24" s="3">
        <f t="shared" si="2"/>
        <v>24243.9</v>
      </c>
      <c r="Y24" s="3"/>
      <c r="Z24" s="22">
        <f t="shared" si="3"/>
        <v>1.2638333342890491</v>
      </c>
    </row>
    <row r="25" spans="1:26" s="24" customFormat="1" hidden="1" outlineLevel="1" x14ac:dyDescent="0.25">
      <c r="A25" s="50"/>
      <c r="B25" s="11" t="str">
        <f>CONCATENATE("          ", "4126", " - ", "NON-TAXABLE SALES-WRITING INST")</f>
        <v xml:space="preserve">          4126 - NON-TAXABLE SALES-WRITING INST</v>
      </c>
      <c r="C25" s="11"/>
      <c r="D25" s="3">
        <f>--52.68</f>
        <v>52.68</v>
      </c>
      <c r="E25" s="3"/>
      <c r="F25" s="22"/>
      <c r="G25" s="3"/>
      <c r="H25" s="3">
        <f t="shared" ref="H25:H31" si="6">0</f>
        <v>0</v>
      </c>
      <c r="I25" s="3"/>
      <c r="J25" s="22"/>
      <c r="K25" s="3"/>
      <c r="L25" s="3">
        <f t="shared" si="0"/>
        <v>52.68</v>
      </c>
      <c r="M25" s="3"/>
      <c r="N25" s="22">
        <f t="shared" si="1"/>
        <v>0</v>
      </c>
      <c r="O25" s="11"/>
      <c r="P25" s="3">
        <f>--52.68</f>
        <v>52.68</v>
      </c>
      <c r="Q25" s="3"/>
      <c r="R25" s="22"/>
      <c r="S25" s="3"/>
      <c r="T25" s="3">
        <f t="shared" ref="T25:T31" si="7">0</f>
        <v>0</v>
      </c>
      <c r="U25" s="3"/>
      <c r="V25" s="22"/>
      <c r="W25" s="3"/>
      <c r="X25" s="3">
        <f t="shared" si="2"/>
        <v>52.68</v>
      </c>
      <c r="Y25" s="3"/>
      <c r="Z25" s="22">
        <f t="shared" si="3"/>
        <v>0</v>
      </c>
    </row>
    <row r="26" spans="1:26" s="24" customFormat="1" hidden="1" outlineLevel="1" x14ac:dyDescent="0.25">
      <c r="A26" s="50"/>
      <c r="B26" s="11" t="str">
        <f>CONCATENATE("          ", "4127", " - ", "NON-TAXABLE SALES-SCHOOL SUPPL")</f>
        <v xml:space="preserve">          4127 - NON-TAXABLE SALES-SCHOOL SUPPL</v>
      </c>
      <c r="C26" s="11"/>
      <c r="D26" s="3">
        <f>--72.25</f>
        <v>72.25</v>
      </c>
      <c r="E26" s="3"/>
      <c r="F26" s="22"/>
      <c r="G26" s="3"/>
      <c r="H26" s="3">
        <f t="shared" si="6"/>
        <v>0</v>
      </c>
      <c r="I26" s="3"/>
      <c r="J26" s="22"/>
      <c r="K26" s="3"/>
      <c r="L26" s="3">
        <f t="shared" si="0"/>
        <v>72.25</v>
      </c>
      <c r="M26" s="3"/>
      <c r="N26" s="22">
        <f t="shared" si="1"/>
        <v>0</v>
      </c>
      <c r="O26" s="11"/>
      <c r="P26" s="3">
        <f>--72.25</f>
        <v>72.25</v>
      </c>
      <c r="Q26" s="3"/>
      <c r="R26" s="22"/>
      <c r="S26" s="3"/>
      <c r="T26" s="3">
        <f t="shared" si="7"/>
        <v>0</v>
      </c>
      <c r="U26" s="3"/>
      <c r="V26" s="22"/>
      <c r="W26" s="3"/>
      <c r="X26" s="3">
        <f t="shared" si="2"/>
        <v>72.25</v>
      </c>
      <c r="Y26" s="3"/>
      <c r="Z26" s="22">
        <f t="shared" si="3"/>
        <v>0</v>
      </c>
    </row>
    <row r="27" spans="1:26" s="24" customFormat="1" hidden="1" outlineLevel="1" x14ac:dyDescent="0.25">
      <c r="A27" s="50"/>
      <c r="B27" s="11" t="str">
        <f>CONCATENATE("          ", "4131", " - ", "NON-TAXABLE SALES-FOOD")</f>
        <v xml:space="preserve">          4131 - NON-TAXABLE SALES-FOOD</v>
      </c>
      <c r="C27" s="11"/>
      <c r="D27" s="3">
        <f>--257.93</f>
        <v>257.93</v>
      </c>
      <c r="E27" s="3"/>
      <c r="F27" s="22"/>
      <c r="G27" s="3"/>
      <c r="H27" s="3">
        <f t="shared" si="6"/>
        <v>0</v>
      </c>
      <c r="I27" s="3"/>
      <c r="J27" s="22"/>
      <c r="K27" s="3"/>
      <c r="L27" s="3">
        <f t="shared" si="0"/>
        <v>257.93</v>
      </c>
      <c r="M27" s="3"/>
      <c r="N27" s="22">
        <f t="shared" si="1"/>
        <v>0</v>
      </c>
      <c r="O27" s="11"/>
      <c r="P27" s="3">
        <f>--257.93</f>
        <v>257.93</v>
      </c>
      <c r="Q27" s="3"/>
      <c r="R27" s="22"/>
      <c r="S27" s="3"/>
      <c r="T27" s="3">
        <f t="shared" si="7"/>
        <v>0</v>
      </c>
      <c r="U27" s="3"/>
      <c r="V27" s="22"/>
      <c r="W27" s="3"/>
      <c r="X27" s="3">
        <f t="shared" si="2"/>
        <v>257.93</v>
      </c>
      <c r="Y27" s="3"/>
      <c r="Z27" s="22">
        <f t="shared" si="3"/>
        <v>0</v>
      </c>
    </row>
    <row r="28" spans="1:26" s="24" customFormat="1" hidden="1" outlineLevel="1" x14ac:dyDescent="0.25">
      <c r="A28" s="50"/>
      <c r="B28" s="11" t="str">
        <f>CONCATENATE("          ", "4132", " - ", "NON-TAXABLE SALES-JUICE")</f>
        <v xml:space="preserve">          4132 - NON-TAXABLE SALES-JUICE</v>
      </c>
      <c r="C28" s="11"/>
      <c r="D28" s="3">
        <f>--22.49</f>
        <v>22.49</v>
      </c>
      <c r="E28" s="3"/>
      <c r="F28" s="22"/>
      <c r="G28" s="3"/>
      <c r="H28" s="3">
        <f t="shared" si="6"/>
        <v>0</v>
      </c>
      <c r="I28" s="3"/>
      <c r="J28" s="22"/>
      <c r="K28" s="3"/>
      <c r="L28" s="3">
        <f t="shared" si="0"/>
        <v>22.49</v>
      </c>
      <c r="M28" s="3"/>
      <c r="N28" s="22">
        <f t="shared" si="1"/>
        <v>0</v>
      </c>
      <c r="O28" s="11"/>
      <c r="P28" s="3">
        <f>--22.49</f>
        <v>22.49</v>
      </c>
      <c r="Q28" s="3"/>
      <c r="R28" s="22"/>
      <c r="S28" s="3"/>
      <c r="T28" s="3">
        <f t="shared" si="7"/>
        <v>0</v>
      </c>
      <c r="U28" s="3"/>
      <c r="V28" s="22"/>
      <c r="W28" s="3"/>
      <c r="X28" s="3">
        <f t="shared" si="2"/>
        <v>22.49</v>
      </c>
      <c r="Y28" s="3"/>
      <c r="Z28" s="22">
        <f t="shared" si="3"/>
        <v>0</v>
      </c>
    </row>
    <row r="29" spans="1:26" s="24" customFormat="1" hidden="1" outlineLevel="1" x14ac:dyDescent="0.25">
      <c r="A29" s="50"/>
      <c r="B29" s="11" t="str">
        <f>CONCATENATE("          ", "4133", " - ", "NON-TAXABLE SALES-CANDY")</f>
        <v xml:space="preserve">          4133 - NON-TAXABLE SALES-CANDY</v>
      </c>
      <c r="C29" s="11"/>
      <c r="D29" s="3">
        <f>--68.28</f>
        <v>68.28</v>
      </c>
      <c r="E29" s="3"/>
      <c r="F29" s="22"/>
      <c r="G29" s="3"/>
      <c r="H29" s="3">
        <f t="shared" si="6"/>
        <v>0</v>
      </c>
      <c r="I29" s="3"/>
      <c r="J29" s="22"/>
      <c r="K29" s="3"/>
      <c r="L29" s="3">
        <f t="shared" si="0"/>
        <v>68.28</v>
      </c>
      <c r="M29" s="3"/>
      <c r="N29" s="22">
        <f t="shared" si="1"/>
        <v>0</v>
      </c>
      <c r="O29" s="11"/>
      <c r="P29" s="3">
        <f>--68.28</f>
        <v>68.28</v>
      </c>
      <c r="Q29" s="3"/>
      <c r="R29" s="22"/>
      <c r="S29" s="3"/>
      <c r="T29" s="3">
        <f t="shared" si="7"/>
        <v>0</v>
      </c>
      <c r="U29" s="3"/>
      <c r="V29" s="22"/>
      <c r="W29" s="3"/>
      <c r="X29" s="3">
        <f t="shared" si="2"/>
        <v>68.28</v>
      </c>
      <c r="Y29" s="3"/>
      <c r="Z29" s="22">
        <f t="shared" si="3"/>
        <v>0</v>
      </c>
    </row>
    <row r="30" spans="1:26" s="24" customFormat="1" hidden="1" outlineLevel="1" x14ac:dyDescent="0.25">
      <c r="A30" s="50"/>
      <c r="B30" s="11" t="str">
        <f>CONCATENATE("          ", "4134", " - ", "NON-TAXABLE SALES-SODA")</f>
        <v xml:space="preserve">          4134 - NON-TAXABLE SALES-SODA</v>
      </c>
      <c r="C30" s="11"/>
      <c r="D30" s="3">
        <f>--45.53</f>
        <v>45.53</v>
      </c>
      <c r="E30" s="3"/>
      <c r="F30" s="22"/>
      <c r="G30" s="3"/>
      <c r="H30" s="3">
        <f t="shared" si="6"/>
        <v>0</v>
      </c>
      <c r="I30" s="3"/>
      <c r="J30" s="22"/>
      <c r="K30" s="3"/>
      <c r="L30" s="3">
        <f t="shared" si="0"/>
        <v>45.53</v>
      </c>
      <c r="M30" s="3"/>
      <c r="N30" s="22">
        <f t="shared" si="1"/>
        <v>0</v>
      </c>
      <c r="O30" s="11"/>
      <c r="P30" s="3">
        <f>--45.53</f>
        <v>45.53</v>
      </c>
      <c r="Q30" s="3"/>
      <c r="R30" s="22"/>
      <c r="S30" s="3"/>
      <c r="T30" s="3">
        <f t="shared" si="7"/>
        <v>0</v>
      </c>
      <c r="U30" s="3"/>
      <c r="V30" s="22"/>
      <c r="W30" s="3"/>
      <c r="X30" s="3">
        <f t="shared" si="2"/>
        <v>45.53</v>
      </c>
      <c r="Y30" s="3"/>
      <c r="Z30" s="22">
        <f t="shared" si="3"/>
        <v>0</v>
      </c>
    </row>
    <row r="31" spans="1:26" s="24" customFormat="1" hidden="1" outlineLevel="1" x14ac:dyDescent="0.25">
      <c r="A31" s="50"/>
      <c r="B31" s="11" t="str">
        <f>CONCATENATE("          ", "4137", " - ", "NON-TAXABLE SALES-WATER")</f>
        <v xml:space="preserve">          4137 - NON-TAXABLE SALES-WATER</v>
      </c>
      <c r="C31" s="11"/>
      <c r="D31" s="3">
        <f>--59.25</f>
        <v>59.25</v>
      </c>
      <c r="E31" s="3"/>
      <c r="F31" s="22"/>
      <c r="G31" s="3"/>
      <c r="H31" s="3">
        <f t="shared" si="6"/>
        <v>0</v>
      </c>
      <c r="I31" s="3"/>
      <c r="J31" s="22"/>
      <c r="K31" s="3"/>
      <c r="L31" s="3">
        <f t="shared" si="0"/>
        <v>59.25</v>
      </c>
      <c r="M31" s="3"/>
      <c r="N31" s="22">
        <f t="shared" si="1"/>
        <v>0</v>
      </c>
      <c r="O31" s="11"/>
      <c r="P31" s="3">
        <f>--59.25</f>
        <v>59.25</v>
      </c>
      <c r="Q31" s="3"/>
      <c r="R31" s="22"/>
      <c r="S31" s="3"/>
      <c r="T31" s="3">
        <f t="shared" si="7"/>
        <v>0</v>
      </c>
      <c r="U31" s="3"/>
      <c r="V31" s="22"/>
      <c r="W31" s="3"/>
      <c r="X31" s="3">
        <f t="shared" si="2"/>
        <v>59.25</v>
      </c>
      <c r="Y31" s="3"/>
      <c r="Z31" s="22">
        <f t="shared" si="3"/>
        <v>0</v>
      </c>
    </row>
    <row r="32" spans="1:26" s="24" customFormat="1" hidden="1" outlineLevel="1" x14ac:dyDescent="0.25">
      <c r="A32" s="50"/>
      <c r="B32" s="11" t="str">
        <f>CONCATENATE("          ", "4140", " - ", "NON-TAXABLE SALES-LOGO CLOTHIN")</f>
        <v xml:space="preserve">          4140 - NON-TAXABLE SALES-LOGO CLOTHIN</v>
      </c>
      <c r="C32" s="11"/>
      <c r="D32" s="3">
        <f>--6777.78</f>
        <v>6777.78</v>
      </c>
      <c r="E32" s="3"/>
      <c r="F32" s="22"/>
      <c r="G32" s="3"/>
      <c r="H32" s="3">
        <f>--3163.67</f>
        <v>3163.67</v>
      </c>
      <c r="I32" s="3"/>
      <c r="J32" s="22"/>
      <c r="K32" s="3"/>
      <c r="L32" s="3">
        <f t="shared" si="0"/>
        <v>3614.1099999999997</v>
      </c>
      <c r="M32" s="3"/>
      <c r="N32" s="22">
        <f t="shared" si="1"/>
        <v>1.1423789459709766</v>
      </c>
      <c r="O32" s="11"/>
      <c r="P32" s="3">
        <f>--6777.78</f>
        <v>6777.78</v>
      </c>
      <c r="Q32" s="3"/>
      <c r="R32" s="22"/>
      <c r="S32" s="3"/>
      <c r="T32" s="3">
        <f>--3163.67</f>
        <v>3163.67</v>
      </c>
      <c r="U32" s="3"/>
      <c r="V32" s="22"/>
      <c r="W32" s="3"/>
      <c r="X32" s="3">
        <f t="shared" si="2"/>
        <v>3614.1099999999997</v>
      </c>
      <c r="Y32" s="3"/>
      <c r="Z32" s="22">
        <f t="shared" si="3"/>
        <v>1.1423789459709766</v>
      </c>
    </row>
    <row r="33" spans="1:26" s="24" customFormat="1" hidden="1" outlineLevel="1" x14ac:dyDescent="0.25">
      <c r="A33" s="50"/>
      <c r="B33" s="11" t="str">
        <f>CONCATENATE("          ", "4141", " - ", "NON-TAXABLE SALES-LOGO GIFTS")</f>
        <v xml:space="preserve">          4141 - NON-TAXABLE SALES-LOGO GIFTS</v>
      </c>
      <c r="C33" s="11"/>
      <c r="D33" s="3">
        <f>--1189.44</f>
        <v>1189.44</v>
      </c>
      <c r="E33" s="3"/>
      <c r="F33" s="22"/>
      <c r="G33" s="3"/>
      <c r="H33" s="3">
        <f>--254.2</f>
        <v>254.2</v>
      </c>
      <c r="I33" s="3"/>
      <c r="J33" s="22"/>
      <c r="K33" s="3"/>
      <c r="L33" s="3">
        <f t="shared" si="0"/>
        <v>935.24</v>
      </c>
      <c r="M33" s="3"/>
      <c r="N33" s="22">
        <f t="shared" si="1"/>
        <v>3.6791502753737215</v>
      </c>
      <c r="O33" s="11"/>
      <c r="P33" s="3">
        <f>--1189.44</f>
        <v>1189.44</v>
      </c>
      <c r="Q33" s="3"/>
      <c r="R33" s="22"/>
      <c r="S33" s="3"/>
      <c r="T33" s="3">
        <f>--254.2</f>
        <v>254.2</v>
      </c>
      <c r="U33" s="3"/>
      <c r="V33" s="22"/>
      <c r="W33" s="3"/>
      <c r="X33" s="3">
        <f t="shared" si="2"/>
        <v>935.24</v>
      </c>
      <c r="Y33" s="3"/>
      <c r="Z33" s="22">
        <f t="shared" si="3"/>
        <v>3.6791502753737215</v>
      </c>
    </row>
    <row r="34" spans="1:26" s="24" customFormat="1" hidden="1" outlineLevel="1" x14ac:dyDescent="0.25">
      <c r="A34" s="50"/>
      <c r="B34" s="11" t="str">
        <f>CONCATENATE("          ", "4142", " - ", "NON-TAXABLE SALES-EVERYDAY GIF")</f>
        <v xml:space="preserve">          4142 - NON-TAXABLE SALES-EVERYDAY GIF</v>
      </c>
      <c r="C34" s="11"/>
      <c r="D34" s="3">
        <f>--640.17</f>
        <v>640.16999999999996</v>
      </c>
      <c r="E34" s="3"/>
      <c r="F34" s="22"/>
      <c r="G34" s="3"/>
      <c r="H34" s="3">
        <f>--151.52</f>
        <v>151.52000000000001</v>
      </c>
      <c r="I34" s="3"/>
      <c r="J34" s="22"/>
      <c r="K34" s="3"/>
      <c r="L34" s="3">
        <f t="shared" si="0"/>
        <v>488.65</v>
      </c>
      <c r="M34" s="3"/>
      <c r="N34" s="22">
        <f t="shared" si="1"/>
        <v>3.2249868004223861</v>
      </c>
      <c r="O34" s="11"/>
      <c r="P34" s="3">
        <f>--640.17</f>
        <v>640.16999999999996</v>
      </c>
      <c r="Q34" s="3"/>
      <c r="R34" s="22"/>
      <c r="S34" s="3"/>
      <c r="T34" s="3">
        <f>--151.52</f>
        <v>151.52000000000001</v>
      </c>
      <c r="U34" s="3"/>
      <c r="V34" s="22"/>
      <c r="W34" s="3"/>
      <c r="X34" s="3">
        <f t="shared" si="2"/>
        <v>488.65</v>
      </c>
      <c r="Y34" s="3"/>
      <c r="Z34" s="22">
        <f t="shared" si="3"/>
        <v>3.2249868004223861</v>
      </c>
    </row>
    <row r="35" spans="1:26" s="24" customFormat="1" hidden="1" outlineLevel="1" x14ac:dyDescent="0.25">
      <c r="A35" s="50"/>
      <c r="B35" s="11" t="str">
        <f>CONCATENATE("          ", "4144", " - ", "NON-TAXABLE SALES-ACCESSORIES")</f>
        <v xml:space="preserve">          4144 - NON-TAXABLE SALES-ACCESSORIES</v>
      </c>
      <c r="C35" s="11"/>
      <c r="D35" s="3">
        <f>--47.85</f>
        <v>47.85</v>
      </c>
      <c r="E35" s="3"/>
      <c r="F35" s="22"/>
      <c r="G35" s="3"/>
      <c r="H35" s="3">
        <f>--21.9</f>
        <v>21.9</v>
      </c>
      <c r="I35" s="3"/>
      <c r="J35" s="22"/>
      <c r="K35" s="3"/>
      <c r="L35" s="3">
        <f t="shared" si="0"/>
        <v>25.950000000000003</v>
      </c>
      <c r="M35" s="3"/>
      <c r="N35" s="22">
        <f t="shared" si="1"/>
        <v>1.1849315068493154</v>
      </c>
      <c r="O35" s="11"/>
      <c r="P35" s="3">
        <f>--47.85</f>
        <v>47.85</v>
      </c>
      <c r="Q35" s="3"/>
      <c r="R35" s="22"/>
      <c r="S35" s="3"/>
      <c r="T35" s="3">
        <f>--21.9</f>
        <v>21.9</v>
      </c>
      <c r="U35" s="3"/>
      <c r="V35" s="22"/>
      <c r="W35" s="3"/>
      <c r="X35" s="3">
        <f t="shared" si="2"/>
        <v>25.950000000000003</v>
      </c>
      <c r="Y35" s="3"/>
      <c r="Z35" s="22">
        <f t="shared" si="3"/>
        <v>1.1849315068493154</v>
      </c>
    </row>
    <row r="36" spans="1:26" s="24" customFormat="1" hidden="1" outlineLevel="1" x14ac:dyDescent="0.25">
      <c r="A36" s="50"/>
      <c r="B36" s="11" t="str">
        <f>CONCATENATE("          ", "4145", " - ", "NON-TAXABLE SALES-SPECIAL ORDE")</f>
        <v xml:space="preserve">          4145 - NON-TAXABLE SALES-SPECIAL ORDE</v>
      </c>
      <c r="C36" s="11"/>
      <c r="D36" s="3">
        <f>--35489</f>
        <v>35489</v>
      </c>
      <c r="E36" s="3"/>
      <c r="F36" s="22"/>
      <c r="G36" s="3"/>
      <c r="H36" s="3">
        <f t="shared" ref="H36:H38" si="8">0</f>
        <v>0</v>
      </c>
      <c r="I36" s="3"/>
      <c r="J36" s="22"/>
      <c r="K36" s="3"/>
      <c r="L36" s="3">
        <f t="shared" si="0"/>
        <v>35489</v>
      </c>
      <c r="M36" s="3"/>
      <c r="N36" s="22">
        <f t="shared" si="1"/>
        <v>0</v>
      </c>
      <c r="O36" s="11"/>
      <c r="P36" s="3">
        <f>--35489</f>
        <v>35489</v>
      </c>
      <c r="Q36" s="3"/>
      <c r="R36" s="22"/>
      <c r="S36" s="3"/>
      <c r="T36" s="3">
        <f t="shared" ref="T36:T38" si="9">0</f>
        <v>0</v>
      </c>
      <c r="U36" s="3"/>
      <c r="V36" s="22"/>
      <c r="W36" s="3"/>
      <c r="X36" s="3">
        <f t="shared" si="2"/>
        <v>35489</v>
      </c>
      <c r="Y36" s="3"/>
      <c r="Z36" s="22">
        <f t="shared" si="3"/>
        <v>0</v>
      </c>
    </row>
    <row r="37" spans="1:26" s="24" customFormat="1" hidden="1" outlineLevel="1" x14ac:dyDescent="0.25">
      <c r="A37" s="50"/>
      <c r="B37" s="11" t="str">
        <f>CONCATENATE("          ", "4226", " - ", "SALES RETURN TAXABLE-WRITING I")</f>
        <v xml:space="preserve">          4226 - SALES RETURN TAXABLE-WRITING I</v>
      </c>
      <c r="C37" s="11"/>
      <c r="D37" s="3">
        <f>-6.38</f>
        <v>-6.38</v>
      </c>
      <c r="E37" s="3"/>
      <c r="F37" s="22"/>
      <c r="G37" s="3"/>
      <c r="H37" s="3">
        <f t="shared" si="8"/>
        <v>0</v>
      </c>
      <c r="I37" s="3"/>
      <c r="J37" s="22"/>
      <c r="K37" s="3"/>
      <c r="L37" s="3">
        <f t="shared" si="0"/>
        <v>-6.38</v>
      </c>
      <c r="M37" s="3"/>
      <c r="N37" s="22">
        <f t="shared" si="1"/>
        <v>0</v>
      </c>
      <c r="O37" s="11"/>
      <c r="P37" s="3">
        <f>-6.38</f>
        <v>-6.38</v>
      </c>
      <c r="Q37" s="3"/>
      <c r="R37" s="22"/>
      <c r="S37" s="3"/>
      <c r="T37" s="3">
        <f t="shared" si="9"/>
        <v>0</v>
      </c>
      <c r="U37" s="3"/>
      <c r="V37" s="22"/>
      <c r="W37" s="3"/>
      <c r="X37" s="3">
        <f t="shared" si="2"/>
        <v>-6.38</v>
      </c>
      <c r="Y37" s="3"/>
      <c r="Z37" s="22">
        <f t="shared" si="3"/>
        <v>0</v>
      </c>
    </row>
    <row r="38" spans="1:26" s="24" customFormat="1" hidden="1" outlineLevel="1" x14ac:dyDescent="0.25">
      <c r="A38" s="50"/>
      <c r="B38" s="11" t="str">
        <f>CONCATENATE("          ", "4227", " - ", "SALES RETURN TAXABLE-SCHOOL SU")</f>
        <v xml:space="preserve">          4227 - SALES RETURN TAXABLE-SCHOOL SU</v>
      </c>
      <c r="C38" s="11"/>
      <c r="D38" s="3">
        <f>-26.77</f>
        <v>-26.77</v>
      </c>
      <c r="E38" s="3"/>
      <c r="F38" s="22"/>
      <c r="G38" s="3"/>
      <c r="H38" s="3">
        <f t="shared" si="8"/>
        <v>0</v>
      </c>
      <c r="I38" s="3"/>
      <c r="J38" s="22"/>
      <c r="K38" s="3"/>
      <c r="L38" s="3">
        <f t="shared" si="0"/>
        <v>-26.77</v>
      </c>
      <c r="M38" s="3"/>
      <c r="N38" s="22">
        <f t="shared" si="1"/>
        <v>0</v>
      </c>
      <c r="O38" s="11"/>
      <c r="P38" s="3">
        <f>-26.77</f>
        <v>-26.77</v>
      </c>
      <c r="Q38" s="3"/>
      <c r="R38" s="22"/>
      <c r="S38" s="3"/>
      <c r="T38" s="3">
        <f t="shared" si="9"/>
        <v>0</v>
      </c>
      <c r="U38" s="3"/>
      <c r="V38" s="22"/>
      <c r="W38" s="3"/>
      <c r="X38" s="3">
        <f t="shared" si="2"/>
        <v>-26.77</v>
      </c>
      <c r="Y38" s="3"/>
      <c r="Z38" s="22">
        <f t="shared" si="3"/>
        <v>0</v>
      </c>
    </row>
    <row r="39" spans="1:26" s="24" customFormat="1" hidden="1" outlineLevel="1" x14ac:dyDescent="0.25">
      <c r="A39" s="50"/>
      <c r="B39" s="11" t="str">
        <f>CONCATENATE("          ", "4240", " - ", "SALES RETURN TAXABLE-LOGO CLOT")</f>
        <v xml:space="preserve">          4240 - SALES RETURN TAXABLE-LOGO CLOT</v>
      </c>
      <c r="C39" s="11"/>
      <c r="D39" s="3">
        <f>-2618.45</f>
        <v>-2618.4499999999998</v>
      </c>
      <c r="E39" s="3"/>
      <c r="F39" s="22"/>
      <c r="G39" s="3"/>
      <c r="H39" s="3">
        <f>-3088.89</f>
        <v>-3088.89</v>
      </c>
      <c r="I39" s="3"/>
      <c r="J39" s="22"/>
      <c r="K39" s="3"/>
      <c r="L39" s="3">
        <f t="shared" si="0"/>
        <v>470.44000000000005</v>
      </c>
      <c r="M39" s="3"/>
      <c r="N39" s="22">
        <f t="shared" si="1"/>
        <v>-0.15230066464004871</v>
      </c>
      <c r="O39" s="11"/>
      <c r="P39" s="3">
        <f>-2618.45</f>
        <v>-2618.4499999999998</v>
      </c>
      <c r="Q39" s="3"/>
      <c r="R39" s="22"/>
      <c r="S39" s="3"/>
      <c r="T39" s="3">
        <f>-3088.89</f>
        <v>-3088.89</v>
      </c>
      <c r="U39" s="3"/>
      <c r="V39" s="22"/>
      <c r="W39" s="3"/>
      <c r="X39" s="3">
        <f t="shared" si="2"/>
        <v>470.44000000000005</v>
      </c>
      <c r="Y39" s="3"/>
      <c r="Z39" s="22">
        <f t="shared" si="3"/>
        <v>-0.15230066464004871</v>
      </c>
    </row>
    <row r="40" spans="1:26" s="24" customFormat="1" hidden="1" outlineLevel="1" x14ac:dyDescent="0.25">
      <c r="A40" s="50"/>
      <c r="B40" s="11" t="str">
        <f>CONCATENATE("          ", "4241", " - ", "SALES RETURN TAXABLE-LOGO GIFT")</f>
        <v xml:space="preserve">          4241 - SALES RETURN TAXABLE-LOGO GIFT</v>
      </c>
      <c r="C40" s="11"/>
      <c r="D40" s="3">
        <f>-308.13</f>
        <v>-308.13</v>
      </c>
      <c r="E40" s="3"/>
      <c r="F40" s="22"/>
      <c r="G40" s="3"/>
      <c r="H40" s="3">
        <f>-541.69</f>
        <v>-541.69000000000005</v>
      </c>
      <c r="I40" s="3"/>
      <c r="J40" s="22"/>
      <c r="K40" s="3"/>
      <c r="L40" s="3">
        <f t="shared" si="0"/>
        <v>233.56000000000006</v>
      </c>
      <c r="M40" s="3"/>
      <c r="N40" s="22">
        <f t="shared" si="1"/>
        <v>-0.43116911886872572</v>
      </c>
      <c r="O40" s="11"/>
      <c r="P40" s="3">
        <f>-308.13</f>
        <v>-308.13</v>
      </c>
      <c r="Q40" s="3"/>
      <c r="R40" s="22"/>
      <c r="S40" s="3"/>
      <c r="T40" s="3">
        <f>-541.69</f>
        <v>-541.69000000000005</v>
      </c>
      <c r="U40" s="3"/>
      <c r="V40" s="22"/>
      <c r="W40" s="3"/>
      <c r="X40" s="3">
        <f t="shared" si="2"/>
        <v>233.56000000000006</v>
      </c>
      <c r="Y40" s="3"/>
      <c r="Z40" s="22">
        <f t="shared" si="3"/>
        <v>-0.43116911886872572</v>
      </c>
    </row>
    <row r="41" spans="1:26" s="24" customFormat="1" hidden="1" outlineLevel="1" x14ac:dyDescent="0.25">
      <c r="A41" s="50"/>
      <c r="B41" s="11" t="str">
        <f>CONCATENATE("          ", "4242", " - ", "SALES RETURN TAXABLE-EVERYDAY")</f>
        <v xml:space="preserve">          4242 - SALES RETURN TAXABLE-EVERYDAY</v>
      </c>
      <c r="C41" s="11"/>
      <c r="D41" s="3">
        <f>-105.1</f>
        <v>-105.1</v>
      </c>
      <c r="E41" s="3"/>
      <c r="F41" s="22"/>
      <c r="G41" s="3"/>
      <c r="H41" s="3">
        <f>-314.83</f>
        <v>-314.83</v>
      </c>
      <c r="I41" s="3"/>
      <c r="J41" s="22"/>
      <c r="K41" s="3"/>
      <c r="L41" s="3">
        <f t="shared" si="0"/>
        <v>209.73</v>
      </c>
      <c r="M41" s="3"/>
      <c r="N41" s="22">
        <f t="shared" si="1"/>
        <v>-0.66616904361083762</v>
      </c>
      <c r="O41" s="11"/>
      <c r="P41" s="3">
        <f>-105.1</f>
        <v>-105.1</v>
      </c>
      <c r="Q41" s="3"/>
      <c r="R41" s="22"/>
      <c r="S41" s="3"/>
      <c r="T41" s="3">
        <f>-314.83</f>
        <v>-314.83</v>
      </c>
      <c r="U41" s="3"/>
      <c r="V41" s="22"/>
      <c r="W41" s="3"/>
      <c r="X41" s="3">
        <f t="shared" si="2"/>
        <v>209.73</v>
      </c>
      <c r="Y41" s="3"/>
      <c r="Z41" s="22">
        <f t="shared" si="3"/>
        <v>-0.66616904361083762</v>
      </c>
    </row>
    <row r="42" spans="1:26" s="24" customFormat="1" hidden="1" outlineLevel="1" x14ac:dyDescent="0.25">
      <c r="A42" s="50"/>
      <c r="B42" s="11" t="str">
        <f>CONCATENATE("          ", "4244", " - ", "SALES RETURN TAXABLE-ACCESSORI")</f>
        <v xml:space="preserve">          4244 - SALES RETURN TAXABLE-ACCESSORI</v>
      </c>
      <c r="C42" s="11"/>
      <c r="D42" s="3">
        <f>0</f>
        <v>0</v>
      </c>
      <c r="E42" s="3"/>
      <c r="F42" s="22"/>
      <c r="G42" s="3"/>
      <c r="H42" s="3">
        <f>-106.79</f>
        <v>-106.79</v>
      </c>
      <c r="I42" s="3"/>
      <c r="J42" s="22"/>
      <c r="K42" s="3"/>
      <c r="L42" s="3">
        <f t="shared" si="0"/>
        <v>106.79</v>
      </c>
      <c r="M42" s="3"/>
      <c r="N42" s="22">
        <f t="shared" si="1"/>
        <v>-1</v>
      </c>
      <c r="O42" s="11"/>
      <c r="P42" s="3">
        <f>0</f>
        <v>0</v>
      </c>
      <c r="Q42" s="3"/>
      <c r="R42" s="22"/>
      <c r="S42" s="3"/>
      <c r="T42" s="3">
        <f>-106.79</f>
        <v>-106.79</v>
      </c>
      <c r="U42" s="3"/>
      <c r="V42" s="22"/>
      <c r="W42" s="3"/>
      <c r="X42" s="3">
        <f t="shared" si="2"/>
        <v>106.79</v>
      </c>
      <c r="Y42" s="3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"4245", " - ", "SALES RETURN TAXABLE-SPECIAL O")</f>
        <v xml:space="preserve">          4245 - SALES RETURN TAXABLE-SPECIAL O</v>
      </c>
      <c r="C43" s="11"/>
      <c r="D43" s="3">
        <f>-1114</f>
        <v>-1114</v>
      </c>
      <c r="E43" s="3"/>
      <c r="F43" s="22"/>
      <c r="G43" s="3"/>
      <c r="H43" s="3">
        <f>0</f>
        <v>0</v>
      </c>
      <c r="I43" s="3"/>
      <c r="J43" s="22"/>
      <c r="K43" s="3"/>
      <c r="L43" s="3">
        <f t="shared" si="0"/>
        <v>-1114</v>
      </c>
      <c r="M43" s="3"/>
      <c r="N43" s="22">
        <f t="shared" si="1"/>
        <v>0</v>
      </c>
      <c r="O43" s="11"/>
      <c r="P43" s="3">
        <f>-1114</f>
        <v>-1114</v>
      </c>
      <c r="Q43" s="3"/>
      <c r="R43" s="22"/>
      <c r="S43" s="3"/>
      <c r="T43" s="3">
        <f>0</f>
        <v>0</v>
      </c>
      <c r="U43" s="3"/>
      <c r="V43" s="22"/>
      <c r="W43" s="3"/>
      <c r="X43" s="3">
        <f t="shared" si="2"/>
        <v>-1114</v>
      </c>
      <c r="Y43" s="3"/>
      <c r="Z43" s="22">
        <f t="shared" si="3"/>
        <v>0</v>
      </c>
    </row>
    <row r="44" spans="1:26" s="24" customFormat="1" hidden="1" outlineLevel="1" x14ac:dyDescent="0.25">
      <c r="A44" s="50"/>
      <c r="B44" s="11" t="str">
        <f>CONCATENATE("          ", "4340", " - ", "SALES RETURN NON TAXABLE-LOGO")</f>
        <v xml:space="preserve">          4340 - SALES RETURN NON TAXABLE-LOGO</v>
      </c>
      <c r="C44" s="11"/>
      <c r="D44" s="3">
        <f>-434.24</f>
        <v>-434.24</v>
      </c>
      <c r="E44" s="3"/>
      <c r="F44" s="22"/>
      <c r="G44" s="3"/>
      <c r="H44" s="3">
        <f>-223.55</f>
        <v>-223.55</v>
      </c>
      <c r="I44" s="3"/>
      <c r="J44" s="22"/>
      <c r="K44" s="3"/>
      <c r="L44" s="3">
        <f t="shared" si="0"/>
        <v>-210.69</v>
      </c>
      <c r="M44" s="3"/>
      <c r="N44" s="22">
        <f t="shared" si="1"/>
        <v>0.94247371952583314</v>
      </c>
      <c r="O44" s="11"/>
      <c r="P44" s="3">
        <f>-434.24</f>
        <v>-434.24</v>
      </c>
      <c r="Q44" s="3"/>
      <c r="R44" s="22"/>
      <c r="S44" s="3"/>
      <c r="T44" s="3">
        <f>-223.55</f>
        <v>-223.55</v>
      </c>
      <c r="U44" s="3"/>
      <c r="V44" s="22"/>
      <c r="W44" s="3"/>
      <c r="X44" s="3">
        <f t="shared" si="2"/>
        <v>-210.69</v>
      </c>
      <c r="Y44" s="3"/>
      <c r="Z44" s="22">
        <f t="shared" si="3"/>
        <v>0.94247371952583314</v>
      </c>
    </row>
    <row r="45" spans="1:26" s="24" customFormat="1" hidden="1" outlineLevel="1" x14ac:dyDescent="0.25">
      <c r="A45" s="50"/>
      <c r="B45" s="11" t="str">
        <f>CONCATENATE("          ", "4341", " - ", "SALES RETURN NON TAXABLE-LOGO")</f>
        <v xml:space="preserve">          4341 - SALES RETURN NON TAXABLE-LOGO</v>
      </c>
      <c r="C45" s="11"/>
      <c r="D45" s="3">
        <f>-16.95</f>
        <v>-16.95</v>
      </c>
      <c r="E45" s="3"/>
      <c r="F45" s="22"/>
      <c r="G45" s="3"/>
      <c r="H45" s="3">
        <f t="shared" ref="H45:H46" si="10">0</f>
        <v>0</v>
      </c>
      <c r="I45" s="3"/>
      <c r="J45" s="22"/>
      <c r="K45" s="3"/>
      <c r="L45" s="3">
        <f t="shared" si="0"/>
        <v>-16.95</v>
      </c>
      <c r="M45" s="3"/>
      <c r="N45" s="22">
        <f t="shared" si="1"/>
        <v>0</v>
      </c>
      <c r="O45" s="11"/>
      <c r="P45" s="3">
        <f>-16.95</f>
        <v>-16.95</v>
      </c>
      <c r="Q45" s="3"/>
      <c r="R45" s="22"/>
      <c r="S45" s="3"/>
      <c r="T45" s="3">
        <f t="shared" ref="T45:T46" si="11">0</f>
        <v>0</v>
      </c>
      <c r="U45" s="3"/>
      <c r="V45" s="22"/>
      <c r="W45" s="3"/>
      <c r="X45" s="3">
        <f t="shared" si="2"/>
        <v>-16.95</v>
      </c>
      <c r="Y45" s="3"/>
      <c r="Z45" s="22">
        <f t="shared" si="3"/>
        <v>0</v>
      </c>
    </row>
    <row r="46" spans="1:26" s="24" customFormat="1" hidden="1" outlineLevel="1" x14ac:dyDescent="0.25">
      <c r="A46" s="50"/>
      <c r="B46" s="11" t="str">
        <f>CONCATENATE("          ", "4342", " - ", "SALES RETURN NON TAXABLE-EVERY")</f>
        <v xml:space="preserve">          4342 - SALES RETURN NON TAXABLE-EVERY</v>
      </c>
      <c r="C46" s="11"/>
      <c r="D46" s="3">
        <f>-79.85</f>
        <v>-79.849999999999994</v>
      </c>
      <c r="E46" s="3"/>
      <c r="F46" s="22"/>
      <c r="G46" s="3"/>
      <c r="H46" s="3">
        <f t="shared" si="10"/>
        <v>0</v>
      </c>
      <c r="I46" s="3"/>
      <c r="J46" s="22"/>
      <c r="K46" s="3"/>
      <c r="L46" s="3">
        <f t="shared" si="0"/>
        <v>-79.849999999999994</v>
      </c>
      <c r="M46" s="3"/>
      <c r="N46" s="22">
        <f t="shared" si="1"/>
        <v>0</v>
      </c>
      <c r="O46" s="11"/>
      <c r="P46" s="3">
        <f>-79.85</f>
        <v>-79.849999999999994</v>
      </c>
      <c r="Q46" s="3"/>
      <c r="R46" s="22"/>
      <c r="S46" s="3"/>
      <c r="T46" s="3">
        <f t="shared" si="11"/>
        <v>0</v>
      </c>
      <c r="U46" s="3"/>
      <c r="V46" s="22"/>
      <c r="W46" s="3"/>
      <c r="X46" s="3">
        <f t="shared" si="2"/>
        <v>-79.849999999999994</v>
      </c>
      <c r="Y46" s="3"/>
      <c r="Z46" s="22">
        <f t="shared" si="3"/>
        <v>0</v>
      </c>
    </row>
    <row r="47" spans="1:26" x14ac:dyDescent="0.25">
      <c r="A47" s="9"/>
      <c r="B47" s="10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collapsed="1" x14ac:dyDescent="0.25">
      <c r="A48" s="10"/>
      <c r="B48" s="25" t="s">
        <v>8</v>
      </c>
      <c r="C48" s="10"/>
      <c r="D48" s="4">
        <f>SUM(OSRRefD16x_0)</f>
        <v>100169.94</v>
      </c>
      <c r="E48" s="4"/>
      <c r="F48" s="12">
        <f t="shared" ref="F48:F62" si="12">IF(D$12=0,0,D48/D$12)</f>
        <v>0.67727673332947957</v>
      </c>
      <c r="G48" s="4"/>
      <c r="H48" s="4">
        <f>SUM(OSRRefH16x_0)</f>
        <v>85846.780000000013</v>
      </c>
      <c r="I48" s="4"/>
      <c r="J48" s="12">
        <f t="shared" ref="J48:J62" si="13">IF(H$12=0,0,H48/H$12)</f>
        <v>0.47522324982302327</v>
      </c>
      <c r="K48" s="4"/>
      <c r="L48" s="4">
        <f t="shared" ref="L48:L62" si="14">+D48-H48</f>
        <v>14323.159999999989</v>
      </c>
      <c r="M48" s="4"/>
      <c r="N48" s="12">
        <f t="shared" ref="N48:N62" si="15">IF(H48=0,0,L48/H48)</f>
        <v>0.16684562892166702</v>
      </c>
      <c r="O48" s="10"/>
      <c r="P48" s="4">
        <f>SUM(OSRRefP16x_0)</f>
        <v>100169.94</v>
      </c>
      <c r="Q48" s="4"/>
      <c r="R48" s="12">
        <f t="shared" ref="R48:R62" si="16">IF(P$12=0,0,P48/P$12)</f>
        <v>0.67727673332947957</v>
      </c>
      <c r="S48" s="4"/>
      <c r="T48" s="4">
        <f>SUM(OSRRefT16x_0)</f>
        <v>85846.780000000013</v>
      </c>
      <c r="U48" s="4"/>
      <c r="V48" s="12">
        <f t="shared" ref="V48:V62" si="17">IF(T$12=0,0,T48/T$12)</f>
        <v>0.47522324982302327</v>
      </c>
      <c r="W48" s="4"/>
      <c r="X48" s="4">
        <f t="shared" ref="X48:X62" si="18">+P48-T48</f>
        <v>14323.159999999989</v>
      </c>
      <c r="Y48" s="4"/>
      <c r="Z48" s="12">
        <f t="shared" ref="Z48:Z62" si="19">IF(T48=0,0,X48/T48)</f>
        <v>0.16684562892166702</v>
      </c>
    </row>
    <row r="49" spans="1:26" s="24" customFormat="1" hidden="1" outlineLevel="1" x14ac:dyDescent="0.25">
      <c r="A49" s="50"/>
      <c r="B49" s="11" t="str">
        <f>CONCATENATE("          ", "5027", " - ", "PURCHASES @ COST-SCHOOL SUPPLI")</f>
        <v xml:space="preserve">          5027 - PURCHASES @ COST-SCHOOL SUPPLI</v>
      </c>
      <c r="C49" s="11"/>
      <c r="D49" s="3">
        <v>8503.4</v>
      </c>
      <c r="E49" s="3"/>
      <c r="F49" s="22">
        <f t="shared" si="12"/>
        <v>5.749384470225196E-2</v>
      </c>
      <c r="G49" s="3"/>
      <c r="H49" s="3"/>
      <c r="I49" s="3"/>
      <c r="J49" s="22">
        <f t="shared" si="13"/>
        <v>0</v>
      </c>
      <c r="K49" s="3"/>
      <c r="L49" s="3">
        <f t="shared" si="14"/>
        <v>8503.4</v>
      </c>
      <c r="M49" s="3"/>
      <c r="N49" s="22">
        <f t="shared" si="15"/>
        <v>0</v>
      </c>
      <c r="O49" s="11"/>
      <c r="P49" s="3">
        <v>8503.4</v>
      </c>
      <c r="Q49" s="3"/>
      <c r="R49" s="22">
        <f t="shared" si="16"/>
        <v>5.749384470225196E-2</v>
      </c>
      <c r="S49" s="3"/>
      <c r="T49" s="3"/>
      <c r="U49" s="3"/>
      <c r="V49" s="22">
        <f t="shared" si="17"/>
        <v>0</v>
      </c>
      <c r="W49" s="3"/>
      <c r="X49" s="3">
        <f t="shared" si="18"/>
        <v>8503.4</v>
      </c>
      <c r="Y49" s="3"/>
      <c r="Z49" s="22">
        <f t="shared" si="19"/>
        <v>0</v>
      </c>
    </row>
    <row r="50" spans="1:26" s="24" customFormat="1" hidden="1" outlineLevel="1" x14ac:dyDescent="0.25">
      <c r="A50" s="50"/>
      <c r="B50" s="11" t="str">
        <f>CONCATENATE("          ", "5040", " - ", "PURCHASES @ COST-LOGO CLOTHING")</f>
        <v xml:space="preserve">          5040 - PURCHASES @ COST-LOGO CLOTHING</v>
      </c>
      <c r="C50" s="11"/>
      <c r="D50" s="3">
        <v>1723.07</v>
      </c>
      <c r="E50" s="3"/>
      <c r="F50" s="22">
        <f t="shared" si="12"/>
        <v>1.1650153937379082E-2</v>
      </c>
      <c r="G50" s="3"/>
      <c r="H50" s="3">
        <v>54136.990000000005</v>
      </c>
      <c r="I50" s="3"/>
      <c r="J50" s="22">
        <f t="shared" si="13"/>
        <v>0.29968691106919226</v>
      </c>
      <c r="K50" s="3"/>
      <c r="L50" s="3">
        <f t="shared" si="14"/>
        <v>-52413.920000000006</v>
      </c>
      <c r="M50" s="3"/>
      <c r="N50" s="22">
        <f t="shared" si="15"/>
        <v>-0.96817203911780103</v>
      </c>
      <c r="O50" s="11"/>
      <c r="P50" s="3">
        <v>1723.07</v>
      </c>
      <c r="Q50" s="3"/>
      <c r="R50" s="22">
        <f t="shared" si="16"/>
        <v>1.1650153937379082E-2</v>
      </c>
      <c r="S50" s="3"/>
      <c r="T50" s="3">
        <v>54136.990000000005</v>
      </c>
      <c r="U50" s="3"/>
      <c r="V50" s="22">
        <f t="shared" si="17"/>
        <v>0.29968691106919226</v>
      </c>
      <c r="W50" s="3"/>
      <c r="X50" s="3">
        <f t="shared" si="18"/>
        <v>-52413.920000000006</v>
      </c>
      <c r="Y50" s="3"/>
      <c r="Z50" s="22">
        <f t="shared" si="19"/>
        <v>-0.96817203911780103</v>
      </c>
    </row>
    <row r="51" spans="1:26" s="24" customFormat="1" hidden="1" outlineLevel="1" x14ac:dyDescent="0.25">
      <c r="A51" s="50"/>
      <c r="B51" s="11" t="str">
        <f>CONCATENATE("          ", "5041", " - ", "PURCHASES @ COST-LOGO GIFTS")</f>
        <v xml:space="preserve">          5041 - PURCHASES @ COST-LOGO GIFTS</v>
      </c>
      <c r="C51" s="11"/>
      <c r="D51" s="3">
        <v>-713.75</v>
      </c>
      <c r="E51" s="3"/>
      <c r="F51" s="22">
        <f t="shared" si="12"/>
        <v>-4.825861614910781E-3</v>
      </c>
      <c r="G51" s="3"/>
      <c r="H51" s="3">
        <v>6767.51</v>
      </c>
      <c r="I51" s="3"/>
      <c r="J51" s="22">
        <f t="shared" si="13"/>
        <v>3.7463002053307159E-2</v>
      </c>
      <c r="K51" s="3"/>
      <c r="L51" s="3">
        <f t="shared" si="14"/>
        <v>-7481.26</v>
      </c>
      <c r="M51" s="3"/>
      <c r="N51" s="22">
        <f t="shared" si="15"/>
        <v>-1.1054671511383065</v>
      </c>
      <c r="O51" s="11"/>
      <c r="P51" s="3">
        <v>-713.75</v>
      </c>
      <c r="Q51" s="3"/>
      <c r="R51" s="22">
        <f t="shared" si="16"/>
        <v>-4.825861614910781E-3</v>
      </c>
      <c r="S51" s="3"/>
      <c r="T51" s="3">
        <v>6767.51</v>
      </c>
      <c r="U51" s="3"/>
      <c r="V51" s="22">
        <f t="shared" si="17"/>
        <v>3.7463002053307159E-2</v>
      </c>
      <c r="W51" s="3"/>
      <c r="X51" s="3">
        <f t="shared" si="18"/>
        <v>-7481.26</v>
      </c>
      <c r="Y51" s="3"/>
      <c r="Z51" s="22">
        <f t="shared" si="19"/>
        <v>-1.1054671511383065</v>
      </c>
    </row>
    <row r="52" spans="1:26" s="24" customFormat="1" hidden="1" outlineLevel="1" x14ac:dyDescent="0.25">
      <c r="A52" s="50"/>
      <c r="B52" s="11" t="str">
        <f>CONCATENATE("          ", "5042", " - ", "PURCHASES @ COST-EVERYDAY GIFT")</f>
        <v xml:space="preserve">          5042 - PURCHASES @ COST-EVERYDAY GIFT</v>
      </c>
      <c r="C52" s="11"/>
      <c r="D52" s="3">
        <v>236.16</v>
      </c>
      <c r="E52" s="3"/>
      <c r="F52" s="22">
        <f t="shared" si="12"/>
        <v>1.5967432279892541E-3</v>
      </c>
      <c r="G52" s="3"/>
      <c r="H52" s="3">
        <v>5133.04</v>
      </c>
      <c r="I52" s="3"/>
      <c r="J52" s="22">
        <f t="shared" si="13"/>
        <v>2.8415043060107451E-2</v>
      </c>
      <c r="K52" s="3"/>
      <c r="L52" s="3">
        <f t="shared" si="14"/>
        <v>-4896.88</v>
      </c>
      <c r="M52" s="3"/>
      <c r="N52" s="22">
        <f t="shared" si="15"/>
        <v>-0.95399217617630105</v>
      </c>
      <c r="O52" s="11"/>
      <c r="P52" s="3">
        <v>236.16</v>
      </c>
      <c r="Q52" s="3"/>
      <c r="R52" s="22">
        <f t="shared" si="16"/>
        <v>1.5967432279892541E-3</v>
      </c>
      <c r="S52" s="3"/>
      <c r="T52" s="3">
        <v>5133.04</v>
      </c>
      <c r="U52" s="3"/>
      <c r="V52" s="22">
        <f t="shared" si="17"/>
        <v>2.8415043060107451E-2</v>
      </c>
      <c r="W52" s="3"/>
      <c r="X52" s="3">
        <f t="shared" si="18"/>
        <v>-4896.88</v>
      </c>
      <c r="Y52" s="3"/>
      <c r="Z52" s="22">
        <f t="shared" si="19"/>
        <v>-0.95399217617630105</v>
      </c>
    </row>
    <row r="53" spans="1:26" s="24" customFormat="1" hidden="1" outlineLevel="1" x14ac:dyDescent="0.25">
      <c r="A53" s="50"/>
      <c r="B53" s="11" t="str">
        <f>CONCATENATE("          ", "5043", " - ", "PURCHASES @ COST-CARDS")</f>
        <v xml:space="preserve">          5043 - PURCHASES @ COST-CARDS</v>
      </c>
      <c r="C53" s="11"/>
      <c r="D53" s="3">
        <v>308.7</v>
      </c>
      <c r="E53" s="3"/>
      <c r="F53" s="22">
        <f t="shared" si="12"/>
        <v>2.0872062774402217E-3</v>
      </c>
      <c r="G53" s="3"/>
      <c r="H53" s="3">
        <v>498.26</v>
      </c>
      <c r="I53" s="3"/>
      <c r="J53" s="22">
        <f t="shared" si="13"/>
        <v>2.7582250197016071E-3</v>
      </c>
      <c r="K53" s="3"/>
      <c r="L53" s="3">
        <f t="shared" si="14"/>
        <v>-189.56</v>
      </c>
      <c r="M53" s="3"/>
      <c r="N53" s="22">
        <f t="shared" si="15"/>
        <v>-0.38044394492835065</v>
      </c>
      <c r="O53" s="11"/>
      <c r="P53" s="3">
        <v>308.7</v>
      </c>
      <c r="Q53" s="3"/>
      <c r="R53" s="22">
        <f t="shared" si="16"/>
        <v>2.0872062774402217E-3</v>
      </c>
      <c r="S53" s="3"/>
      <c r="T53" s="3">
        <v>498.26</v>
      </c>
      <c r="U53" s="3"/>
      <c r="V53" s="22">
        <f t="shared" si="17"/>
        <v>2.7582250197016071E-3</v>
      </c>
      <c r="W53" s="3"/>
      <c r="X53" s="3">
        <f t="shared" si="18"/>
        <v>-189.56</v>
      </c>
      <c r="Y53" s="3"/>
      <c r="Z53" s="22">
        <f t="shared" si="19"/>
        <v>-0.38044394492835065</v>
      </c>
    </row>
    <row r="54" spans="1:26" s="24" customFormat="1" hidden="1" outlineLevel="1" x14ac:dyDescent="0.25">
      <c r="A54" s="50"/>
      <c r="B54" s="11" t="str">
        <f>CONCATENATE("          ", "5044", " - ", "PURCHASES @ COST-ACCESSORIES")</f>
        <v xml:space="preserve">          5044 - PURCHASES @ COST-ACCESSORIES</v>
      </c>
      <c r="C54" s="11"/>
      <c r="D54" s="3"/>
      <c r="E54" s="3"/>
      <c r="F54" s="22">
        <f t="shared" si="12"/>
        <v>0</v>
      </c>
      <c r="G54" s="3"/>
      <c r="H54" s="3">
        <v>4504.8900000000003</v>
      </c>
      <c r="I54" s="3"/>
      <c r="J54" s="22">
        <f t="shared" si="13"/>
        <v>2.493778410669846E-2</v>
      </c>
      <c r="K54" s="3"/>
      <c r="L54" s="3">
        <f t="shared" si="14"/>
        <v>-4504.8900000000003</v>
      </c>
      <c r="M54" s="3"/>
      <c r="N54" s="22">
        <f t="shared" si="15"/>
        <v>-1</v>
      </c>
      <c r="O54" s="11"/>
      <c r="P54" s="3"/>
      <c r="Q54" s="3"/>
      <c r="R54" s="22">
        <f t="shared" si="16"/>
        <v>0</v>
      </c>
      <c r="S54" s="3"/>
      <c r="T54" s="3">
        <v>4504.8900000000003</v>
      </c>
      <c r="U54" s="3"/>
      <c r="V54" s="22">
        <f t="shared" si="17"/>
        <v>2.493778410669846E-2</v>
      </c>
      <c r="W54" s="3"/>
      <c r="X54" s="3">
        <f t="shared" si="18"/>
        <v>-4504.8900000000003</v>
      </c>
      <c r="Y54" s="3"/>
      <c r="Z54" s="22">
        <f t="shared" si="19"/>
        <v>-1</v>
      </c>
    </row>
    <row r="55" spans="1:26" s="24" customFormat="1" hidden="1" outlineLevel="1" x14ac:dyDescent="0.25">
      <c r="A55" s="50"/>
      <c r="B55" s="11" t="str">
        <f>CONCATENATE("          ", "5045", " - ", "PURCHASES @ COST-SPECIAL ORDER")</f>
        <v xml:space="preserve">          5045 - PURCHASES @ COST-SPECIAL ORDER</v>
      </c>
      <c r="C55" s="11"/>
      <c r="D55" s="3">
        <v>2756.21</v>
      </c>
      <c r="E55" s="3"/>
      <c r="F55" s="22">
        <f t="shared" si="12"/>
        <v>1.8635499883198941E-2</v>
      </c>
      <c r="G55" s="3"/>
      <c r="H55" s="3">
        <v>15947.849999999999</v>
      </c>
      <c r="I55" s="3"/>
      <c r="J55" s="22">
        <f t="shared" si="13"/>
        <v>8.8282741702019579E-2</v>
      </c>
      <c r="K55" s="3"/>
      <c r="L55" s="3">
        <f t="shared" si="14"/>
        <v>-13191.64</v>
      </c>
      <c r="M55" s="3"/>
      <c r="N55" s="22">
        <f t="shared" si="15"/>
        <v>-0.82717356885097371</v>
      </c>
      <c r="O55" s="11"/>
      <c r="P55" s="3">
        <v>2756.21</v>
      </c>
      <c r="Q55" s="3"/>
      <c r="R55" s="22">
        <f t="shared" si="16"/>
        <v>1.8635499883198941E-2</v>
      </c>
      <c r="S55" s="3"/>
      <c r="T55" s="3">
        <v>15947.849999999999</v>
      </c>
      <c r="U55" s="3"/>
      <c r="V55" s="22">
        <f t="shared" si="17"/>
        <v>8.8282741702019579E-2</v>
      </c>
      <c r="W55" s="3"/>
      <c r="X55" s="3">
        <f t="shared" si="18"/>
        <v>-13191.64</v>
      </c>
      <c r="Y55" s="3"/>
      <c r="Z55" s="22">
        <f t="shared" si="19"/>
        <v>-0.82717356885097371</v>
      </c>
    </row>
    <row r="56" spans="1:26" s="24" customFormat="1" hidden="1" outlineLevel="1" x14ac:dyDescent="0.25">
      <c r="A56" s="50"/>
      <c r="B56" s="11" t="str">
        <f>CONCATENATE("          ", "5200", " - ", "PURCHASES OFFSET")</f>
        <v xml:space="preserve">          5200 - PURCHASES OFFSET</v>
      </c>
      <c r="C56" s="11"/>
      <c r="D56" s="3">
        <v>-13113.6</v>
      </c>
      <c r="E56" s="3"/>
      <c r="F56" s="22">
        <f t="shared" si="12"/>
        <v>-8.8664684936313867E-2</v>
      </c>
      <c r="G56" s="3"/>
      <c r="H56" s="3">
        <v>-87972</v>
      </c>
      <c r="I56" s="3"/>
      <c r="J56" s="22">
        <f t="shared" si="13"/>
        <v>-0.48698786062134186</v>
      </c>
      <c r="K56" s="3"/>
      <c r="L56" s="3">
        <f t="shared" si="14"/>
        <v>74858.399999999994</v>
      </c>
      <c r="M56" s="3"/>
      <c r="N56" s="22">
        <f t="shared" si="15"/>
        <v>-0.85093438821443179</v>
      </c>
      <c r="O56" s="11"/>
      <c r="P56" s="3">
        <v>-13113.6</v>
      </c>
      <c r="Q56" s="3"/>
      <c r="R56" s="22">
        <f t="shared" si="16"/>
        <v>-8.8664684936313867E-2</v>
      </c>
      <c r="S56" s="3"/>
      <c r="T56" s="3">
        <v>-87972</v>
      </c>
      <c r="U56" s="3"/>
      <c r="V56" s="22">
        <f t="shared" si="17"/>
        <v>-0.48698786062134186</v>
      </c>
      <c r="W56" s="3"/>
      <c r="X56" s="3">
        <f t="shared" si="18"/>
        <v>74858.399999999994</v>
      </c>
      <c r="Y56" s="3"/>
      <c r="Z56" s="22">
        <f t="shared" si="19"/>
        <v>-0.85093438821443179</v>
      </c>
    </row>
    <row r="57" spans="1:26" s="24" customFormat="1" hidden="1" outlineLevel="1" x14ac:dyDescent="0.25">
      <c r="A57" s="50"/>
      <c r="B57" s="11" t="str">
        <f>CONCATENATE("          ", "5300", " - ", "COG$ OFFSET")</f>
        <v xml:space="preserve">          5300 - COG$ OFFSET</v>
      </c>
      <c r="C57" s="11"/>
      <c r="D57" s="3">
        <v>99170</v>
      </c>
      <c r="E57" s="3"/>
      <c r="F57" s="22">
        <f t="shared" si="12"/>
        <v>0.67051586178732359</v>
      </c>
      <c r="G57" s="3"/>
      <c r="H57" s="3">
        <v>85847</v>
      </c>
      <c r="I57" s="3"/>
      <c r="J57" s="22">
        <f t="shared" si="13"/>
        <v>0.47522446768017473</v>
      </c>
      <c r="K57" s="3"/>
      <c r="L57" s="3">
        <f t="shared" si="14"/>
        <v>13323</v>
      </c>
      <c r="M57" s="3"/>
      <c r="N57" s="22">
        <f t="shared" si="15"/>
        <v>0.15519470686220835</v>
      </c>
      <c r="O57" s="11"/>
      <c r="P57" s="3">
        <v>99170</v>
      </c>
      <c r="Q57" s="3"/>
      <c r="R57" s="22">
        <f t="shared" si="16"/>
        <v>0.67051586178732359</v>
      </c>
      <c r="S57" s="3"/>
      <c r="T57" s="3">
        <v>85847</v>
      </c>
      <c r="U57" s="3"/>
      <c r="V57" s="22">
        <f t="shared" si="17"/>
        <v>0.47522446768017473</v>
      </c>
      <c r="W57" s="3"/>
      <c r="X57" s="3">
        <f t="shared" si="18"/>
        <v>13323</v>
      </c>
      <c r="Y57" s="3"/>
      <c r="Z57" s="22">
        <f t="shared" si="19"/>
        <v>0.15519470686220835</v>
      </c>
    </row>
    <row r="58" spans="1:26" s="24" customFormat="1" hidden="1" outlineLevel="1" x14ac:dyDescent="0.25">
      <c r="A58" s="50"/>
      <c r="B58" s="11" t="str">
        <f>CONCATENATE("          ", "5540", " - ", "FREIGHT-IN-LOGO CLOTHING")</f>
        <v xml:space="preserve">          5540 - FREIGHT-IN-LOGO CLOTHING</v>
      </c>
      <c r="C58" s="11"/>
      <c r="D58" s="3">
        <v>909.83</v>
      </c>
      <c r="E58" s="3"/>
      <c r="F58" s="22">
        <f t="shared" si="12"/>
        <v>6.151612851970965E-3</v>
      </c>
      <c r="G58" s="3"/>
      <c r="H58" s="3">
        <v>395.22</v>
      </c>
      <c r="I58" s="3"/>
      <c r="J58" s="22">
        <f t="shared" si="13"/>
        <v>2.1878250156273215E-3</v>
      </c>
      <c r="K58" s="3"/>
      <c r="L58" s="3">
        <f t="shared" si="14"/>
        <v>514.61</v>
      </c>
      <c r="M58" s="3"/>
      <c r="N58" s="22">
        <f t="shared" si="15"/>
        <v>1.3020849147310358</v>
      </c>
      <c r="O58" s="11"/>
      <c r="P58" s="3">
        <v>909.83</v>
      </c>
      <c r="Q58" s="3"/>
      <c r="R58" s="22">
        <f t="shared" si="16"/>
        <v>6.151612851970965E-3</v>
      </c>
      <c r="S58" s="3"/>
      <c r="T58" s="3">
        <v>395.22</v>
      </c>
      <c r="U58" s="3"/>
      <c r="V58" s="22">
        <f t="shared" si="17"/>
        <v>2.1878250156273215E-3</v>
      </c>
      <c r="W58" s="3"/>
      <c r="X58" s="3">
        <f t="shared" si="18"/>
        <v>514.61</v>
      </c>
      <c r="Y58" s="3"/>
      <c r="Z58" s="22">
        <f t="shared" si="19"/>
        <v>1.3020849147310358</v>
      </c>
    </row>
    <row r="59" spans="1:26" s="24" customFormat="1" hidden="1" outlineLevel="1" x14ac:dyDescent="0.25">
      <c r="A59" s="50"/>
      <c r="B59" s="11" t="str">
        <f>CONCATENATE("          ", "5541", " - ", "FREIGHT-IN-LOGO GIFTS")</f>
        <v xml:space="preserve">          5541 - FREIGHT-IN-LOGO GIFTS</v>
      </c>
      <c r="C59" s="11"/>
      <c r="D59" s="3">
        <v>83.58</v>
      </c>
      <c r="E59" s="3"/>
      <c r="F59" s="22">
        <f t="shared" si="12"/>
        <v>5.6510754994640007E-4</v>
      </c>
      <c r="G59" s="3"/>
      <c r="H59" s="3">
        <v>314.49</v>
      </c>
      <c r="I59" s="3"/>
      <c r="J59" s="22">
        <f t="shared" si="13"/>
        <v>1.7409267981494771E-3</v>
      </c>
      <c r="K59" s="3"/>
      <c r="L59" s="3">
        <f t="shared" si="14"/>
        <v>-230.91000000000003</v>
      </c>
      <c r="M59" s="3"/>
      <c r="N59" s="22">
        <f t="shared" si="15"/>
        <v>-0.73423638271487179</v>
      </c>
      <c r="O59" s="11"/>
      <c r="P59" s="3">
        <v>83.58</v>
      </c>
      <c r="Q59" s="3"/>
      <c r="R59" s="22">
        <f t="shared" si="16"/>
        <v>5.6510754994640007E-4</v>
      </c>
      <c r="S59" s="3"/>
      <c r="T59" s="3">
        <v>314.49</v>
      </c>
      <c r="U59" s="3"/>
      <c r="V59" s="22">
        <f t="shared" si="17"/>
        <v>1.7409267981494771E-3</v>
      </c>
      <c r="W59" s="3"/>
      <c r="X59" s="3">
        <f t="shared" si="18"/>
        <v>-230.91000000000003</v>
      </c>
      <c r="Y59" s="3"/>
      <c r="Z59" s="22">
        <f t="shared" si="19"/>
        <v>-0.73423638271487179</v>
      </c>
    </row>
    <row r="60" spans="1:26" s="24" customFormat="1" hidden="1" outlineLevel="1" x14ac:dyDescent="0.25">
      <c r="A60" s="50"/>
      <c r="B60" s="11" t="str">
        <f>CONCATENATE("          ", "5542", " - ", "FREIGHT-IN-EVERYDAY GIFTS")</f>
        <v xml:space="preserve">          5542 - FREIGHT-IN-EVERYDAY GIFTS</v>
      </c>
      <c r="C60" s="11"/>
      <c r="D60" s="3">
        <v>5.94</v>
      </c>
      <c r="E60" s="3"/>
      <c r="F60" s="22">
        <f t="shared" si="12"/>
        <v>4.0161986679607765E-5</v>
      </c>
      <c r="G60" s="3"/>
      <c r="H60" s="3">
        <v>29.72</v>
      </c>
      <c r="I60" s="3"/>
      <c r="J60" s="22">
        <f t="shared" si="13"/>
        <v>1.6452142974658163E-4</v>
      </c>
      <c r="K60" s="3"/>
      <c r="L60" s="3">
        <f t="shared" si="14"/>
        <v>-23.779999999999998</v>
      </c>
      <c r="M60" s="3"/>
      <c r="N60" s="22">
        <f t="shared" si="15"/>
        <v>-0.80013458950201877</v>
      </c>
      <c r="O60" s="11"/>
      <c r="P60" s="3">
        <v>5.94</v>
      </c>
      <c r="Q60" s="3"/>
      <c r="R60" s="22">
        <f t="shared" si="16"/>
        <v>4.0161986679607765E-5</v>
      </c>
      <c r="S60" s="3"/>
      <c r="T60" s="3">
        <v>29.72</v>
      </c>
      <c r="U60" s="3"/>
      <c r="V60" s="22">
        <f t="shared" si="17"/>
        <v>1.6452142974658163E-4</v>
      </c>
      <c r="W60" s="3"/>
      <c r="X60" s="3">
        <f t="shared" si="18"/>
        <v>-23.779999999999998</v>
      </c>
      <c r="Y60" s="3"/>
      <c r="Z60" s="22">
        <f t="shared" si="19"/>
        <v>-0.80013458950201877</v>
      </c>
    </row>
    <row r="61" spans="1:26" s="24" customFormat="1" hidden="1" outlineLevel="1" x14ac:dyDescent="0.25">
      <c r="A61" s="50"/>
      <c r="B61" s="11" t="str">
        <f>CONCATENATE("          ", "5544", " - ", "FREIGHT-IN-ACCESSORIES")</f>
        <v xml:space="preserve">          5544 - FREIGHT-IN-ACCESSORIES</v>
      </c>
      <c r="C61" s="11"/>
      <c r="D61" s="3"/>
      <c r="E61" s="3"/>
      <c r="F61" s="22">
        <f t="shared" si="12"/>
        <v>0</v>
      </c>
      <c r="G61" s="3"/>
      <c r="H61" s="3">
        <v>16.73</v>
      </c>
      <c r="I61" s="3"/>
      <c r="J61" s="22">
        <f t="shared" si="13"/>
        <v>9.2612500661517859E-5</v>
      </c>
      <c r="K61" s="3"/>
      <c r="L61" s="3">
        <f t="shared" si="14"/>
        <v>-16.73</v>
      </c>
      <c r="M61" s="3"/>
      <c r="N61" s="22">
        <f t="shared" si="15"/>
        <v>-1</v>
      </c>
      <c r="O61" s="11"/>
      <c r="P61" s="3"/>
      <c r="Q61" s="3"/>
      <c r="R61" s="22">
        <f t="shared" si="16"/>
        <v>0</v>
      </c>
      <c r="S61" s="3"/>
      <c r="T61" s="3">
        <v>16.73</v>
      </c>
      <c r="U61" s="3"/>
      <c r="V61" s="22">
        <f t="shared" si="17"/>
        <v>9.2612500661517859E-5</v>
      </c>
      <c r="W61" s="3"/>
      <c r="X61" s="3">
        <f t="shared" si="18"/>
        <v>-16.73</v>
      </c>
      <c r="Y61" s="3"/>
      <c r="Z61" s="22">
        <f t="shared" si="19"/>
        <v>-1</v>
      </c>
    </row>
    <row r="62" spans="1:26" s="24" customFormat="1" hidden="1" outlineLevel="1" x14ac:dyDescent="0.25">
      <c r="A62" s="50"/>
      <c r="B62" s="11" t="str">
        <f>CONCATENATE("          ", "5545", " - ", "FREIGHT-IN-SPECIAL ORDERS")</f>
        <v xml:space="preserve">          5545 - FREIGHT-IN-SPECIAL ORDERS</v>
      </c>
      <c r="C62" s="11"/>
      <c r="D62" s="3">
        <v>300.39999999999998</v>
      </c>
      <c r="E62" s="3"/>
      <c r="F62" s="22">
        <f t="shared" si="12"/>
        <v>2.0310876765242711E-3</v>
      </c>
      <c r="G62" s="3"/>
      <c r="H62" s="3">
        <v>227.08</v>
      </c>
      <c r="I62" s="3"/>
      <c r="J62" s="22">
        <f t="shared" si="13"/>
        <v>1.2570500089789287E-3</v>
      </c>
      <c r="K62" s="3"/>
      <c r="L62" s="3">
        <f t="shared" si="14"/>
        <v>73.319999999999965</v>
      </c>
      <c r="M62" s="3"/>
      <c r="N62" s="22">
        <f t="shared" si="15"/>
        <v>0.32288180376959646</v>
      </c>
      <c r="O62" s="11"/>
      <c r="P62" s="3">
        <v>300.39999999999998</v>
      </c>
      <c r="Q62" s="3"/>
      <c r="R62" s="22">
        <f t="shared" si="16"/>
        <v>2.0310876765242711E-3</v>
      </c>
      <c r="S62" s="3"/>
      <c r="T62" s="3">
        <v>227.08</v>
      </c>
      <c r="U62" s="3"/>
      <c r="V62" s="22">
        <f t="shared" si="17"/>
        <v>1.2570500089789287E-3</v>
      </c>
      <c r="W62" s="3"/>
      <c r="X62" s="3">
        <f t="shared" si="18"/>
        <v>73.319999999999965</v>
      </c>
      <c r="Y62" s="3"/>
      <c r="Z62" s="22">
        <f t="shared" si="19"/>
        <v>0.32288180376959646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x14ac:dyDescent="0.25">
      <c r="A64" s="10"/>
      <c r="B64" s="26" t="s">
        <v>6</v>
      </c>
      <c r="C64" s="26"/>
      <c r="D64" s="19">
        <f>D12-D48</f>
        <v>47731.109999999957</v>
      </c>
      <c r="E64" s="13"/>
      <c r="F64" s="20">
        <f>IF(D$12=0,0,D64/D$12)</f>
        <v>0.32272326667052037</v>
      </c>
      <c r="G64" s="13"/>
      <c r="H64" s="19">
        <f>H12-H48</f>
        <v>94798.37999999999</v>
      </c>
      <c r="I64" s="13"/>
      <c r="J64" s="20">
        <f>IF(H$12=0,0,H64/H$12)</f>
        <v>0.52477675017697667</v>
      </c>
      <c r="K64" s="16"/>
      <c r="L64" s="19">
        <f>+D64-H64</f>
        <v>-47067.270000000033</v>
      </c>
      <c r="M64" s="16"/>
      <c r="N64" s="20">
        <f>IF(H64=0,0,L64/H64)</f>
        <v>-0.4964986743444354</v>
      </c>
      <c r="O64" s="25"/>
      <c r="P64" s="19">
        <f>P12-P48</f>
        <v>47731.109999999957</v>
      </c>
      <c r="Q64" s="13"/>
      <c r="R64" s="20">
        <f>IF(P$12=0,0,P64/P$12)</f>
        <v>0.32272326667052037</v>
      </c>
      <c r="S64" s="13"/>
      <c r="T64" s="19">
        <f>T12-T48</f>
        <v>94798.37999999999</v>
      </c>
      <c r="U64" s="13"/>
      <c r="V64" s="20">
        <f>IF(T$12=0,0,T64/T$12)</f>
        <v>0.52477675017697667</v>
      </c>
      <c r="W64" s="16"/>
      <c r="X64" s="19">
        <f>+P64-T64</f>
        <v>-47067.270000000033</v>
      </c>
      <c r="Y64" s="16"/>
      <c r="Z64" s="20">
        <f>IF(T64=0,0,X64/T64)</f>
        <v>-0.4964986743444354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9</v>
      </c>
      <c r="C66" s="10"/>
      <c r="D66" s="21">
        <f>SUM(OSRRefD22x_0)</f>
        <v>39711.06</v>
      </c>
      <c r="E66" s="21"/>
      <c r="F66" s="34">
        <f t="shared" ref="F66:F75" si="20">IF(D$12=0,0,D66/D$12)</f>
        <v>0.26849748531197049</v>
      </c>
      <c r="G66" s="21"/>
      <c r="H66" s="21">
        <f>SUM(OSRRefH22x_0)</f>
        <v>56733.22</v>
      </c>
      <c r="I66" s="21"/>
      <c r="J66" s="34">
        <f t="shared" ref="J66:J75" si="21">IF(H$12=0,0,H66/H$12)</f>
        <v>0.31405889867184927</v>
      </c>
      <c r="K66" s="4"/>
      <c r="L66" s="21">
        <f t="shared" ref="L66:L75" si="22">+D66-H66</f>
        <v>-17022.160000000003</v>
      </c>
      <c r="M66" s="4"/>
      <c r="N66" s="34">
        <f t="shared" ref="N66:N75" si="23">IF(H66=0,0,L66/H66)</f>
        <v>-0.30003867222766489</v>
      </c>
      <c r="O66" s="10"/>
      <c r="P66" s="21">
        <f>SUM(OSRRefP22x_0)</f>
        <v>39711.06</v>
      </c>
      <c r="Q66" s="21"/>
      <c r="R66" s="34">
        <f t="shared" ref="R66:R75" si="24">IF(P$12=0,0,P66/P$12)</f>
        <v>0.26849748531197049</v>
      </c>
      <c r="S66" s="21"/>
      <c r="T66" s="21">
        <f>SUM(OSRRefT22x_0)</f>
        <v>56733.22</v>
      </c>
      <c r="U66" s="21"/>
      <c r="V66" s="34">
        <f t="shared" ref="V66:V75" si="25">IF(T$12=0,0,T66/T$12)</f>
        <v>0.31405889867184927</v>
      </c>
      <c r="W66" s="4"/>
      <c r="X66" s="21">
        <f t="shared" ref="X66:X75" si="26">+P66-T66</f>
        <v>-17022.160000000003</v>
      </c>
      <c r="Y66" s="4"/>
      <c r="Z66" s="34">
        <f t="shared" ref="Z66:Z75" si="27">IF(T66=0,0,X66/T66)</f>
        <v>-0.30003867222766489</v>
      </c>
    </row>
    <row r="67" spans="1:26" s="27" customFormat="1" outlineLevel="1" collapsed="1" x14ac:dyDescent="0.25">
      <c r="A67" s="28"/>
      <c r="B67" s="14" t="str">
        <f>CONCATENATE("     ","*Benefits                                         ")</f>
        <v xml:space="preserve">     *Benefits                                         </v>
      </c>
      <c r="C67" s="14"/>
      <c r="D67" s="1">
        <f>SUM(OSRRefD22_0x_0)</f>
        <v>8882.7100000000009</v>
      </c>
      <c r="E67" s="1"/>
      <c r="F67" s="5">
        <f t="shared" si="20"/>
        <v>6.0058464764110892E-2</v>
      </c>
      <c r="G67" s="1"/>
      <c r="H67" s="1">
        <f>SUM(OSRRefH22_0x_0)</f>
        <v>8618.5499999999993</v>
      </c>
      <c r="I67" s="1"/>
      <c r="J67" s="5">
        <f t="shared" si="21"/>
        <v>4.7709830697927356E-2</v>
      </c>
      <c r="K67" s="1"/>
      <c r="L67" s="1">
        <f t="shared" si="22"/>
        <v>264.16000000000167</v>
      </c>
      <c r="M67" s="1"/>
      <c r="N67" s="5">
        <f t="shared" si="23"/>
        <v>3.0650167371541814E-2</v>
      </c>
      <c r="O67" s="14"/>
      <c r="P67" s="1">
        <f>SUM(OSRRefP22_0x_0)</f>
        <v>8882.7100000000009</v>
      </c>
      <c r="Q67" s="1"/>
      <c r="R67" s="5">
        <f t="shared" si="24"/>
        <v>6.0058464764110892E-2</v>
      </c>
      <c r="S67" s="1"/>
      <c r="T67" s="1">
        <f>SUM(OSRRefT22_0x_0)</f>
        <v>8618.5499999999993</v>
      </c>
      <c r="U67" s="1"/>
      <c r="V67" s="5">
        <f t="shared" si="25"/>
        <v>4.7709830697927356E-2</v>
      </c>
      <c r="W67" s="1"/>
      <c r="X67" s="1">
        <f t="shared" si="26"/>
        <v>264.16000000000167</v>
      </c>
      <c r="Y67" s="1"/>
      <c r="Z67" s="5">
        <f t="shared" si="27"/>
        <v>3.0650167371541814E-2</v>
      </c>
    </row>
    <row r="68" spans="1:26" s="24" customFormat="1" hidden="1" outlineLevel="2" x14ac:dyDescent="0.25">
      <c r="A68" s="29"/>
      <c r="B68" s="11" t="str">
        <f>CONCATENATE("          ", "6111", " - ", "F.I.C.A.")</f>
        <v xml:space="preserve">          6111 - F.I.C.A.</v>
      </c>
      <c r="C68" s="11"/>
      <c r="D68" s="8">
        <v>1400.06</v>
      </c>
      <c r="E68" s="3"/>
      <c r="F68" s="7">
        <f t="shared" si="20"/>
        <v>9.4661937829379865E-3</v>
      </c>
      <c r="G68" s="3"/>
      <c r="H68" s="8">
        <v>1622.58</v>
      </c>
      <c r="I68" s="3"/>
      <c r="J68" s="7">
        <f t="shared" si="21"/>
        <v>8.9821393498724228E-3</v>
      </c>
      <c r="K68" s="3"/>
      <c r="L68" s="8">
        <f t="shared" si="22"/>
        <v>-222.51999999999998</v>
      </c>
      <c r="M68" s="3"/>
      <c r="N68" s="7">
        <f t="shared" si="23"/>
        <v>-0.13713961715292927</v>
      </c>
      <c r="O68" s="11"/>
      <c r="P68" s="8">
        <v>1400.06</v>
      </c>
      <c r="Q68" s="3"/>
      <c r="R68" s="7">
        <f t="shared" si="24"/>
        <v>9.4661937829379865E-3</v>
      </c>
      <c r="S68" s="3"/>
      <c r="T68" s="8">
        <v>1622.58</v>
      </c>
      <c r="U68" s="3"/>
      <c r="V68" s="7">
        <f t="shared" si="25"/>
        <v>8.9821393498724228E-3</v>
      </c>
      <c r="W68" s="3"/>
      <c r="X68" s="8">
        <f t="shared" si="26"/>
        <v>-222.51999999999998</v>
      </c>
      <c r="Y68" s="3"/>
      <c r="Z68" s="7">
        <f t="shared" si="27"/>
        <v>-0.13713961715292927</v>
      </c>
    </row>
    <row r="69" spans="1:26" s="24" customFormat="1" hidden="1" outlineLevel="2" x14ac:dyDescent="0.25">
      <c r="A69" s="29"/>
      <c r="B69" s="11" t="str">
        <f>CONCATENATE("          ", "6112", " - ", "COMPENSATION INSURANCE")</f>
        <v xml:space="preserve">          6112 - COMPENSATION INSURANCE</v>
      </c>
      <c r="C69" s="11"/>
      <c r="D69" s="8">
        <v>362.05</v>
      </c>
      <c r="E69" s="3"/>
      <c r="F69" s="7">
        <f t="shared" si="20"/>
        <v>2.4479204170626246E-3</v>
      </c>
      <c r="G69" s="3"/>
      <c r="H69" s="8">
        <v>356.48</v>
      </c>
      <c r="I69" s="3"/>
      <c r="J69" s="7">
        <f t="shared" si="21"/>
        <v>1.9733714426669389E-3</v>
      </c>
      <c r="K69" s="3"/>
      <c r="L69" s="8">
        <f t="shared" si="22"/>
        <v>5.5699999999999932</v>
      </c>
      <c r="M69" s="3"/>
      <c r="N69" s="7">
        <f t="shared" si="23"/>
        <v>1.5624999999999981E-2</v>
      </c>
      <c r="O69" s="11"/>
      <c r="P69" s="8">
        <v>362.05</v>
      </c>
      <c r="Q69" s="3"/>
      <c r="R69" s="7">
        <f t="shared" si="24"/>
        <v>2.4479204170626246E-3</v>
      </c>
      <c r="S69" s="3"/>
      <c r="T69" s="8">
        <v>356.48</v>
      </c>
      <c r="U69" s="3"/>
      <c r="V69" s="7">
        <f t="shared" si="25"/>
        <v>1.9733714426669389E-3</v>
      </c>
      <c r="W69" s="3"/>
      <c r="X69" s="8">
        <f t="shared" si="26"/>
        <v>5.5699999999999932</v>
      </c>
      <c r="Y69" s="3"/>
      <c r="Z69" s="7">
        <f t="shared" si="27"/>
        <v>1.5624999999999981E-2</v>
      </c>
    </row>
    <row r="70" spans="1:26" s="24" customFormat="1" hidden="1" outlineLevel="2" x14ac:dyDescent="0.25">
      <c r="A70" s="29"/>
      <c r="B70" s="11" t="str">
        <f>CONCATENATE("          ", "6113", " - ", "GROUP INSURANCE")</f>
        <v xml:space="preserve">          6113 - GROUP INSURANCE</v>
      </c>
      <c r="C70" s="11"/>
      <c r="D70" s="8">
        <v>2826.13</v>
      </c>
      <c r="E70" s="3"/>
      <c r="F70" s="7">
        <f t="shared" si="20"/>
        <v>1.9108248386336683E-2</v>
      </c>
      <c r="G70" s="3"/>
      <c r="H70" s="8">
        <v>2753.98</v>
      </c>
      <c r="I70" s="3"/>
      <c r="J70" s="7">
        <f t="shared" si="21"/>
        <v>1.5245246537466046E-2</v>
      </c>
      <c r="K70" s="3"/>
      <c r="L70" s="8">
        <f t="shared" si="22"/>
        <v>72.150000000000091</v>
      </c>
      <c r="M70" s="3"/>
      <c r="N70" s="7">
        <f t="shared" si="23"/>
        <v>2.619844733803444E-2</v>
      </c>
      <c r="O70" s="11"/>
      <c r="P70" s="8">
        <v>2826.13</v>
      </c>
      <c r="Q70" s="3"/>
      <c r="R70" s="7">
        <f t="shared" si="24"/>
        <v>1.9108248386336683E-2</v>
      </c>
      <c r="S70" s="3"/>
      <c r="T70" s="8">
        <v>2753.98</v>
      </c>
      <c r="U70" s="3"/>
      <c r="V70" s="7">
        <f t="shared" si="25"/>
        <v>1.5245246537466046E-2</v>
      </c>
      <c r="W70" s="3"/>
      <c r="X70" s="8">
        <f t="shared" si="26"/>
        <v>72.150000000000091</v>
      </c>
      <c r="Y70" s="3"/>
      <c r="Z70" s="7">
        <f t="shared" si="27"/>
        <v>2.619844733803444E-2</v>
      </c>
    </row>
    <row r="71" spans="1:26" s="24" customFormat="1" hidden="1" outlineLevel="2" x14ac:dyDescent="0.25">
      <c r="A71" s="29"/>
      <c r="B71" s="11" t="str">
        <f>CONCATENATE("          ", "6114", " - ", "STATE UNEMPLOYMENT INSURANCE")</f>
        <v xml:space="preserve">          6114 - STATE UNEMPLOYMENT INSURANCE</v>
      </c>
      <c r="C71" s="11"/>
      <c r="D71" s="8">
        <v>43.75</v>
      </c>
      <c r="E71" s="3"/>
      <c r="F71" s="7">
        <f t="shared" si="20"/>
        <v>2.9580587832202688E-4</v>
      </c>
      <c r="G71" s="3"/>
      <c r="H71" s="8">
        <v>48.78</v>
      </c>
      <c r="I71" s="3"/>
      <c r="J71" s="7">
        <f t="shared" si="21"/>
        <v>2.7003214478594389E-4</v>
      </c>
      <c r="K71" s="3"/>
      <c r="L71" s="8">
        <f t="shared" si="22"/>
        <v>-5.0300000000000011</v>
      </c>
      <c r="M71" s="3"/>
      <c r="N71" s="7">
        <f t="shared" si="23"/>
        <v>-0.10311603116031162</v>
      </c>
      <c r="O71" s="11"/>
      <c r="P71" s="8">
        <v>43.75</v>
      </c>
      <c r="Q71" s="3"/>
      <c r="R71" s="7">
        <f t="shared" si="24"/>
        <v>2.9580587832202688E-4</v>
      </c>
      <c r="S71" s="3"/>
      <c r="T71" s="8">
        <v>48.78</v>
      </c>
      <c r="U71" s="3"/>
      <c r="V71" s="7">
        <f t="shared" si="25"/>
        <v>2.7003214478594389E-4</v>
      </c>
      <c r="W71" s="3"/>
      <c r="X71" s="8">
        <f t="shared" si="26"/>
        <v>-5.0300000000000011</v>
      </c>
      <c r="Y71" s="3"/>
      <c r="Z71" s="7">
        <f t="shared" si="27"/>
        <v>-0.10311603116031162</v>
      </c>
    </row>
    <row r="72" spans="1:26" s="24" customFormat="1" hidden="1" outlineLevel="2" x14ac:dyDescent="0.25">
      <c r="A72" s="29"/>
      <c r="B72" s="11" t="str">
        <f>CONCATENATE("          ", "6115", " - ", "P.E.R.S.")</f>
        <v xml:space="preserve">          6115 - P.E.R.S.</v>
      </c>
      <c r="C72" s="11"/>
      <c r="D72" s="8">
        <v>1969.19</v>
      </c>
      <c r="E72" s="3"/>
      <c r="F72" s="7">
        <f t="shared" si="20"/>
        <v>1.3314239486467476E-2</v>
      </c>
      <c r="G72" s="3"/>
      <c r="H72" s="8">
        <v>672.87</v>
      </c>
      <c r="I72" s="3"/>
      <c r="J72" s="7">
        <f t="shared" si="21"/>
        <v>3.7248160980344006E-3</v>
      </c>
      <c r="K72" s="3"/>
      <c r="L72" s="8">
        <f t="shared" si="22"/>
        <v>1296.3200000000002</v>
      </c>
      <c r="M72" s="3"/>
      <c r="N72" s="7">
        <f t="shared" si="23"/>
        <v>1.9265534204229646</v>
      </c>
      <c r="O72" s="11"/>
      <c r="P72" s="8">
        <v>1969.19</v>
      </c>
      <c r="Q72" s="3"/>
      <c r="R72" s="7">
        <f t="shared" si="24"/>
        <v>1.3314239486467476E-2</v>
      </c>
      <c r="S72" s="3"/>
      <c r="T72" s="8">
        <v>672.87</v>
      </c>
      <c r="U72" s="3"/>
      <c r="V72" s="7">
        <f t="shared" si="25"/>
        <v>3.7248160980344006E-3</v>
      </c>
      <c r="W72" s="3"/>
      <c r="X72" s="8">
        <f t="shared" si="26"/>
        <v>1296.3200000000002</v>
      </c>
      <c r="Y72" s="3"/>
      <c r="Z72" s="7">
        <f t="shared" si="27"/>
        <v>1.9265534204229646</v>
      </c>
    </row>
    <row r="73" spans="1:26" s="24" customFormat="1" hidden="1" outlineLevel="2" x14ac:dyDescent="0.25">
      <c r="A73" s="29"/>
      <c r="B73" s="11" t="str">
        <f>CONCATENATE("          ", "6118", " - ", "VACATION")</f>
        <v xml:space="preserve">          6118 - VACATION</v>
      </c>
      <c r="C73" s="11"/>
      <c r="D73" s="8">
        <v>1222.52</v>
      </c>
      <c r="E73" s="3"/>
      <c r="F73" s="7">
        <f t="shared" si="20"/>
        <v>8.265796625514155E-3</v>
      </c>
      <c r="G73" s="3"/>
      <c r="H73" s="8">
        <v>962.15</v>
      </c>
      <c r="I73" s="3"/>
      <c r="J73" s="7">
        <f t="shared" si="21"/>
        <v>5.3261875380441965E-3</v>
      </c>
      <c r="K73" s="3"/>
      <c r="L73" s="8">
        <f t="shared" si="22"/>
        <v>260.37</v>
      </c>
      <c r="M73" s="3"/>
      <c r="N73" s="7">
        <f t="shared" si="23"/>
        <v>0.2706126903289508</v>
      </c>
      <c r="O73" s="11"/>
      <c r="P73" s="8">
        <v>1222.52</v>
      </c>
      <c r="Q73" s="3"/>
      <c r="R73" s="7">
        <f t="shared" si="24"/>
        <v>8.265796625514155E-3</v>
      </c>
      <c r="S73" s="3"/>
      <c r="T73" s="8">
        <v>962.15</v>
      </c>
      <c r="U73" s="3"/>
      <c r="V73" s="7">
        <f t="shared" si="25"/>
        <v>5.3261875380441965E-3</v>
      </c>
      <c r="W73" s="3"/>
      <c r="X73" s="8">
        <f t="shared" si="26"/>
        <v>260.37</v>
      </c>
      <c r="Y73" s="3"/>
      <c r="Z73" s="7">
        <f t="shared" si="27"/>
        <v>0.2706126903289508</v>
      </c>
    </row>
    <row r="74" spans="1:26" s="24" customFormat="1" hidden="1" outlineLevel="2" x14ac:dyDescent="0.25">
      <c r="A74" s="29"/>
      <c r="B74" s="11" t="str">
        <f>CONCATENATE("          ", "6119", " - ", "SICK LEAVE")</f>
        <v xml:space="preserve">          6119 - SICK LEAVE</v>
      </c>
      <c r="C74" s="11"/>
      <c r="D74" s="8">
        <v>777.18</v>
      </c>
      <c r="E74" s="3"/>
      <c r="F74" s="7">
        <f t="shared" si="20"/>
        <v>5.2547294288985786E-3</v>
      </c>
      <c r="G74" s="3"/>
      <c r="H74" s="8">
        <v>2053.61</v>
      </c>
      <c r="I74" s="3"/>
      <c r="J74" s="7">
        <f t="shared" si="21"/>
        <v>1.1368198295487131E-2</v>
      </c>
      <c r="K74" s="3"/>
      <c r="L74" s="8">
        <f t="shared" si="22"/>
        <v>-1276.4300000000003</v>
      </c>
      <c r="M74" s="3"/>
      <c r="N74" s="7">
        <f t="shared" si="23"/>
        <v>-0.62155423863343096</v>
      </c>
      <c r="O74" s="11"/>
      <c r="P74" s="8">
        <v>777.18</v>
      </c>
      <c r="Q74" s="3"/>
      <c r="R74" s="7">
        <f t="shared" si="24"/>
        <v>5.2547294288985786E-3</v>
      </c>
      <c r="S74" s="3"/>
      <c r="T74" s="8">
        <v>2053.61</v>
      </c>
      <c r="U74" s="3"/>
      <c r="V74" s="7">
        <f t="shared" si="25"/>
        <v>1.1368198295487131E-2</v>
      </c>
      <c r="W74" s="3"/>
      <c r="X74" s="8">
        <f t="shared" si="26"/>
        <v>-1276.4300000000003</v>
      </c>
      <c r="Y74" s="3"/>
      <c r="Z74" s="7">
        <f t="shared" si="27"/>
        <v>-0.62155423863343096</v>
      </c>
    </row>
    <row r="75" spans="1:26" s="24" customFormat="1" hidden="1" outlineLevel="2" x14ac:dyDescent="0.25">
      <c r="A75" s="29"/>
      <c r="B75" s="11" t="str">
        <f>CONCATENATE("          ", "6156", " - ", "EMPLOYEE MEALS")</f>
        <v xml:space="preserve">          6156 - EMPLOYEE MEALS</v>
      </c>
      <c r="C75" s="11"/>
      <c r="D75" s="8">
        <v>281.83</v>
      </c>
      <c r="E75" s="3"/>
      <c r="F75" s="7">
        <f t="shared" si="20"/>
        <v>1.905530758571356E-3</v>
      </c>
      <c r="G75" s="3"/>
      <c r="H75" s="8">
        <v>148.1</v>
      </c>
      <c r="I75" s="3"/>
      <c r="J75" s="7">
        <f t="shared" si="21"/>
        <v>8.1983929157028056E-4</v>
      </c>
      <c r="K75" s="3"/>
      <c r="L75" s="8">
        <f t="shared" si="22"/>
        <v>133.72999999999999</v>
      </c>
      <c r="M75" s="3"/>
      <c r="N75" s="7">
        <f t="shared" si="23"/>
        <v>0.90297096556380818</v>
      </c>
      <c r="O75" s="11"/>
      <c r="P75" s="8">
        <v>281.83</v>
      </c>
      <c r="Q75" s="3"/>
      <c r="R75" s="7">
        <f t="shared" si="24"/>
        <v>1.905530758571356E-3</v>
      </c>
      <c r="S75" s="3"/>
      <c r="T75" s="8">
        <v>148.1</v>
      </c>
      <c r="U75" s="3"/>
      <c r="V75" s="7">
        <f t="shared" si="25"/>
        <v>8.1983929157028056E-4</v>
      </c>
      <c r="W75" s="3"/>
      <c r="X75" s="8">
        <f t="shared" si="26"/>
        <v>133.72999999999999</v>
      </c>
      <c r="Y75" s="3"/>
      <c r="Z75" s="7">
        <f t="shared" si="27"/>
        <v>0.90297096556380818</v>
      </c>
    </row>
    <row r="76" spans="1:26" s="27" customFormat="1" outlineLevel="1" collapsed="1" x14ac:dyDescent="0.25">
      <c r="A76" s="28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21274.85</v>
      </c>
      <c r="E76" s="1"/>
      <c r="F76" s="5">
        <f t="shared" ref="F76:F80" si="28">IF(D$12=0,0,D76/D$12)</f>
        <v>0.14384515863815708</v>
      </c>
      <c r="G76" s="1"/>
      <c r="H76" s="1">
        <f>SUM(OSRRefH22_1x_0)</f>
        <v>25179.64</v>
      </c>
      <c r="I76" s="1"/>
      <c r="J76" s="5">
        <f t="shared" ref="J76:J80" si="29">IF(H$12=0,0,H76/H$12)</f>
        <v>0.13938729385276638</v>
      </c>
      <c r="K76" s="1"/>
      <c r="L76" s="1">
        <f t="shared" ref="L76:L80" si="30">+D76-H76</f>
        <v>-3904.7900000000009</v>
      </c>
      <c r="M76" s="1"/>
      <c r="N76" s="5">
        <f t="shared" ref="N76:N80" si="31">IF(H76=0,0,L76/H76)</f>
        <v>-0.15507727672039795</v>
      </c>
      <c r="O76" s="14"/>
      <c r="P76" s="1">
        <f>SUM(OSRRefP22_1x_0)</f>
        <v>21274.85</v>
      </c>
      <c r="Q76" s="1"/>
      <c r="R76" s="5">
        <f t="shared" ref="R76:R80" si="32">IF(P$12=0,0,P76/P$12)</f>
        <v>0.14384515863815708</v>
      </c>
      <c r="S76" s="1"/>
      <c r="T76" s="1">
        <f>SUM(OSRRefT22_1x_0)</f>
        <v>25179.64</v>
      </c>
      <c r="U76" s="1"/>
      <c r="V76" s="5">
        <f t="shared" ref="V76:V80" si="33">IF(T$12=0,0,T76/T$12)</f>
        <v>0.13938729385276638</v>
      </c>
      <c r="W76" s="1"/>
      <c r="X76" s="1">
        <f t="shared" ref="X76:X80" si="34">+P76-T76</f>
        <v>-3904.7900000000009</v>
      </c>
      <c r="Y76" s="1"/>
      <c r="Z76" s="5">
        <f t="shared" ref="Z76:Z80" si="35">IF(T76=0,0,X76/T76)</f>
        <v>-0.15507727672039795</v>
      </c>
    </row>
    <row r="77" spans="1:26" s="24" customFormat="1" hidden="1" outlineLevel="2" x14ac:dyDescent="0.25">
      <c r="A77" s="29"/>
      <c r="B77" s="11" t="str">
        <f>CONCATENATE("          ", "6002", " - ", "STAFF SALARIES")</f>
        <v xml:space="preserve">          6002 - STAFF SALARIES</v>
      </c>
      <c r="C77" s="11"/>
      <c r="D77" s="8">
        <v>16234.78</v>
      </c>
      <c r="E77" s="3"/>
      <c r="F77" s="7">
        <f t="shared" si="28"/>
        <v>0.1097678481660543</v>
      </c>
      <c r="G77" s="3"/>
      <c r="H77" s="8">
        <v>8761.74</v>
      </c>
      <c r="I77" s="3"/>
      <c r="J77" s="7">
        <f t="shared" si="29"/>
        <v>4.8502489632160639E-2</v>
      </c>
      <c r="K77" s="3"/>
      <c r="L77" s="8">
        <f t="shared" si="30"/>
        <v>7473.0400000000009</v>
      </c>
      <c r="M77" s="3"/>
      <c r="N77" s="7">
        <f t="shared" si="31"/>
        <v>0.852917342902209</v>
      </c>
      <c r="O77" s="11"/>
      <c r="P77" s="8">
        <v>16234.78</v>
      </c>
      <c r="Q77" s="3"/>
      <c r="R77" s="7">
        <f t="shared" si="32"/>
        <v>0.1097678481660543</v>
      </c>
      <c r="S77" s="3"/>
      <c r="T77" s="8">
        <v>8761.74</v>
      </c>
      <c r="U77" s="3"/>
      <c r="V77" s="7">
        <f t="shared" si="33"/>
        <v>4.8502489632160639E-2</v>
      </c>
      <c r="W77" s="3"/>
      <c r="X77" s="8">
        <f t="shared" si="34"/>
        <v>7473.0400000000009</v>
      </c>
      <c r="Y77" s="3"/>
      <c r="Z77" s="7">
        <f t="shared" si="35"/>
        <v>0.852917342902209</v>
      </c>
    </row>
    <row r="78" spans="1:26" s="24" customFormat="1" hidden="1" outlineLevel="2" x14ac:dyDescent="0.25">
      <c r="A78" s="29"/>
      <c r="B78" s="11" t="str">
        <f>CONCATENATE("          ", "6004", " - ", "STAFF HOURLY")</f>
        <v xml:space="preserve">          6004 - STAFF HOURLY</v>
      </c>
      <c r="C78" s="11"/>
      <c r="D78" s="8">
        <v>3989.25</v>
      </c>
      <c r="E78" s="3"/>
      <c r="F78" s="7">
        <f t="shared" si="28"/>
        <v>2.6972425145054758E-2</v>
      </c>
      <c r="G78" s="3"/>
      <c r="H78" s="8"/>
      <c r="I78" s="3"/>
      <c r="J78" s="7">
        <f t="shared" si="29"/>
        <v>0</v>
      </c>
      <c r="K78" s="3"/>
      <c r="L78" s="8">
        <f t="shared" si="30"/>
        <v>3989.25</v>
      </c>
      <c r="M78" s="3"/>
      <c r="N78" s="7">
        <f t="shared" si="31"/>
        <v>0</v>
      </c>
      <c r="O78" s="11"/>
      <c r="P78" s="8">
        <v>3989.25</v>
      </c>
      <c r="Q78" s="3"/>
      <c r="R78" s="7">
        <f t="shared" si="32"/>
        <v>2.6972425145054758E-2</v>
      </c>
      <c r="S78" s="3"/>
      <c r="T78" s="8"/>
      <c r="U78" s="3"/>
      <c r="V78" s="7">
        <f t="shared" si="33"/>
        <v>0</v>
      </c>
      <c r="W78" s="3"/>
      <c r="X78" s="8">
        <f t="shared" si="34"/>
        <v>3989.25</v>
      </c>
      <c r="Y78" s="3"/>
      <c r="Z78" s="7">
        <f t="shared" si="35"/>
        <v>0</v>
      </c>
    </row>
    <row r="79" spans="1:26" s="24" customFormat="1" hidden="1" outlineLevel="2" x14ac:dyDescent="0.25">
      <c r="A79" s="29"/>
      <c r="B79" s="11" t="str">
        <f>CONCATENATE("          ", "6005", " - ", "TEMPORARY WAGES-HOURLY")</f>
        <v xml:space="preserve">          6005 - TEMPORARY WAGES-HOURLY</v>
      </c>
      <c r="C79" s="11"/>
      <c r="D79" s="8">
        <v>726.82</v>
      </c>
      <c r="E79" s="3"/>
      <c r="F79" s="7">
        <f t="shared" si="28"/>
        <v>4.9142315081603565E-3</v>
      </c>
      <c r="G79" s="3"/>
      <c r="H79" s="8">
        <v>4193.37</v>
      </c>
      <c r="I79" s="3"/>
      <c r="J79" s="7">
        <f t="shared" si="29"/>
        <v>2.3213298380094987E-2</v>
      </c>
      <c r="K79" s="3"/>
      <c r="L79" s="8">
        <f t="shared" si="30"/>
        <v>-3466.5499999999997</v>
      </c>
      <c r="M79" s="3"/>
      <c r="N79" s="7">
        <f t="shared" si="31"/>
        <v>-0.82667401159449316</v>
      </c>
      <c r="O79" s="11"/>
      <c r="P79" s="8">
        <v>726.82</v>
      </c>
      <c r="Q79" s="3"/>
      <c r="R79" s="7">
        <f t="shared" si="32"/>
        <v>4.9142315081603565E-3</v>
      </c>
      <c r="S79" s="3"/>
      <c r="T79" s="8">
        <v>4193.37</v>
      </c>
      <c r="U79" s="3"/>
      <c r="V79" s="7">
        <f t="shared" si="33"/>
        <v>2.3213298380094987E-2</v>
      </c>
      <c r="W79" s="3"/>
      <c r="X79" s="8">
        <f t="shared" si="34"/>
        <v>-3466.5499999999997</v>
      </c>
      <c r="Y79" s="3"/>
      <c r="Z79" s="7">
        <f t="shared" si="35"/>
        <v>-0.82667401159449316</v>
      </c>
    </row>
    <row r="80" spans="1:26" s="24" customFormat="1" hidden="1" outlineLevel="2" x14ac:dyDescent="0.25">
      <c r="A80" s="29"/>
      <c r="B80" s="11" t="str">
        <f>CONCATENATE("          ", "6007", " - ", "STUDENT HOURLY")</f>
        <v xml:space="preserve">          6007 - STUDENT HOURLY</v>
      </c>
      <c r="C80" s="11"/>
      <c r="D80" s="8">
        <v>324</v>
      </c>
      <c r="E80" s="3"/>
      <c r="F80" s="7">
        <f t="shared" si="28"/>
        <v>2.1906538188876962E-3</v>
      </c>
      <c r="G80" s="3"/>
      <c r="H80" s="8">
        <v>12224.53</v>
      </c>
      <c r="I80" s="3"/>
      <c r="J80" s="7">
        <f t="shared" si="29"/>
        <v>6.7671505840510765E-2</v>
      </c>
      <c r="K80" s="3"/>
      <c r="L80" s="8">
        <f t="shared" si="30"/>
        <v>-11900.53</v>
      </c>
      <c r="M80" s="3"/>
      <c r="N80" s="7">
        <f t="shared" si="31"/>
        <v>-0.97349591354432441</v>
      </c>
      <c r="O80" s="11"/>
      <c r="P80" s="8">
        <v>324</v>
      </c>
      <c r="Q80" s="3"/>
      <c r="R80" s="7">
        <f t="shared" si="32"/>
        <v>2.1906538188876962E-3</v>
      </c>
      <c r="S80" s="3"/>
      <c r="T80" s="8">
        <v>12224.53</v>
      </c>
      <c r="U80" s="3"/>
      <c r="V80" s="7">
        <f t="shared" si="33"/>
        <v>6.7671505840510765E-2</v>
      </c>
      <c r="W80" s="3"/>
      <c r="X80" s="8">
        <f t="shared" si="34"/>
        <v>-11900.53</v>
      </c>
      <c r="Y80" s="3"/>
      <c r="Z80" s="7">
        <f t="shared" si="35"/>
        <v>-0.97349591354432441</v>
      </c>
    </row>
    <row r="81" spans="1:26" s="27" customFormat="1" outlineLevel="1" collapsed="1" x14ac:dyDescent="0.25">
      <c r="A81" s="28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1340.93</v>
      </c>
      <c r="E81" s="1"/>
      <c r="F81" s="5">
        <f t="shared" ref="F81:F93" si="36">IF(D$12=0,0,D81/D$12)</f>
        <v>9.0663994609909825E-3</v>
      </c>
      <c r="G81" s="1"/>
      <c r="H81" s="1">
        <f>SUM(OSRRefH22_2x_0)</f>
        <v>192</v>
      </c>
      <c r="I81" s="1"/>
      <c r="J81" s="5">
        <f t="shared" ref="J81:J93" si="37">IF(H$12=0,0,H81/H$12)</f>
        <v>1.0628571504489796E-3</v>
      </c>
      <c r="K81" s="1"/>
      <c r="L81" s="1">
        <f t="shared" ref="L81:L93" si="38">+D81-H81</f>
        <v>1148.93</v>
      </c>
      <c r="M81" s="1"/>
      <c r="N81" s="5">
        <f t="shared" ref="N81:N93" si="39">IF(H81=0,0,L81/H81)</f>
        <v>5.984010416666667</v>
      </c>
      <c r="O81" s="14"/>
      <c r="P81" s="1">
        <f>SUM(OSRRefP22_2x_0)</f>
        <v>1340.93</v>
      </c>
      <c r="Q81" s="1"/>
      <c r="R81" s="5">
        <f t="shared" ref="R81:R93" si="40">IF(P$12=0,0,P81/P$12)</f>
        <v>9.0663994609909825E-3</v>
      </c>
      <c r="S81" s="1"/>
      <c r="T81" s="1">
        <f>SUM(OSRRefT22_2x_0)</f>
        <v>192</v>
      </c>
      <c r="U81" s="1"/>
      <c r="V81" s="5">
        <f t="shared" ref="V81:V93" si="41">IF(T$12=0,0,T81/T$12)</f>
        <v>1.0628571504489796E-3</v>
      </c>
      <c r="W81" s="1"/>
      <c r="X81" s="1">
        <f t="shared" ref="X81:X93" si="42">+P81-T81</f>
        <v>1148.93</v>
      </c>
      <c r="Y81" s="1"/>
      <c r="Z81" s="5">
        <f t="shared" ref="Z81:Z93" si="43">IF(T81=0,0,X81/T81)</f>
        <v>5.984010416666667</v>
      </c>
    </row>
    <row r="82" spans="1:26" s="24" customFormat="1" hidden="1" outlineLevel="2" x14ac:dyDescent="0.25">
      <c r="A82" s="29"/>
      <c r="B82" s="11" t="str">
        <f>CONCATENATE("          ", "6362", " - ", "ADVERTISING EXPENSE")</f>
        <v xml:space="preserve">          6362 - ADVERTISING EXPENSE</v>
      </c>
      <c r="C82" s="11"/>
      <c r="D82" s="8">
        <v>1340.93</v>
      </c>
      <c r="E82" s="3"/>
      <c r="F82" s="7">
        <f t="shared" si="36"/>
        <v>9.0663994609909825E-3</v>
      </c>
      <c r="G82" s="3"/>
      <c r="H82" s="8">
        <v>192</v>
      </c>
      <c r="I82" s="3"/>
      <c r="J82" s="7">
        <f t="shared" si="37"/>
        <v>1.0628571504489796E-3</v>
      </c>
      <c r="K82" s="3"/>
      <c r="L82" s="8">
        <f t="shared" si="38"/>
        <v>1148.93</v>
      </c>
      <c r="M82" s="3"/>
      <c r="N82" s="7">
        <f t="shared" si="39"/>
        <v>5.984010416666667</v>
      </c>
      <c r="O82" s="11"/>
      <c r="P82" s="8">
        <v>1340.93</v>
      </c>
      <c r="Q82" s="3"/>
      <c r="R82" s="7">
        <f t="shared" si="40"/>
        <v>9.0663994609909825E-3</v>
      </c>
      <c r="S82" s="3"/>
      <c r="T82" s="8">
        <v>192</v>
      </c>
      <c r="U82" s="3"/>
      <c r="V82" s="7">
        <f t="shared" si="41"/>
        <v>1.0628571504489796E-3</v>
      </c>
      <c r="W82" s="3"/>
      <c r="X82" s="8">
        <f t="shared" si="42"/>
        <v>1148.93</v>
      </c>
      <c r="Y82" s="3"/>
      <c r="Z82" s="7">
        <f t="shared" si="43"/>
        <v>5.984010416666667</v>
      </c>
    </row>
    <row r="83" spans="1:26" s="27" customFormat="1" outlineLevel="1" collapsed="1" x14ac:dyDescent="0.25">
      <c r="A83" s="28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SUM(OSRRefD22_3x_0)</f>
        <v>0</v>
      </c>
      <c r="E83" s="1"/>
      <c r="F83" s="5">
        <f t="shared" si="36"/>
        <v>0</v>
      </c>
      <c r="G83" s="1"/>
      <c r="H83" s="1">
        <f>SUM(OSRRefH22_3x_0)</f>
        <v>13837.64</v>
      </c>
      <c r="I83" s="1"/>
      <c r="J83" s="5">
        <f t="shared" si="37"/>
        <v>7.6601221975723013E-2</v>
      </c>
      <c r="K83" s="1"/>
      <c r="L83" s="1">
        <f t="shared" si="38"/>
        <v>-13837.64</v>
      </c>
      <c r="M83" s="1"/>
      <c r="N83" s="5">
        <f t="shared" si="39"/>
        <v>-1</v>
      </c>
      <c r="O83" s="14"/>
      <c r="P83" s="1">
        <f>SUM(OSRRefP22_3x_0)</f>
        <v>0</v>
      </c>
      <c r="Q83" s="1"/>
      <c r="R83" s="5">
        <f t="shared" si="40"/>
        <v>0</v>
      </c>
      <c r="S83" s="1"/>
      <c r="T83" s="1">
        <f>SUM(OSRRefT22_3x_0)</f>
        <v>13837.64</v>
      </c>
      <c r="U83" s="1"/>
      <c r="V83" s="5">
        <f t="shared" si="41"/>
        <v>7.6601221975723013E-2</v>
      </c>
      <c r="W83" s="1"/>
      <c r="X83" s="1">
        <f t="shared" si="42"/>
        <v>-13837.64</v>
      </c>
      <c r="Y83" s="1"/>
      <c r="Z83" s="5">
        <f t="shared" si="43"/>
        <v>-1</v>
      </c>
    </row>
    <row r="84" spans="1:26" s="24" customFormat="1" hidden="1" outlineLevel="2" x14ac:dyDescent="0.25">
      <c r="A84" s="29"/>
      <c r="B84" s="11" t="str">
        <f>CONCATENATE("          ", "6382", " - ", "DISCOUNTS/MARK DOWNS")</f>
        <v xml:space="preserve">          6382 - DISCOUNTS/MARK DOWNS</v>
      </c>
      <c r="C84" s="11"/>
      <c r="D84" s="8"/>
      <c r="E84" s="3"/>
      <c r="F84" s="7">
        <f t="shared" si="36"/>
        <v>0</v>
      </c>
      <c r="G84" s="3"/>
      <c r="H84" s="8">
        <v>13837.64</v>
      </c>
      <c r="I84" s="3"/>
      <c r="J84" s="7">
        <f t="shared" si="37"/>
        <v>7.6601221975723013E-2</v>
      </c>
      <c r="K84" s="3"/>
      <c r="L84" s="8">
        <f t="shared" si="38"/>
        <v>-13837.64</v>
      </c>
      <c r="M84" s="3"/>
      <c r="N84" s="7">
        <f t="shared" si="39"/>
        <v>-1</v>
      </c>
      <c r="O84" s="11"/>
      <c r="P84" s="8"/>
      <c r="Q84" s="3"/>
      <c r="R84" s="7">
        <f t="shared" si="40"/>
        <v>0</v>
      </c>
      <c r="S84" s="3"/>
      <c r="T84" s="8">
        <v>13837.64</v>
      </c>
      <c r="U84" s="3"/>
      <c r="V84" s="7">
        <f t="shared" si="41"/>
        <v>7.6601221975723013E-2</v>
      </c>
      <c r="W84" s="3"/>
      <c r="X84" s="8">
        <f t="shared" si="42"/>
        <v>-13837.64</v>
      </c>
      <c r="Y84" s="3"/>
      <c r="Z84" s="7">
        <f t="shared" si="43"/>
        <v>-1</v>
      </c>
    </row>
    <row r="85" spans="1:26" s="27" customFormat="1" outlineLevel="1" collapsed="1" x14ac:dyDescent="0.25">
      <c r="A85" s="28"/>
      <c r="B85" s="14" t="str">
        <f>CONCATENATE("     ","Employees' Appreciation                           ")</f>
        <v xml:space="preserve">     Employees' Appreciation                           </v>
      </c>
      <c r="C85" s="14"/>
      <c r="D85" s="1">
        <f>SUM(OSRRefD22_4x_0)</f>
        <v>0</v>
      </c>
      <c r="E85" s="1"/>
      <c r="F85" s="5">
        <f t="shared" si="36"/>
        <v>0</v>
      </c>
      <c r="G85" s="1"/>
      <c r="H85" s="1">
        <f>SUM(OSRRefH22_4x_0)</f>
        <v>12.98</v>
      </c>
      <c r="I85" s="1"/>
      <c r="J85" s="5">
        <f t="shared" si="37"/>
        <v>7.1853571941811231E-5</v>
      </c>
      <c r="K85" s="1"/>
      <c r="L85" s="1">
        <f t="shared" si="38"/>
        <v>-12.98</v>
      </c>
      <c r="M85" s="1"/>
      <c r="N85" s="5">
        <f t="shared" si="39"/>
        <v>-1</v>
      </c>
      <c r="O85" s="14"/>
      <c r="P85" s="1">
        <f>SUM(OSRRefP22_4x_0)</f>
        <v>0</v>
      </c>
      <c r="Q85" s="1"/>
      <c r="R85" s="5">
        <f t="shared" si="40"/>
        <v>0</v>
      </c>
      <c r="S85" s="1"/>
      <c r="T85" s="1">
        <f>SUM(OSRRefT22_4x_0)</f>
        <v>12.98</v>
      </c>
      <c r="U85" s="1"/>
      <c r="V85" s="5">
        <f t="shared" si="41"/>
        <v>7.1853571941811231E-5</v>
      </c>
      <c r="W85" s="1"/>
      <c r="X85" s="1">
        <f t="shared" si="42"/>
        <v>-12.98</v>
      </c>
      <c r="Y85" s="1"/>
      <c r="Z85" s="5">
        <f t="shared" si="43"/>
        <v>-1</v>
      </c>
    </row>
    <row r="86" spans="1:26" s="24" customFormat="1" hidden="1" outlineLevel="2" x14ac:dyDescent="0.25">
      <c r="A86" s="29"/>
      <c r="B86" s="11" t="str">
        <f>CONCATENATE("          ", "6277", " - ", "EMPLOYEE APPRECIATION")</f>
        <v xml:space="preserve">          6277 - EMPLOYEE APPRECIATION</v>
      </c>
      <c r="C86" s="11"/>
      <c r="D86" s="8"/>
      <c r="E86" s="3"/>
      <c r="F86" s="7">
        <f t="shared" si="36"/>
        <v>0</v>
      </c>
      <c r="G86" s="3"/>
      <c r="H86" s="8">
        <v>12.98</v>
      </c>
      <c r="I86" s="3"/>
      <c r="J86" s="7">
        <f t="shared" si="37"/>
        <v>7.1853571941811231E-5</v>
      </c>
      <c r="K86" s="3"/>
      <c r="L86" s="8">
        <f t="shared" si="38"/>
        <v>-12.98</v>
      </c>
      <c r="M86" s="3"/>
      <c r="N86" s="7">
        <f t="shared" si="39"/>
        <v>-1</v>
      </c>
      <c r="O86" s="11"/>
      <c r="P86" s="8"/>
      <c r="Q86" s="3"/>
      <c r="R86" s="7">
        <f t="shared" si="40"/>
        <v>0</v>
      </c>
      <c r="S86" s="3"/>
      <c r="T86" s="8">
        <v>12.98</v>
      </c>
      <c r="U86" s="3"/>
      <c r="V86" s="7">
        <f t="shared" si="41"/>
        <v>7.1853571941811231E-5</v>
      </c>
      <c r="W86" s="3"/>
      <c r="X86" s="8">
        <f t="shared" si="42"/>
        <v>-12.98</v>
      </c>
      <c r="Y86" s="3"/>
      <c r="Z86" s="7">
        <f t="shared" si="43"/>
        <v>-1</v>
      </c>
    </row>
    <row r="87" spans="1:26" s="27" customFormat="1" outlineLevel="1" collapsed="1" x14ac:dyDescent="0.25">
      <c r="A87" s="28"/>
      <c r="B87" s="14" t="str">
        <f>CONCATENATE("     ","Freight out/Postage                               ")</f>
        <v xml:space="preserve">     Freight out/Postage                               </v>
      </c>
      <c r="C87" s="14"/>
      <c r="D87" s="1">
        <f>SUM(OSRRefD22_5x_0)</f>
        <v>16.39</v>
      </c>
      <c r="E87" s="1"/>
      <c r="F87" s="5">
        <f t="shared" si="36"/>
        <v>1.1081733361595476E-4</v>
      </c>
      <c r="G87" s="1"/>
      <c r="H87" s="1">
        <f>SUM(OSRRefH22_5x_0)</f>
        <v>0</v>
      </c>
      <c r="I87" s="1"/>
      <c r="J87" s="5">
        <f t="shared" si="37"/>
        <v>0</v>
      </c>
      <c r="K87" s="1"/>
      <c r="L87" s="1">
        <f t="shared" si="38"/>
        <v>16.39</v>
      </c>
      <c r="M87" s="1"/>
      <c r="N87" s="5">
        <f t="shared" si="39"/>
        <v>0</v>
      </c>
      <c r="O87" s="14"/>
      <c r="P87" s="1">
        <f>SUM(OSRRefP22_5x_0)</f>
        <v>16.39</v>
      </c>
      <c r="Q87" s="1"/>
      <c r="R87" s="5">
        <f t="shared" si="40"/>
        <v>1.1081733361595476E-4</v>
      </c>
      <c r="S87" s="1"/>
      <c r="T87" s="1">
        <f>SUM(OSRRefT22_5x_0)</f>
        <v>0</v>
      </c>
      <c r="U87" s="1"/>
      <c r="V87" s="5">
        <f t="shared" si="41"/>
        <v>0</v>
      </c>
      <c r="W87" s="1"/>
      <c r="X87" s="1">
        <f t="shared" si="42"/>
        <v>16.39</v>
      </c>
      <c r="Y87" s="1"/>
      <c r="Z87" s="5">
        <f t="shared" si="43"/>
        <v>0</v>
      </c>
    </row>
    <row r="88" spans="1:26" s="24" customFormat="1" hidden="1" outlineLevel="2" x14ac:dyDescent="0.25">
      <c r="A88" s="29"/>
      <c r="B88" s="11" t="str">
        <f>CONCATENATE("          ", "6305", " - ", "FREIGHT OUT")</f>
        <v xml:space="preserve">          6305 - FREIGHT OUT</v>
      </c>
      <c r="C88" s="11"/>
      <c r="D88" s="8">
        <v>16.39</v>
      </c>
      <c r="E88" s="3"/>
      <c r="F88" s="7">
        <f t="shared" si="36"/>
        <v>1.1081733361595476E-4</v>
      </c>
      <c r="G88" s="3"/>
      <c r="H88" s="8"/>
      <c r="I88" s="3"/>
      <c r="J88" s="7">
        <f t="shared" si="37"/>
        <v>0</v>
      </c>
      <c r="K88" s="3"/>
      <c r="L88" s="8">
        <f t="shared" si="38"/>
        <v>16.39</v>
      </c>
      <c r="M88" s="3"/>
      <c r="N88" s="7">
        <f t="shared" si="39"/>
        <v>0</v>
      </c>
      <c r="O88" s="11"/>
      <c r="P88" s="8">
        <v>16.39</v>
      </c>
      <c r="Q88" s="3"/>
      <c r="R88" s="7">
        <f t="shared" si="40"/>
        <v>1.1081733361595476E-4</v>
      </c>
      <c r="S88" s="3"/>
      <c r="T88" s="8"/>
      <c r="U88" s="3"/>
      <c r="V88" s="7">
        <f t="shared" si="41"/>
        <v>0</v>
      </c>
      <c r="W88" s="3"/>
      <c r="X88" s="8">
        <f t="shared" si="42"/>
        <v>16.39</v>
      </c>
      <c r="Y88" s="3"/>
      <c r="Z88" s="7">
        <f t="shared" si="43"/>
        <v>0</v>
      </c>
    </row>
    <row r="89" spans="1:26" s="27" customFormat="1" outlineLevel="1" collapsed="1" x14ac:dyDescent="0.25">
      <c r="A89" s="28"/>
      <c r="B89" s="14" t="str">
        <f>CONCATENATE("     ","Inventory Adjustment                              ")</f>
        <v xml:space="preserve">     Inventory Adjustment                              </v>
      </c>
      <c r="C89" s="14"/>
      <c r="D89" s="1">
        <f>SUM(OSRRefD22_6x_0)</f>
        <v>1000</v>
      </c>
      <c r="E89" s="1"/>
      <c r="F89" s="5">
        <f t="shared" si="36"/>
        <v>6.761277218789186E-3</v>
      </c>
      <c r="G89" s="1"/>
      <c r="H89" s="1">
        <f>SUM(OSRRefH22_6x_0)</f>
        <v>2850</v>
      </c>
      <c r="I89" s="1"/>
      <c r="J89" s="5">
        <f t="shared" si="37"/>
        <v>1.577678582697704E-2</v>
      </c>
      <c r="K89" s="1"/>
      <c r="L89" s="1">
        <f t="shared" si="38"/>
        <v>-1850</v>
      </c>
      <c r="M89" s="1"/>
      <c r="N89" s="5">
        <f t="shared" si="39"/>
        <v>-0.64912280701754388</v>
      </c>
      <c r="O89" s="14"/>
      <c r="P89" s="1">
        <f>SUM(OSRRefP22_6x_0)</f>
        <v>1000</v>
      </c>
      <c r="Q89" s="1"/>
      <c r="R89" s="5">
        <f t="shared" si="40"/>
        <v>6.761277218789186E-3</v>
      </c>
      <c r="S89" s="1"/>
      <c r="T89" s="1">
        <f>SUM(OSRRefT22_6x_0)</f>
        <v>2850</v>
      </c>
      <c r="U89" s="1"/>
      <c r="V89" s="5">
        <f t="shared" si="41"/>
        <v>1.577678582697704E-2</v>
      </c>
      <c r="W89" s="1"/>
      <c r="X89" s="1">
        <f t="shared" si="42"/>
        <v>-1850</v>
      </c>
      <c r="Y89" s="1"/>
      <c r="Z89" s="5">
        <f t="shared" si="43"/>
        <v>-0.64912280701754388</v>
      </c>
    </row>
    <row r="90" spans="1:26" s="24" customFormat="1" hidden="1" outlineLevel="2" x14ac:dyDescent="0.25">
      <c r="A90" s="29"/>
      <c r="B90" s="11" t="str">
        <f>CONCATENATE("          ", "6408", " - ", "INVENTORY ADJUSTMENT")</f>
        <v xml:space="preserve">          6408 - INVENTORY ADJUSTMENT</v>
      </c>
      <c r="C90" s="11"/>
      <c r="D90" s="8">
        <v>1000</v>
      </c>
      <c r="E90" s="3"/>
      <c r="F90" s="7">
        <f t="shared" si="36"/>
        <v>6.761277218789186E-3</v>
      </c>
      <c r="G90" s="3"/>
      <c r="H90" s="8">
        <v>2850</v>
      </c>
      <c r="I90" s="3"/>
      <c r="J90" s="7">
        <f t="shared" si="37"/>
        <v>1.577678582697704E-2</v>
      </c>
      <c r="K90" s="3"/>
      <c r="L90" s="8">
        <f t="shared" si="38"/>
        <v>-1850</v>
      </c>
      <c r="M90" s="3"/>
      <c r="N90" s="7">
        <f t="shared" si="39"/>
        <v>-0.64912280701754388</v>
      </c>
      <c r="O90" s="11"/>
      <c r="P90" s="8">
        <v>1000</v>
      </c>
      <c r="Q90" s="3"/>
      <c r="R90" s="7">
        <f t="shared" si="40"/>
        <v>6.761277218789186E-3</v>
      </c>
      <c r="S90" s="3"/>
      <c r="T90" s="8">
        <v>2850</v>
      </c>
      <c r="U90" s="3"/>
      <c r="V90" s="7">
        <f t="shared" si="41"/>
        <v>1.577678582697704E-2</v>
      </c>
      <c r="W90" s="3"/>
      <c r="X90" s="8">
        <f t="shared" si="42"/>
        <v>-1850</v>
      </c>
      <c r="Y90" s="3"/>
      <c r="Z90" s="7">
        <f t="shared" si="43"/>
        <v>-0.64912280701754388</v>
      </c>
    </row>
    <row r="91" spans="1:26" s="27" customFormat="1" outlineLevel="1" collapsed="1" x14ac:dyDescent="0.25">
      <c r="A91" s="28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SUM(OSRRefD22_7x_0)</f>
        <v>5672.2</v>
      </c>
      <c r="E91" s="1"/>
      <c r="F91" s="5">
        <f t="shared" si="36"/>
        <v>3.8351316640416015E-2</v>
      </c>
      <c r="G91" s="1"/>
      <c r="H91" s="1">
        <f>SUM(OSRRefH22_7x_0)</f>
        <v>4481.04</v>
      </c>
      <c r="I91" s="1"/>
      <c r="J91" s="5">
        <f t="shared" si="37"/>
        <v>2.4805757320041123E-2</v>
      </c>
      <c r="K91" s="1"/>
      <c r="L91" s="1">
        <f t="shared" si="38"/>
        <v>1191.1599999999999</v>
      </c>
      <c r="M91" s="1"/>
      <c r="N91" s="5">
        <f t="shared" si="39"/>
        <v>0.26582221984182242</v>
      </c>
      <c r="O91" s="14"/>
      <c r="P91" s="1">
        <f>SUM(OSRRefP22_7x_0)</f>
        <v>5672.2</v>
      </c>
      <c r="Q91" s="1"/>
      <c r="R91" s="5">
        <f t="shared" si="40"/>
        <v>3.8351316640416015E-2</v>
      </c>
      <c r="S91" s="1"/>
      <c r="T91" s="1">
        <f>SUM(OSRRefT22_7x_0)</f>
        <v>4481.04</v>
      </c>
      <c r="U91" s="1"/>
      <c r="V91" s="5">
        <f t="shared" si="41"/>
        <v>2.4805757320041123E-2</v>
      </c>
      <c r="W91" s="1"/>
      <c r="X91" s="1">
        <f t="shared" si="42"/>
        <v>1191.1599999999999</v>
      </c>
      <c r="Y91" s="1"/>
      <c r="Z91" s="5">
        <f t="shared" si="43"/>
        <v>0.26582221984182242</v>
      </c>
    </row>
    <row r="92" spans="1:26" s="24" customFormat="1" hidden="1" outlineLevel="2" x14ac:dyDescent="0.25">
      <c r="A92" s="29"/>
      <c r="B92" s="11" t="str">
        <f>CONCATENATE("          ", "6253", " - ", "ROYALTY DUE ATHLETICS-LRG")</f>
        <v xml:space="preserve">          6253 - ROYALTY DUE ATHLETICS-LRG</v>
      </c>
      <c r="C92" s="11"/>
      <c r="D92" s="8">
        <v>5672.2</v>
      </c>
      <c r="E92" s="3"/>
      <c r="F92" s="7">
        <f t="shared" si="36"/>
        <v>3.8351316640416015E-2</v>
      </c>
      <c r="G92" s="3"/>
      <c r="H92" s="8">
        <v>4366.95</v>
      </c>
      <c r="I92" s="3"/>
      <c r="J92" s="7">
        <f t="shared" si="37"/>
        <v>2.4174187672672768E-2</v>
      </c>
      <c r="K92" s="3"/>
      <c r="L92" s="8">
        <f t="shared" si="38"/>
        <v>1305.25</v>
      </c>
      <c r="M92" s="3"/>
      <c r="N92" s="7">
        <f t="shared" si="39"/>
        <v>0.29889281993153116</v>
      </c>
      <c r="O92" s="11"/>
      <c r="P92" s="8">
        <v>5672.2</v>
      </c>
      <c r="Q92" s="3"/>
      <c r="R92" s="7">
        <f t="shared" si="40"/>
        <v>3.8351316640416015E-2</v>
      </c>
      <c r="S92" s="3"/>
      <c r="T92" s="8">
        <v>4366.95</v>
      </c>
      <c r="U92" s="3"/>
      <c r="V92" s="7">
        <f t="shared" si="41"/>
        <v>2.4174187672672768E-2</v>
      </c>
      <c r="W92" s="3"/>
      <c r="X92" s="8">
        <f t="shared" si="42"/>
        <v>1305.25</v>
      </c>
      <c r="Y92" s="3"/>
      <c r="Z92" s="7">
        <f t="shared" si="43"/>
        <v>0.29889281993153116</v>
      </c>
    </row>
    <row r="93" spans="1:26" s="24" customFormat="1" hidden="1" outlineLevel="2" x14ac:dyDescent="0.25">
      <c r="A93" s="29"/>
      <c r="B93" s="11" t="str">
        <f>CONCATENATE("          ", "6254", " - ", "ROYALTY &amp; COMMISSIONS")</f>
        <v xml:space="preserve">          6254 - ROYALTY &amp; COMMISSIONS</v>
      </c>
      <c r="C93" s="11"/>
      <c r="D93" s="8"/>
      <c r="E93" s="3"/>
      <c r="F93" s="7">
        <f t="shared" si="36"/>
        <v>0</v>
      </c>
      <c r="G93" s="3"/>
      <c r="H93" s="8">
        <v>114.09</v>
      </c>
      <c r="I93" s="3"/>
      <c r="J93" s="7">
        <f t="shared" si="37"/>
        <v>6.3156964736835468E-4</v>
      </c>
      <c r="K93" s="3"/>
      <c r="L93" s="8">
        <f t="shared" si="38"/>
        <v>-114.09</v>
      </c>
      <c r="M93" s="3"/>
      <c r="N93" s="7">
        <f t="shared" si="39"/>
        <v>-1</v>
      </c>
      <c r="O93" s="11"/>
      <c r="P93" s="8"/>
      <c r="Q93" s="3"/>
      <c r="R93" s="7">
        <f t="shared" si="40"/>
        <v>0</v>
      </c>
      <c r="S93" s="3"/>
      <c r="T93" s="8">
        <v>114.09</v>
      </c>
      <c r="U93" s="3"/>
      <c r="V93" s="7">
        <f t="shared" si="41"/>
        <v>6.3156964736835468E-4</v>
      </c>
      <c r="W93" s="3"/>
      <c r="X93" s="8">
        <f t="shared" si="42"/>
        <v>-114.09</v>
      </c>
      <c r="Y93" s="3"/>
      <c r="Z93" s="7">
        <f t="shared" si="43"/>
        <v>-1</v>
      </c>
    </row>
    <row r="94" spans="1:26" s="27" customFormat="1" outlineLevel="1" collapsed="1" x14ac:dyDescent="0.25">
      <c r="A94" s="28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SUM(OSRRefD22_8x_0)</f>
        <v>1009.76</v>
      </c>
      <c r="E94" s="1"/>
      <c r="F94" s="5">
        <f t="shared" ref="F94:F97" si="44">IF(D$12=0,0,D94/D$12)</f>
        <v>6.8272672844445683E-3</v>
      </c>
      <c r="G94" s="1"/>
      <c r="H94" s="1">
        <f>SUM(OSRRefH22_8x_0)</f>
        <v>869.59999999999991</v>
      </c>
      <c r="I94" s="1"/>
      <c r="J94" s="5">
        <f t="shared" ref="J94:J97" si="45">IF(H$12=0,0,H94/H$12)</f>
        <v>4.8138571772418362E-3</v>
      </c>
      <c r="K94" s="1"/>
      <c r="L94" s="1">
        <f t="shared" ref="L94:L97" si="46">+D94-H94</f>
        <v>140.16000000000008</v>
      </c>
      <c r="M94" s="1"/>
      <c r="N94" s="5">
        <f t="shared" ref="N94:N97" si="47">IF(H94=0,0,L94/H94)</f>
        <v>0.16117755289788419</v>
      </c>
      <c r="O94" s="14"/>
      <c r="P94" s="1">
        <f>SUM(OSRRefP22_8x_0)</f>
        <v>1009.76</v>
      </c>
      <c r="Q94" s="1"/>
      <c r="R94" s="5">
        <f t="shared" ref="R94:R97" si="48">IF(P$12=0,0,P94/P$12)</f>
        <v>6.8272672844445683E-3</v>
      </c>
      <c r="S94" s="1"/>
      <c r="T94" s="1">
        <f>SUM(OSRRefT22_8x_0)</f>
        <v>869.59999999999991</v>
      </c>
      <c r="U94" s="1"/>
      <c r="V94" s="5">
        <f t="shared" ref="V94:V97" si="49">IF(T$12=0,0,T94/T$12)</f>
        <v>4.8138571772418362E-3</v>
      </c>
      <c r="W94" s="1"/>
      <c r="X94" s="1">
        <f t="shared" ref="X94:X97" si="50">+P94-T94</f>
        <v>140.16000000000008</v>
      </c>
      <c r="Y94" s="1"/>
      <c r="Z94" s="5">
        <f t="shared" ref="Z94:Z97" si="51">IF(T94=0,0,X94/T94)</f>
        <v>0.16117755289788419</v>
      </c>
    </row>
    <row r="95" spans="1:26" s="24" customFormat="1" hidden="1" outlineLevel="2" x14ac:dyDescent="0.25">
      <c r="A95" s="29"/>
      <c r="B95" s="11" t="str">
        <f>CONCATENATE("          ", "6234", " - ", "EXPENDABLE SUPPLIES &amp; EQUIPMEN")</f>
        <v xml:space="preserve">          6234 - EXPENDABLE SUPPLIES &amp; EQUIPMEN</v>
      </c>
      <c r="C95" s="11"/>
      <c r="D95" s="8"/>
      <c r="E95" s="3"/>
      <c r="F95" s="7">
        <f t="shared" si="44"/>
        <v>0</v>
      </c>
      <c r="G95" s="3"/>
      <c r="H95" s="8">
        <v>-15.95</v>
      </c>
      <c r="I95" s="3"/>
      <c r="J95" s="7">
        <f t="shared" si="45"/>
        <v>-8.8294643487818876E-5</v>
      </c>
      <c r="K95" s="3"/>
      <c r="L95" s="8">
        <f t="shared" si="46"/>
        <v>15.95</v>
      </c>
      <c r="M95" s="3"/>
      <c r="N95" s="7">
        <f t="shared" si="47"/>
        <v>-1</v>
      </c>
      <c r="O95" s="11"/>
      <c r="P95" s="8"/>
      <c r="Q95" s="3"/>
      <c r="R95" s="7">
        <f t="shared" si="48"/>
        <v>0</v>
      </c>
      <c r="S95" s="3"/>
      <c r="T95" s="8">
        <v>-15.95</v>
      </c>
      <c r="U95" s="3"/>
      <c r="V95" s="7">
        <f t="shared" si="49"/>
        <v>-8.8294643487818876E-5</v>
      </c>
      <c r="W95" s="3"/>
      <c r="X95" s="8">
        <f t="shared" si="50"/>
        <v>15.95</v>
      </c>
      <c r="Y95" s="3"/>
      <c r="Z95" s="7">
        <f t="shared" si="51"/>
        <v>-1</v>
      </c>
    </row>
    <row r="96" spans="1:26" s="24" customFormat="1" hidden="1" outlineLevel="2" x14ac:dyDescent="0.25">
      <c r="A96" s="29"/>
      <c r="B96" s="11" t="str">
        <f>CONCATENATE("          ", "6235", " - ", "COVID-19 EXPENSES")</f>
        <v xml:space="preserve">          6235 - COVID-19 EXPENSES</v>
      </c>
      <c r="C96" s="11"/>
      <c r="D96" s="8">
        <v>961.38</v>
      </c>
      <c r="E96" s="3"/>
      <c r="F96" s="7">
        <f t="shared" si="44"/>
        <v>6.5001566925995471E-3</v>
      </c>
      <c r="G96" s="3"/>
      <c r="H96" s="8"/>
      <c r="I96" s="3"/>
      <c r="J96" s="7">
        <f t="shared" si="45"/>
        <v>0</v>
      </c>
      <c r="K96" s="3"/>
      <c r="L96" s="8">
        <f t="shared" si="46"/>
        <v>961.38</v>
      </c>
      <c r="M96" s="3"/>
      <c r="N96" s="7">
        <f t="shared" si="47"/>
        <v>0</v>
      </c>
      <c r="O96" s="11"/>
      <c r="P96" s="8">
        <v>961.38</v>
      </c>
      <c r="Q96" s="3"/>
      <c r="R96" s="7">
        <f t="shared" si="48"/>
        <v>6.5001566925995471E-3</v>
      </c>
      <c r="S96" s="3"/>
      <c r="T96" s="8"/>
      <c r="U96" s="3"/>
      <c r="V96" s="7">
        <f t="shared" si="49"/>
        <v>0</v>
      </c>
      <c r="W96" s="3"/>
      <c r="X96" s="8">
        <f t="shared" si="50"/>
        <v>961.38</v>
      </c>
      <c r="Y96" s="3"/>
      <c r="Z96" s="7">
        <f t="shared" si="51"/>
        <v>0</v>
      </c>
    </row>
    <row r="97" spans="1:26" s="24" customFormat="1" hidden="1" outlineLevel="2" x14ac:dyDescent="0.25">
      <c r="A97" s="29"/>
      <c r="B97" s="11" t="str">
        <f>CONCATENATE("          ", "6241", " - ", "OFFICE EXPENSE")</f>
        <v xml:space="preserve">          6241 - OFFICE EXPENSE</v>
      </c>
      <c r="C97" s="11"/>
      <c r="D97" s="8">
        <v>48.38</v>
      </c>
      <c r="E97" s="3"/>
      <c r="F97" s="7">
        <f t="shared" si="44"/>
        <v>3.2711059184502083E-4</v>
      </c>
      <c r="G97" s="3"/>
      <c r="H97" s="8">
        <v>885.55</v>
      </c>
      <c r="I97" s="3"/>
      <c r="J97" s="7">
        <f t="shared" si="45"/>
        <v>4.9021518207296557E-3</v>
      </c>
      <c r="K97" s="3"/>
      <c r="L97" s="8">
        <f t="shared" si="46"/>
        <v>-837.17</v>
      </c>
      <c r="M97" s="3"/>
      <c r="N97" s="7">
        <f t="shared" si="47"/>
        <v>-0.94536728586753993</v>
      </c>
      <c r="O97" s="11"/>
      <c r="P97" s="8">
        <v>48.38</v>
      </c>
      <c r="Q97" s="3"/>
      <c r="R97" s="7">
        <f t="shared" si="48"/>
        <v>3.2711059184502083E-4</v>
      </c>
      <c r="S97" s="3"/>
      <c r="T97" s="8">
        <v>885.55</v>
      </c>
      <c r="U97" s="3"/>
      <c r="V97" s="7">
        <f t="shared" si="49"/>
        <v>4.9021518207296557E-3</v>
      </c>
      <c r="W97" s="3"/>
      <c r="X97" s="8">
        <f t="shared" si="50"/>
        <v>-837.17</v>
      </c>
      <c r="Y97" s="3"/>
      <c r="Z97" s="7">
        <f t="shared" si="51"/>
        <v>-0.94536728586753993</v>
      </c>
    </row>
    <row r="98" spans="1:26" s="27" customFormat="1" outlineLevel="1" collapsed="1" x14ac:dyDescent="0.25">
      <c r="A98" s="28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SUM(OSRRefD22_9x_0)</f>
        <v>514.22</v>
      </c>
      <c r="E98" s="1"/>
      <c r="F98" s="5">
        <f t="shared" ref="F98:F101" si="52">IF(D$12=0,0,D98/D$12)</f>
        <v>3.4767839714457752E-3</v>
      </c>
      <c r="G98" s="1"/>
      <c r="H98" s="1">
        <f>SUM(OSRRefH22_9x_0)</f>
        <v>588.27</v>
      </c>
      <c r="I98" s="1"/>
      <c r="J98" s="5">
        <f t="shared" ref="J98:J101" si="53">IF(H$12=0,0,H98/H$12)</f>
        <v>3.2564946661178189E-3</v>
      </c>
      <c r="K98" s="1"/>
      <c r="L98" s="1">
        <f t="shared" ref="L98:L101" si="54">+D98-H98</f>
        <v>-74.049999999999955</v>
      </c>
      <c r="M98" s="1"/>
      <c r="N98" s="5">
        <f t="shared" ref="N98:N101" si="55">IF(H98=0,0,L98/H98)</f>
        <v>-0.12587757322317977</v>
      </c>
      <c r="O98" s="14"/>
      <c r="P98" s="1">
        <f>SUM(OSRRefP22_9x_0)</f>
        <v>514.22</v>
      </c>
      <c r="Q98" s="1"/>
      <c r="R98" s="5">
        <f t="shared" ref="R98:R101" si="56">IF(P$12=0,0,P98/P$12)</f>
        <v>3.4767839714457752E-3</v>
      </c>
      <c r="S98" s="1"/>
      <c r="T98" s="1">
        <f>SUM(OSRRefT22_9x_0)</f>
        <v>588.27</v>
      </c>
      <c r="U98" s="1"/>
      <c r="V98" s="5">
        <f t="shared" ref="V98:V101" si="57">IF(T$12=0,0,T98/T$12)</f>
        <v>3.2564946661178189E-3</v>
      </c>
      <c r="W98" s="1"/>
      <c r="X98" s="1">
        <f t="shared" ref="X98:X101" si="58">+P98-T98</f>
        <v>-74.049999999999955</v>
      </c>
      <c r="Y98" s="1"/>
      <c r="Z98" s="5">
        <f t="shared" ref="Z98:Z101" si="59">IF(T98=0,0,X98/T98)</f>
        <v>-0.12587757322317977</v>
      </c>
    </row>
    <row r="99" spans="1:26" s="24" customFormat="1" hidden="1" outlineLevel="2" x14ac:dyDescent="0.25">
      <c r="A99" s="29"/>
      <c r="B99" s="11" t="str">
        <f>CONCATENATE("          ", "6309", " - ", "TELEPHONE")</f>
        <v xml:space="preserve">          6309 - TELEPHONE</v>
      </c>
      <c r="C99" s="11"/>
      <c r="D99" s="8">
        <v>514.22</v>
      </c>
      <c r="E99" s="3"/>
      <c r="F99" s="7">
        <f t="shared" si="52"/>
        <v>3.4767839714457752E-3</v>
      </c>
      <c r="G99" s="3"/>
      <c r="H99" s="8">
        <v>588.27</v>
      </c>
      <c r="I99" s="3"/>
      <c r="J99" s="7">
        <f t="shared" si="53"/>
        <v>3.2564946661178189E-3</v>
      </c>
      <c r="K99" s="3"/>
      <c r="L99" s="8">
        <f t="shared" si="54"/>
        <v>-74.049999999999955</v>
      </c>
      <c r="M99" s="3"/>
      <c r="N99" s="7">
        <f t="shared" si="55"/>
        <v>-0.12587757322317977</v>
      </c>
      <c r="O99" s="11"/>
      <c r="P99" s="8">
        <v>514.22</v>
      </c>
      <c r="Q99" s="3"/>
      <c r="R99" s="7">
        <f t="shared" si="56"/>
        <v>3.4767839714457752E-3</v>
      </c>
      <c r="S99" s="3"/>
      <c r="T99" s="8">
        <v>588.27</v>
      </c>
      <c r="U99" s="3"/>
      <c r="V99" s="7">
        <f t="shared" si="57"/>
        <v>3.2564946661178189E-3</v>
      </c>
      <c r="W99" s="3"/>
      <c r="X99" s="8">
        <f t="shared" si="58"/>
        <v>-74.049999999999955</v>
      </c>
      <c r="Y99" s="3"/>
      <c r="Z99" s="7">
        <f t="shared" si="59"/>
        <v>-0.12587757322317977</v>
      </c>
    </row>
    <row r="100" spans="1:26" s="27" customFormat="1" outlineLevel="1" collapsed="1" x14ac:dyDescent="0.25">
      <c r="A100" s="28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SUM(OSRRefD22_10x_0)</f>
        <v>0</v>
      </c>
      <c r="E100" s="1"/>
      <c r="F100" s="5">
        <f t="shared" si="52"/>
        <v>0</v>
      </c>
      <c r="G100" s="1"/>
      <c r="H100" s="1">
        <f>SUM(OSRRefH22_10x_0)</f>
        <v>103.5</v>
      </c>
      <c r="I100" s="1"/>
      <c r="J100" s="5">
        <f t="shared" si="53"/>
        <v>5.7294643266390304E-4</v>
      </c>
      <c r="K100" s="1"/>
      <c r="L100" s="1">
        <f t="shared" si="54"/>
        <v>-103.5</v>
      </c>
      <c r="M100" s="1"/>
      <c r="N100" s="5">
        <f t="shared" si="55"/>
        <v>-1</v>
      </c>
      <c r="O100" s="14"/>
      <c r="P100" s="1">
        <f>SUM(OSRRefP22_10x_0)</f>
        <v>0</v>
      </c>
      <c r="Q100" s="1"/>
      <c r="R100" s="5">
        <f t="shared" si="56"/>
        <v>0</v>
      </c>
      <c r="S100" s="1"/>
      <c r="T100" s="1">
        <f>SUM(OSRRefT22_10x_0)</f>
        <v>103.5</v>
      </c>
      <c r="U100" s="1"/>
      <c r="V100" s="5">
        <f t="shared" si="57"/>
        <v>5.7294643266390304E-4</v>
      </c>
      <c r="W100" s="1"/>
      <c r="X100" s="1">
        <f t="shared" si="58"/>
        <v>-103.5</v>
      </c>
      <c r="Y100" s="1"/>
      <c r="Z100" s="5">
        <f t="shared" si="59"/>
        <v>-1</v>
      </c>
    </row>
    <row r="101" spans="1:26" s="24" customFormat="1" hidden="1" outlineLevel="2" x14ac:dyDescent="0.25">
      <c r="A101" s="29"/>
      <c r="B101" s="11" t="str">
        <f>CONCATENATE("          ", "6376", " - ", "TRAINING")</f>
        <v xml:space="preserve">          6376 - TRAINING</v>
      </c>
      <c r="C101" s="11"/>
      <c r="D101" s="8"/>
      <c r="E101" s="3"/>
      <c r="F101" s="7">
        <f t="shared" si="52"/>
        <v>0</v>
      </c>
      <c r="G101" s="3"/>
      <c r="H101" s="8">
        <v>103.5</v>
      </c>
      <c r="I101" s="3"/>
      <c r="J101" s="7">
        <f t="shared" si="53"/>
        <v>5.7294643266390304E-4</v>
      </c>
      <c r="K101" s="3"/>
      <c r="L101" s="8">
        <f t="shared" si="54"/>
        <v>-103.5</v>
      </c>
      <c r="M101" s="3"/>
      <c r="N101" s="7">
        <f t="shared" si="55"/>
        <v>-1</v>
      </c>
      <c r="O101" s="11"/>
      <c r="P101" s="8"/>
      <c r="Q101" s="3"/>
      <c r="R101" s="7">
        <f t="shared" si="56"/>
        <v>0</v>
      </c>
      <c r="S101" s="3"/>
      <c r="T101" s="8">
        <v>103.5</v>
      </c>
      <c r="U101" s="3"/>
      <c r="V101" s="7">
        <f t="shared" si="57"/>
        <v>5.7294643266390304E-4</v>
      </c>
      <c r="W101" s="3"/>
      <c r="X101" s="8">
        <f t="shared" si="58"/>
        <v>-103.5</v>
      </c>
      <c r="Y101" s="3"/>
      <c r="Z101" s="7">
        <f t="shared" si="59"/>
        <v>-1</v>
      </c>
    </row>
    <row r="102" spans="1:26" s="61" customFormat="1" x14ac:dyDescent="0.25">
      <c r="A102" s="37"/>
      <c r="B102" s="37"/>
      <c r="C102" s="37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7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5" t="s">
        <v>0</v>
      </c>
      <c r="C103" s="10"/>
      <c r="D103" s="4">
        <f>SUM(OSRRefD25x_0)</f>
        <v>172008.31</v>
      </c>
      <c r="E103" s="4"/>
      <c r="F103" s="12">
        <f t="shared" ref="F103:F105" si="60">IF(D$12=0,0,D103/D$12)</f>
        <v>1.162995867845428</v>
      </c>
      <c r="G103" s="4"/>
      <c r="H103" s="4">
        <f>SUM(OSRRefH25x_0)</f>
        <v>9374.82</v>
      </c>
      <c r="I103" s="4"/>
      <c r="J103" s="12">
        <f t="shared" ref="J103:J105" si="61">IF(H$12=0,0,H103/H$12)</f>
        <v>5.1896325370688036E-2</v>
      </c>
      <c r="K103" s="4"/>
      <c r="L103" s="4">
        <f t="shared" ref="L103:L105" si="62">+D103-H103</f>
        <v>162633.49</v>
      </c>
      <c r="M103" s="4"/>
      <c r="N103" s="12">
        <f t="shared" ref="N103:N105" si="63">IF(H103=0,0,L103/H103)</f>
        <v>17.34790534644932</v>
      </c>
      <c r="O103" s="10"/>
      <c r="P103" s="4">
        <f>SUM(OSRRefP25x_0)</f>
        <v>172008.31</v>
      </c>
      <c r="Q103" s="4"/>
      <c r="R103" s="12">
        <f t="shared" ref="R103:R105" si="64">IF(P$12=0,0,P103/P$12)</f>
        <v>1.162995867845428</v>
      </c>
      <c r="S103" s="4"/>
      <c r="T103" s="4">
        <f>SUM(OSRRefT25x_0)</f>
        <v>9374.82</v>
      </c>
      <c r="U103" s="4"/>
      <c r="V103" s="12">
        <f t="shared" ref="V103:V105" si="65">IF(T$12=0,0,T103/T$12)</f>
        <v>5.1896325370688036E-2</v>
      </c>
      <c r="W103" s="4"/>
      <c r="X103" s="4">
        <f t="shared" ref="X103:X105" si="66">+P103-T103</f>
        <v>162633.49</v>
      </c>
      <c r="Y103" s="4"/>
      <c r="Z103" s="12">
        <f t="shared" ref="Z103:Z105" si="67">IF(T103=0,0,X103/T103)</f>
        <v>17.34790534644932</v>
      </c>
    </row>
    <row r="104" spans="1:26" s="24" customFormat="1" hidden="1" outlineLevel="1" x14ac:dyDescent="0.25">
      <c r="A104" s="50"/>
      <c r="B104" s="11" t="str">
        <f>CONCATENATE("          ", "9150", " - ", "MISC. INCOME")</f>
        <v xml:space="preserve">          9150 - MISC. INCOME</v>
      </c>
      <c r="C104" s="11"/>
      <c r="D104" s="3">
        <f>--11344.41</f>
        <v>11344.41</v>
      </c>
      <c r="E104" s="3"/>
      <c r="F104" s="22">
        <f t="shared" si="60"/>
        <v>7.6702700893604217E-2</v>
      </c>
      <c r="G104" s="3"/>
      <c r="H104" s="3">
        <f>--9374.82</f>
        <v>9374.82</v>
      </c>
      <c r="I104" s="3"/>
      <c r="J104" s="22">
        <f t="shared" si="61"/>
        <v>5.1896325370688036E-2</v>
      </c>
      <c r="K104" s="3"/>
      <c r="L104" s="3">
        <f t="shared" si="62"/>
        <v>1969.5900000000001</v>
      </c>
      <c r="M104" s="3"/>
      <c r="N104" s="22">
        <f t="shared" si="63"/>
        <v>0.21009363379776894</v>
      </c>
      <c r="O104" s="11"/>
      <c r="P104" s="3">
        <f>--11344.41</f>
        <v>11344.41</v>
      </c>
      <c r="Q104" s="3"/>
      <c r="R104" s="22">
        <f t="shared" si="64"/>
        <v>7.6702700893604217E-2</v>
      </c>
      <c r="S104" s="3"/>
      <c r="T104" s="3">
        <f>--9374.82</f>
        <v>9374.82</v>
      </c>
      <c r="U104" s="3"/>
      <c r="V104" s="22">
        <f t="shared" si="65"/>
        <v>5.1896325370688036E-2</v>
      </c>
      <c r="W104" s="3"/>
      <c r="X104" s="3">
        <f t="shared" si="66"/>
        <v>1969.5900000000001</v>
      </c>
      <c r="Y104" s="3"/>
      <c r="Z104" s="22">
        <f t="shared" si="67"/>
        <v>0.21009363379776894</v>
      </c>
    </row>
    <row r="105" spans="1:26" s="24" customFormat="1" hidden="1" outlineLevel="1" x14ac:dyDescent="0.25">
      <c r="A105" s="50"/>
      <c r="B105" s="11" t="str">
        <f>CONCATENATE("          ", "9163", " - ", "MISC. INCOME")</f>
        <v xml:space="preserve">          9163 - MISC. INCOME</v>
      </c>
      <c r="C105" s="11"/>
      <c r="D105" s="3">
        <f>--160663.9</f>
        <v>160663.9</v>
      </c>
      <c r="E105" s="3"/>
      <c r="F105" s="22">
        <f t="shared" si="60"/>
        <v>1.0862931669518239</v>
      </c>
      <c r="G105" s="3"/>
      <c r="H105" s="3">
        <f>0</f>
        <v>0</v>
      </c>
      <c r="I105" s="3"/>
      <c r="J105" s="22">
        <f t="shared" si="61"/>
        <v>0</v>
      </c>
      <c r="K105" s="3"/>
      <c r="L105" s="3">
        <f t="shared" si="62"/>
        <v>160663.9</v>
      </c>
      <c r="M105" s="3"/>
      <c r="N105" s="22">
        <f t="shared" si="63"/>
        <v>0</v>
      </c>
      <c r="O105" s="11"/>
      <c r="P105" s="3">
        <f>--160663.9</f>
        <v>160663.9</v>
      </c>
      <c r="Q105" s="3"/>
      <c r="R105" s="22">
        <f t="shared" si="64"/>
        <v>1.0862931669518239</v>
      </c>
      <c r="S105" s="3"/>
      <c r="T105" s="3">
        <f>0</f>
        <v>0</v>
      </c>
      <c r="U105" s="3"/>
      <c r="V105" s="22">
        <f t="shared" si="65"/>
        <v>0</v>
      </c>
      <c r="W105" s="3"/>
      <c r="X105" s="3">
        <f t="shared" si="66"/>
        <v>160663.9</v>
      </c>
      <c r="Y105" s="3"/>
      <c r="Z105" s="22">
        <f t="shared" si="67"/>
        <v>0</v>
      </c>
    </row>
    <row r="106" spans="1:26" x14ac:dyDescent="0.25">
      <c r="A106" s="9"/>
      <c r="B106" s="10"/>
      <c r="C106" s="10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10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23" customFormat="1" x14ac:dyDescent="0.25">
      <c r="A107" s="10"/>
      <c r="B107" s="26" t="s">
        <v>3</v>
      </c>
      <c r="C107" s="26"/>
      <c r="D107" s="19">
        <f>+D64-D66+D103</f>
        <v>180028.35999999996</v>
      </c>
      <c r="E107" s="13"/>
      <c r="F107" s="20">
        <f>IF(D$12=0,0,D107/D$12)</f>
        <v>1.217221649203978</v>
      </c>
      <c r="G107" s="13"/>
      <c r="H107" s="19">
        <f>+H64-H66+H103</f>
        <v>47439.979999999989</v>
      </c>
      <c r="I107" s="13"/>
      <c r="J107" s="20">
        <f>IF(H$12=0,0,H107/H$12)</f>
        <v>0.26261417687581551</v>
      </c>
      <c r="K107" s="16"/>
      <c r="L107" s="19">
        <f>+D107-H107</f>
        <v>132588.37999999998</v>
      </c>
      <c r="M107" s="16"/>
      <c r="N107" s="20">
        <f>IF(H107=0,0,L107/H107)</f>
        <v>2.7948658494375422</v>
      </c>
      <c r="O107" s="25"/>
      <c r="P107" s="19">
        <f>+P64-P66+P103</f>
        <v>180028.35999999996</v>
      </c>
      <c r="Q107" s="13"/>
      <c r="R107" s="20">
        <f>IF(P$12=0,0,P107/P$12)</f>
        <v>1.217221649203978</v>
      </c>
      <c r="S107" s="13"/>
      <c r="T107" s="19">
        <f>+T64-T66+T103</f>
        <v>47439.979999999989</v>
      </c>
      <c r="U107" s="13"/>
      <c r="V107" s="20">
        <f>IF(T$12=0,0,T107/T$12)</f>
        <v>0.26261417687581551</v>
      </c>
      <c r="W107" s="16"/>
      <c r="X107" s="19">
        <f>+P107-T107</f>
        <v>132588.37999999998</v>
      </c>
      <c r="Y107" s="16"/>
      <c r="Z107" s="20">
        <f>IF(T107=0,0,X107/T107)</f>
        <v>2.7948658494375422</v>
      </c>
    </row>
    <row r="108" spans="1:26" x14ac:dyDescent="0.25">
      <c r="A108" s="9"/>
      <c r="B108" s="10"/>
      <c r="C108" s="9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3" customFormat="1" x14ac:dyDescent="0.25">
      <c r="A109" s="51"/>
      <c r="B109" s="10" t="s">
        <v>13</v>
      </c>
      <c r="C109" s="10"/>
      <c r="D109" s="4">
        <v>75751.090000000011</v>
      </c>
      <c r="E109" s="4"/>
      <c r="F109" s="12">
        <f>IF(D$12=0,0,D109/D$12)</f>
        <v>0.51217411911544941</v>
      </c>
      <c r="G109" s="4"/>
      <c r="H109" s="4">
        <v>37561.449999999997</v>
      </c>
      <c r="I109" s="4"/>
      <c r="J109" s="12">
        <f>IF(H$12=0,0,H109/H$12)</f>
        <v>0.20792945684235326</v>
      </c>
      <c r="K109" s="4"/>
      <c r="L109" s="4">
        <f>+D109-H109</f>
        <v>38189.640000000014</v>
      </c>
      <c r="M109" s="4"/>
      <c r="N109" s="12">
        <f>IF(H109=0,0,L109/H109)</f>
        <v>1.016724327734952</v>
      </c>
      <c r="O109" s="10"/>
      <c r="P109" s="4">
        <v>75751.090000000011</v>
      </c>
      <c r="Q109" s="4"/>
      <c r="R109" s="12">
        <f>IF(P$12=0,0,P109/P$12)</f>
        <v>0.51217411911544941</v>
      </c>
      <c r="S109" s="4"/>
      <c r="T109" s="4">
        <v>37561.449999999997</v>
      </c>
      <c r="U109" s="4"/>
      <c r="V109" s="12">
        <f>IF(T$12=0,0,T109/T$12)</f>
        <v>0.20792945684235326</v>
      </c>
      <c r="W109" s="4"/>
      <c r="X109" s="4">
        <f>+P109-T109</f>
        <v>38189.640000000014</v>
      </c>
      <c r="Y109" s="4"/>
      <c r="Z109" s="12">
        <f>IF(T109=0,0,X109/T109)</f>
        <v>1.016724327734952</v>
      </c>
    </row>
    <row r="110" spans="1:26" x14ac:dyDescent="0.25">
      <c r="A110" s="9"/>
      <c r="B110" s="10"/>
      <c r="C110" s="10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10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23" customFormat="1" ht="15.75" thickBot="1" x14ac:dyDescent="0.3">
      <c r="A111" s="10"/>
      <c r="B111" s="26" t="s">
        <v>4</v>
      </c>
      <c r="C111" s="26"/>
      <c r="D111" s="35">
        <f>+D107-D109</f>
        <v>104277.26999999995</v>
      </c>
      <c r="E111" s="13"/>
      <c r="F111" s="30">
        <f>IF(D$12=0,0,D111/D$12)</f>
        <v>0.70504753008852861</v>
      </c>
      <c r="G111" s="13"/>
      <c r="H111" s="35">
        <f>+H107-H109</f>
        <v>9878.5299999999916</v>
      </c>
      <c r="I111" s="13"/>
      <c r="J111" s="30">
        <f>IF(H$12=0,0,H111/H$12)</f>
        <v>5.4684720033462239E-2</v>
      </c>
      <c r="K111" s="16"/>
      <c r="L111" s="35">
        <f>D111-H111</f>
        <v>94398.739999999962</v>
      </c>
      <c r="M111" s="16"/>
      <c r="N111" s="30">
        <f>IF(H111=0,0,L111/H111)</f>
        <v>9.5559501261827453</v>
      </c>
      <c r="O111" s="25"/>
      <c r="P111" s="35">
        <f>+P107-P109</f>
        <v>104277.26999999995</v>
      </c>
      <c r="Q111" s="13"/>
      <c r="R111" s="30">
        <f>IF(P$12=0,0,P111/P$12)</f>
        <v>0.70504753008852861</v>
      </c>
      <c r="S111" s="13"/>
      <c r="T111" s="35">
        <f>+T107-T109</f>
        <v>9878.5299999999916</v>
      </c>
      <c r="U111" s="13"/>
      <c r="V111" s="30">
        <f>IF(T$12=0,0,T111/T$12)</f>
        <v>5.4684720033462239E-2</v>
      </c>
      <c r="W111" s="16"/>
      <c r="X111" s="35">
        <f>P111-T111</f>
        <v>94398.739999999962</v>
      </c>
      <c r="Y111" s="16"/>
      <c r="Z111" s="30">
        <f>IF(T111=0,0,X111/T111)</f>
        <v>9.5559501261827453</v>
      </c>
    </row>
    <row r="112" spans="1:26" ht="15.75" thickTop="1" x14ac:dyDescent="0.25">
      <c r="A112" s="9"/>
      <c r="B112" s="9"/>
      <c r="C112" s="9"/>
      <c r="D112" s="2"/>
      <c r="E112" s="2"/>
      <c r="F112" s="6"/>
      <c r="G112" s="2"/>
      <c r="H112" s="2"/>
      <c r="I112" s="2"/>
      <c r="J112" s="6"/>
      <c r="K112" s="2"/>
      <c r="L112" s="2"/>
      <c r="M112" s="2"/>
      <c r="N112" s="6"/>
      <c r="P112" s="2"/>
      <c r="Q112" s="2"/>
      <c r="R112" s="6"/>
      <c r="S112" s="2"/>
      <c r="T112" s="2"/>
      <c r="U112" s="2"/>
      <c r="V112" s="6"/>
      <c r="W112" s="2"/>
      <c r="X112" s="2"/>
      <c r="Y112" s="2"/>
      <c r="Z112" s="6"/>
    </row>
    <row r="113" spans="1:26" x14ac:dyDescent="0.25">
      <c r="A113" s="9"/>
      <c r="B113" s="9"/>
      <c r="C113" s="9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ht="15.75" thickBot="1" x14ac:dyDescent="0.3">
      <c r="A114" s="10"/>
      <c r="B114" s="26" t="s">
        <v>5</v>
      </c>
      <c r="C114" s="26"/>
      <c r="D114" s="31">
        <f>SUM(D111:D113)</f>
        <v>104277.26999999995</v>
      </c>
      <c r="E114" s="13"/>
      <c r="F114" s="32">
        <f>IF(D$12=0,0,D114/D$12)</f>
        <v>0.70504753008852861</v>
      </c>
      <c r="G114" s="13"/>
      <c r="H114" s="31">
        <f>SUM(H111:H113)</f>
        <v>9878.5299999999916</v>
      </c>
      <c r="I114" s="13"/>
      <c r="J114" s="32">
        <f>IF(H$12=0,0,H114/H$12)</f>
        <v>5.4684720033462239E-2</v>
      </c>
      <c r="K114" s="16"/>
      <c r="L114" s="31">
        <f>+D114-H114</f>
        <v>94398.739999999962</v>
      </c>
      <c r="M114" s="16"/>
      <c r="N114" s="32">
        <f>IF(H114=0,0,L114/H114)</f>
        <v>9.5559501261827453</v>
      </c>
      <c r="O114" s="25"/>
      <c r="P114" s="31">
        <f>SUM(P111:P113)</f>
        <v>104277.26999999995</v>
      </c>
      <c r="Q114" s="13"/>
      <c r="R114" s="32">
        <f>IF(P$12=0,0,P114/P$12)</f>
        <v>0.70504753008852861</v>
      </c>
      <c r="S114" s="13"/>
      <c r="T114" s="31">
        <f>SUM(T111:T113)</f>
        <v>9878.5299999999916</v>
      </c>
      <c r="U114" s="13"/>
      <c r="V114" s="32">
        <f>IF(T$12=0,0,T114/T$12)</f>
        <v>5.4684720033462239E-2</v>
      </c>
      <c r="W114" s="16"/>
      <c r="X114" s="31">
        <f>+P114-T114</f>
        <v>94398.739999999962</v>
      </c>
      <c r="Y114" s="16"/>
      <c r="Z114" s="32">
        <f>IF(T114=0,0,X114/T114)</f>
        <v>9.5559501261827453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59">
        <v>44109.414266435182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62" t="s">
        <v>313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6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26879.770000000004</v>
      </c>
      <c r="E12" s="4"/>
      <c r="F12" s="12"/>
      <c r="G12" s="4"/>
      <c r="H12" s="4">
        <f>SUM(OSRRefH13x_0)</f>
        <v>51482.15</v>
      </c>
      <c r="I12" s="4"/>
      <c r="J12" s="12"/>
      <c r="K12" s="4"/>
      <c r="L12" s="4">
        <f t="shared" ref="L12:L31" si="0">+D12-H12</f>
        <v>-24602.379999999997</v>
      </c>
      <c r="M12" s="4"/>
      <c r="N12" s="12">
        <f t="shared" ref="N12:N31" si="1">IF(H12=0,0,L12/H12)</f>
        <v>-0.4778817512477625</v>
      </c>
      <c r="O12" s="10"/>
      <c r="P12" s="4">
        <f>SUM(OSRRefP13x_0)</f>
        <v>26879.770000000004</v>
      </c>
      <c r="Q12" s="4"/>
      <c r="R12" s="12"/>
      <c r="S12" s="4"/>
      <c r="T12" s="4">
        <f>SUM(OSRRefT13x_0)</f>
        <v>51482.15</v>
      </c>
      <c r="U12" s="4"/>
      <c r="V12" s="12"/>
      <c r="W12" s="4"/>
      <c r="X12" s="4">
        <f t="shared" ref="X12:X31" si="2">+P12-T12</f>
        <v>-24602.379999999997</v>
      </c>
      <c r="Y12" s="4"/>
      <c r="Z12" s="12">
        <f t="shared" ref="Z12:Z31" si="3">IF(T12=0,0,X12/T12)</f>
        <v>-0.4778817512477625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-350.33</f>
        <v>-350.33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-350.33</v>
      </c>
      <c r="M13" s="3"/>
      <c r="N13" s="22">
        <f t="shared" si="1"/>
        <v>0</v>
      </c>
      <c r="O13" s="11"/>
      <c r="P13" s="3">
        <f>-350.33</f>
        <v>-350.33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-350.33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3">
        <f>--14.57</f>
        <v>14.57</v>
      </c>
      <c r="E14" s="3"/>
      <c r="F14" s="22"/>
      <c r="G14" s="3"/>
      <c r="H14" s="3">
        <f>--38.56</f>
        <v>38.56</v>
      </c>
      <c r="I14" s="3"/>
      <c r="J14" s="22"/>
      <c r="K14" s="3"/>
      <c r="L14" s="3">
        <f t="shared" si="0"/>
        <v>-23.990000000000002</v>
      </c>
      <c r="M14" s="3"/>
      <c r="N14" s="22">
        <f t="shared" si="1"/>
        <v>-0.62214730290456433</v>
      </c>
      <c r="O14" s="11"/>
      <c r="P14" s="3">
        <f>--14.57</f>
        <v>14.57</v>
      </c>
      <c r="Q14" s="3"/>
      <c r="R14" s="22"/>
      <c r="S14" s="3"/>
      <c r="T14" s="3">
        <f>--38.56</f>
        <v>38.56</v>
      </c>
      <c r="U14" s="3"/>
      <c r="V14" s="22"/>
      <c r="W14" s="3"/>
      <c r="X14" s="3">
        <f t="shared" si="2"/>
        <v>-23.990000000000002</v>
      </c>
      <c r="Y14" s="3"/>
      <c r="Z14" s="22">
        <f t="shared" si="3"/>
        <v>-0.62214730290456433</v>
      </c>
    </row>
    <row r="15" spans="1:26" s="24" customFormat="1" hidden="1" outlineLevel="1" x14ac:dyDescent="0.25">
      <c r="A15" s="50"/>
      <c r="B15" s="11" t="str">
        <f>CONCATENATE("          ", "4040", " - ", "TAXABLE SALES-LOGO CLOTHING")</f>
        <v xml:space="preserve">          4040 - TAXABLE SALES-LOGO CLOTHING</v>
      </c>
      <c r="C15" s="11"/>
      <c r="D15" s="3">
        <f>--21911.66</f>
        <v>21911.66</v>
      </c>
      <c r="E15" s="3"/>
      <c r="F15" s="22"/>
      <c r="G15" s="3"/>
      <c r="H15" s="3">
        <f>--43752.41</f>
        <v>43752.41</v>
      </c>
      <c r="I15" s="3"/>
      <c r="J15" s="22"/>
      <c r="K15" s="3"/>
      <c r="L15" s="3">
        <f t="shared" si="0"/>
        <v>-21840.750000000004</v>
      </c>
      <c r="M15" s="3"/>
      <c r="N15" s="22">
        <f t="shared" si="1"/>
        <v>-0.49918964463900395</v>
      </c>
      <c r="O15" s="11"/>
      <c r="P15" s="3">
        <f>--21911.66</f>
        <v>21911.66</v>
      </c>
      <c r="Q15" s="3"/>
      <c r="R15" s="22"/>
      <c r="S15" s="3"/>
      <c r="T15" s="3">
        <f>--43752.41</f>
        <v>43752.41</v>
      </c>
      <c r="U15" s="3"/>
      <c r="V15" s="22"/>
      <c r="W15" s="3"/>
      <c r="X15" s="3">
        <f t="shared" si="2"/>
        <v>-21840.750000000004</v>
      </c>
      <c r="Y15" s="3"/>
      <c r="Z15" s="22">
        <f t="shared" si="3"/>
        <v>-0.49918964463900395</v>
      </c>
    </row>
    <row r="16" spans="1:26" s="24" customFormat="1" hidden="1" outlineLevel="1" x14ac:dyDescent="0.25">
      <c r="A16" s="50"/>
      <c r="B16" s="11" t="str">
        <f>CONCATENATE("          ", "4041", " - ", "TAXABLE SALES-LOGO GIFTS")</f>
        <v xml:space="preserve">          4041 - TAXABLE SALES-LOGO GIFTS</v>
      </c>
      <c r="C16" s="11"/>
      <c r="D16" s="3">
        <f>--4185.47</f>
        <v>4185.47</v>
      </c>
      <c r="E16" s="3"/>
      <c r="F16" s="22"/>
      <c r="G16" s="3"/>
      <c r="H16" s="3">
        <f>--6225.53</f>
        <v>6225.53</v>
      </c>
      <c r="I16" s="3"/>
      <c r="J16" s="22"/>
      <c r="K16" s="3"/>
      <c r="L16" s="3">
        <f t="shared" si="0"/>
        <v>-2040.0599999999995</v>
      </c>
      <c r="M16" s="3"/>
      <c r="N16" s="22">
        <f t="shared" si="1"/>
        <v>-0.32769258199703472</v>
      </c>
      <c r="O16" s="11"/>
      <c r="P16" s="3">
        <f>--4185.47</f>
        <v>4185.47</v>
      </c>
      <c r="Q16" s="3"/>
      <c r="R16" s="22"/>
      <c r="S16" s="3"/>
      <c r="T16" s="3">
        <f>--6225.53</f>
        <v>6225.53</v>
      </c>
      <c r="U16" s="3"/>
      <c r="V16" s="22"/>
      <c r="W16" s="3"/>
      <c r="X16" s="3">
        <f t="shared" si="2"/>
        <v>-2040.0599999999995</v>
      </c>
      <c r="Y16" s="3"/>
      <c r="Z16" s="22">
        <f t="shared" si="3"/>
        <v>-0.32769258199703472</v>
      </c>
    </row>
    <row r="17" spans="1:26" s="24" customFormat="1" hidden="1" outlineLevel="1" x14ac:dyDescent="0.25">
      <c r="A17" s="50"/>
      <c r="B17" s="11" t="str">
        <f>CONCATENATE("          ", "4042", " - ", "TAXABLE SALES-EVERYDAY GIFTS")</f>
        <v xml:space="preserve">          4042 - TAXABLE SALES-EVERYDAY GIFTS</v>
      </c>
      <c r="C17" s="11"/>
      <c r="D17" s="3">
        <f>--1599.33</f>
        <v>1599.33</v>
      </c>
      <c r="E17" s="3"/>
      <c r="F17" s="22"/>
      <c r="G17" s="3"/>
      <c r="H17" s="3">
        <f>--2433.61</f>
        <v>2433.61</v>
      </c>
      <c r="I17" s="3"/>
      <c r="J17" s="22"/>
      <c r="K17" s="3"/>
      <c r="L17" s="3">
        <f t="shared" si="0"/>
        <v>-834.2800000000002</v>
      </c>
      <c r="M17" s="3"/>
      <c r="N17" s="22">
        <f t="shared" si="1"/>
        <v>-0.34281581683178497</v>
      </c>
      <c r="O17" s="11"/>
      <c r="P17" s="3">
        <f>--1599.33</f>
        <v>1599.33</v>
      </c>
      <c r="Q17" s="3"/>
      <c r="R17" s="22"/>
      <c r="S17" s="3"/>
      <c r="T17" s="3">
        <f>--2433.61</f>
        <v>2433.61</v>
      </c>
      <c r="U17" s="3"/>
      <c r="V17" s="22"/>
      <c r="W17" s="3"/>
      <c r="X17" s="3">
        <f t="shared" si="2"/>
        <v>-834.2800000000002</v>
      </c>
      <c r="Y17" s="3"/>
      <c r="Z17" s="22">
        <f t="shared" si="3"/>
        <v>-0.34281581683178497</v>
      </c>
    </row>
    <row r="18" spans="1:26" s="24" customFormat="1" hidden="1" outlineLevel="1" x14ac:dyDescent="0.25">
      <c r="A18" s="50"/>
      <c r="B18" s="11" t="str">
        <f>CONCATENATE("          ", "4043", " - ", "TAXABLE SALES-CARDS")</f>
        <v xml:space="preserve">          4043 - TAXABLE SALES-CARDS</v>
      </c>
      <c r="C18" s="11"/>
      <c r="D18" s="3">
        <f>--29.99</f>
        <v>29.99</v>
      </c>
      <c r="E18" s="3"/>
      <c r="F18" s="22"/>
      <c r="G18" s="3"/>
      <c r="H18" s="3">
        <f>0</f>
        <v>0</v>
      </c>
      <c r="I18" s="3"/>
      <c r="J18" s="22"/>
      <c r="K18" s="3"/>
      <c r="L18" s="3">
        <f t="shared" si="0"/>
        <v>29.99</v>
      </c>
      <c r="M18" s="3"/>
      <c r="N18" s="22">
        <f t="shared" si="1"/>
        <v>0</v>
      </c>
      <c r="O18" s="11"/>
      <c r="P18" s="3">
        <f>--29.99</f>
        <v>29.99</v>
      </c>
      <c r="Q18" s="3"/>
      <c r="R18" s="22"/>
      <c r="S18" s="3"/>
      <c r="T18" s="3">
        <f>0</f>
        <v>0</v>
      </c>
      <c r="U18" s="3"/>
      <c r="V18" s="22"/>
      <c r="W18" s="3"/>
      <c r="X18" s="3">
        <f t="shared" si="2"/>
        <v>29.99</v>
      </c>
      <c r="Y18" s="3"/>
      <c r="Z18" s="22">
        <f t="shared" si="3"/>
        <v>0</v>
      </c>
    </row>
    <row r="19" spans="1:26" s="24" customFormat="1" hidden="1" outlineLevel="1" x14ac:dyDescent="0.25">
      <c r="A19" s="50"/>
      <c r="B19" s="11" t="str">
        <f>CONCATENATE("          ", "4044", " - ", "TAXABLE SALES-ACCESSORIES")</f>
        <v xml:space="preserve">          4044 - TAXABLE SALES-ACCESSORIES</v>
      </c>
      <c r="C19" s="11"/>
      <c r="D19" s="3">
        <f>--297.48</f>
        <v>297.48</v>
      </c>
      <c r="E19" s="3"/>
      <c r="F19" s="22"/>
      <c r="G19" s="3"/>
      <c r="H19" s="3">
        <f>--248.2</f>
        <v>248.2</v>
      </c>
      <c r="I19" s="3"/>
      <c r="J19" s="22"/>
      <c r="K19" s="3"/>
      <c r="L19" s="3">
        <f t="shared" si="0"/>
        <v>49.28000000000003</v>
      </c>
      <c r="M19" s="3"/>
      <c r="N19" s="22">
        <f t="shared" si="1"/>
        <v>0.19854955680902511</v>
      </c>
      <c r="O19" s="11"/>
      <c r="P19" s="3">
        <f>--297.48</f>
        <v>297.48</v>
      </c>
      <c r="Q19" s="3"/>
      <c r="R19" s="22"/>
      <c r="S19" s="3"/>
      <c r="T19" s="3">
        <f>--248.2</f>
        <v>248.2</v>
      </c>
      <c r="U19" s="3"/>
      <c r="V19" s="22"/>
      <c r="W19" s="3"/>
      <c r="X19" s="3">
        <f t="shared" si="2"/>
        <v>49.28000000000003</v>
      </c>
      <c r="Y19" s="3"/>
      <c r="Z19" s="22">
        <f t="shared" si="3"/>
        <v>0.19854955680902511</v>
      </c>
    </row>
    <row r="20" spans="1:26" s="24" customFormat="1" hidden="1" outlineLevel="1" x14ac:dyDescent="0.25">
      <c r="A20" s="50"/>
      <c r="B20" s="11" t="str">
        <f>CONCATENATE("          ", "4045", " - ", "TAXABLE SALES-SPECIAL ORDERS")</f>
        <v xml:space="preserve">          4045 - TAXABLE SALES-SPECIAL ORDERS</v>
      </c>
      <c r="C20" s="11"/>
      <c r="D20" s="3">
        <f t="shared" ref="D20:D21" si="4">0</f>
        <v>0</v>
      </c>
      <c r="E20" s="3"/>
      <c r="F20" s="22"/>
      <c r="G20" s="3"/>
      <c r="H20" s="3">
        <f>--237.89</f>
        <v>237.89</v>
      </c>
      <c r="I20" s="3"/>
      <c r="J20" s="22"/>
      <c r="K20" s="3"/>
      <c r="L20" s="3">
        <f t="shared" si="0"/>
        <v>-237.89</v>
      </c>
      <c r="M20" s="3"/>
      <c r="N20" s="22">
        <f t="shared" si="1"/>
        <v>-1</v>
      </c>
      <c r="O20" s="11"/>
      <c r="P20" s="3">
        <f t="shared" ref="P20:P21" si="5">0</f>
        <v>0</v>
      </c>
      <c r="Q20" s="3"/>
      <c r="R20" s="22"/>
      <c r="S20" s="3"/>
      <c r="T20" s="3">
        <f>--237.89</f>
        <v>237.89</v>
      </c>
      <c r="U20" s="3"/>
      <c r="V20" s="22"/>
      <c r="W20" s="3"/>
      <c r="X20" s="3">
        <f t="shared" si="2"/>
        <v>-237.89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"4095", " - ", "TAXABLE SALES-CUSTOMER SERVICE")</f>
        <v xml:space="preserve">          4095 - TAXABLE SALES-CUSTOMER SERVICE</v>
      </c>
      <c r="C21" s="11"/>
      <c r="D21" s="3">
        <f t="shared" si="4"/>
        <v>0</v>
      </c>
      <c r="E21" s="3"/>
      <c r="F21" s="22"/>
      <c r="G21" s="3"/>
      <c r="H21" s="3">
        <f>--10.89</f>
        <v>10.89</v>
      </c>
      <c r="I21" s="3"/>
      <c r="J21" s="22"/>
      <c r="K21" s="3"/>
      <c r="L21" s="3">
        <f t="shared" si="0"/>
        <v>-10.89</v>
      </c>
      <c r="M21" s="3"/>
      <c r="N21" s="22">
        <f t="shared" si="1"/>
        <v>-1</v>
      </c>
      <c r="O21" s="11"/>
      <c r="P21" s="3">
        <f t="shared" si="5"/>
        <v>0</v>
      </c>
      <c r="Q21" s="3"/>
      <c r="R21" s="22"/>
      <c r="S21" s="3"/>
      <c r="T21" s="3">
        <f>--10.89</f>
        <v>10.89</v>
      </c>
      <c r="U21" s="3"/>
      <c r="V21" s="22"/>
      <c r="W21" s="3"/>
      <c r="X21" s="3">
        <f t="shared" si="2"/>
        <v>-10.89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"4131", " - ", "NON-TAXABLE SALES-FOOD")</f>
        <v xml:space="preserve">          4131 - NON-TAXABLE SALES-FOOD</v>
      </c>
      <c r="C22" s="11"/>
      <c r="D22" s="3">
        <f>--1.5</f>
        <v>1.5</v>
      </c>
      <c r="E22" s="3"/>
      <c r="F22" s="22"/>
      <c r="G22" s="3"/>
      <c r="H22" s="3">
        <f>0</f>
        <v>0</v>
      </c>
      <c r="I22" s="3"/>
      <c r="J22" s="22"/>
      <c r="K22" s="3"/>
      <c r="L22" s="3">
        <f t="shared" si="0"/>
        <v>1.5</v>
      </c>
      <c r="M22" s="3"/>
      <c r="N22" s="22">
        <f t="shared" si="1"/>
        <v>0</v>
      </c>
      <c r="O22" s="11"/>
      <c r="P22" s="3">
        <f>--1.5</f>
        <v>1.5</v>
      </c>
      <c r="Q22" s="3"/>
      <c r="R22" s="22"/>
      <c r="S22" s="3"/>
      <c r="T22" s="3">
        <f>0</f>
        <v>0</v>
      </c>
      <c r="U22" s="3"/>
      <c r="V22" s="22"/>
      <c r="W22" s="3"/>
      <c r="X22" s="3">
        <f t="shared" si="2"/>
        <v>1.5</v>
      </c>
      <c r="Y22" s="3"/>
      <c r="Z22" s="22">
        <f t="shared" si="3"/>
        <v>0</v>
      </c>
    </row>
    <row r="23" spans="1:26" s="24" customFormat="1" hidden="1" outlineLevel="1" x14ac:dyDescent="0.25">
      <c r="A23" s="50"/>
      <c r="B23" s="11" t="str">
        <f>CONCATENATE("          ", "4137", " - ", "NON-TAXABLE SALES-WATER")</f>
        <v xml:space="preserve">          4137 - NON-TAXABLE SALES-WATER</v>
      </c>
      <c r="C23" s="11"/>
      <c r="D23" s="3">
        <f>--9</f>
        <v>9</v>
      </c>
      <c r="E23" s="3"/>
      <c r="F23" s="22"/>
      <c r="G23" s="3"/>
      <c r="H23" s="3">
        <f>--22.5</f>
        <v>22.5</v>
      </c>
      <c r="I23" s="3"/>
      <c r="J23" s="22"/>
      <c r="K23" s="3"/>
      <c r="L23" s="3">
        <f t="shared" si="0"/>
        <v>-13.5</v>
      </c>
      <c r="M23" s="3"/>
      <c r="N23" s="22">
        <f t="shared" si="1"/>
        <v>-0.6</v>
      </c>
      <c r="O23" s="11"/>
      <c r="P23" s="3">
        <f>--9</f>
        <v>9</v>
      </c>
      <c r="Q23" s="3"/>
      <c r="R23" s="22"/>
      <c r="S23" s="3"/>
      <c r="T23" s="3">
        <f>--22.5</f>
        <v>22.5</v>
      </c>
      <c r="U23" s="3"/>
      <c r="V23" s="22"/>
      <c r="W23" s="3"/>
      <c r="X23" s="3">
        <f t="shared" si="2"/>
        <v>-13.5</v>
      </c>
      <c r="Y23" s="3"/>
      <c r="Z23" s="22">
        <f t="shared" si="3"/>
        <v>-0.6</v>
      </c>
    </row>
    <row r="24" spans="1:26" s="24" customFormat="1" hidden="1" outlineLevel="1" x14ac:dyDescent="0.25">
      <c r="A24" s="50"/>
      <c r="B24" s="11" t="str">
        <f>CONCATENATE("          ", "4140", " - ", "NON-TAXABLE SALES-LOGO CLOTHIN")</f>
        <v xml:space="preserve">          4140 - NON-TAXABLE SALES-LOGO CLOTHIN</v>
      </c>
      <c r="C24" s="11"/>
      <c r="D24" s="3">
        <f>--68.46</f>
        <v>68.459999999999994</v>
      </c>
      <c r="E24" s="3"/>
      <c r="F24" s="22"/>
      <c r="G24" s="3"/>
      <c r="H24" s="3">
        <f>0</f>
        <v>0</v>
      </c>
      <c r="I24" s="3"/>
      <c r="J24" s="22"/>
      <c r="K24" s="3"/>
      <c r="L24" s="3">
        <f t="shared" si="0"/>
        <v>68.459999999999994</v>
      </c>
      <c r="M24" s="3"/>
      <c r="N24" s="22">
        <f t="shared" si="1"/>
        <v>0</v>
      </c>
      <c r="O24" s="11"/>
      <c r="P24" s="3">
        <f>--68.46</f>
        <v>68.459999999999994</v>
      </c>
      <c r="Q24" s="3"/>
      <c r="R24" s="22"/>
      <c r="S24" s="3"/>
      <c r="T24" s="3">
        <f>0</f>
        <v>0</v>
      </c>
      <c r="U24" s="3"/>
      <c r="V24" s="22"/>
      <c r="W24" s="3"/>
      <c r="X24" s="3">
        <f t="shared" si="2"/>
        <v>68.459999999999994</v>
      </c>
      <c r="Y24" s="3"/>
      <c r="Z24" s="22">
        <f t="shared" si="3"/>
        <v>0</v>
      </c>
    </row>
    <row r="25" spans="1:26" s="24" customFormat="1" hidden="1" outlineLevel="1" x14ac:dyDescent="0.25">
      <c r="A25" s="50"/>
      <c r="B25" s="11" t="str">
        <f>CONCATENATE("          ", "4142", " - ", "NON-TAXABLE SALES-EVERYDAY GIF")</f>
        <v xml:space="preserve">          4142 - NON-TAXABLE SALES-EVERYDAY GIF</v>
      </c>
      <c r="C25" s="11"/>
      <c r="D25" s="3">
        <f>0</f>
        <v>0</v>
      </c>
      <c r="E25" s="3"/>
      <c r="F25" s="22"/>
      <c r="G25" s="3"/>
      <c r="H25" s="3">
        <f>--79.92</f>
        <v>79.92</v>
      </c>
      <c r="I25" s="3"/>
      <c r="J25" s="22"/>
      <c r="K25" s="3"/>
      <c r="L25" s="3">
        <f t="shared" si="0"/>
        <v>-79.92</v>
      </c>
      <c r="M25" s="3"/>
      <c r="N25" s="22">
        <f t="shared" si="1"/>
        <v>-1</v>
      </c>
      <c r="O25" s="11"/>
      <c r="P25" s="3">
        <f>0</f>
        <v>0</v>
      </c>
      <c r="Q25" s="3"/>
      <c r="R25" s="22"/>
      <c r="S25" s="3"/>
      <c r="T25" s="3">
        <f>--79.92</f>
        <v>79.92</v>
      </c>
      <c r="U25" s="3"/>
      <c r="V25" s="22"/>
      <c r="W25" s="3"/>
      <c r="X25" s="3">
        <f t="shared" si="2"/>
        <v>-79.92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"4145", " - ", "NON-TAXABLE SALES-SPECIAL ORDE")</f>
        <v xml:space="preserve">          4145 - NON-TAXABLE SALES-SPECIAL ORDE</v>
      </c>
      <c r="C26" s="11"/>
      <c r="D26" s="3">
        <f>--7</f>
        <v>7</v>
      </c>
      <c r="E26" s="3"/>
      <c r="F26" s="22"/>
      <c r="G26" s="3"/>
      <c r="H26" s="3">
        <f t="shared" ref="H26:H27" si="6">0</f>
        <v>0</v>
      </c>
      <c r="I26" s="3"/>
      <c r="J26" s="22"/>
      <c r="K26" s="3"/>
      <c r="L26" s="3">
        <f t="shared" si="0"/>
        <v>7</v>
      </c>
      <c r="M26" s="3"/>
      <c r="N26" s="22">
        <f t="shared" si="1"/>
        <v>0</v>
      </c>
      <c r="O26" s="11"/>
      <c r="P26" s="3">
        <f>--7</f>
        <v>7</v>
      </c>
      <c r="Q26" s="3"/>
      <c r="R26" s="22"/>
      <c r="S26" s="3"/>
      <c r="T26" s="3">
        <f t="shared" ref="T26:T27" si="7">0</f>
        <v>0</v>
      </c>
      <c r="U26" s="3"/>
      <c r="V26" s="22"/>
      <c r="W26" s="3"/>
      <c r="X26" s="3">
        <f t="shared" si="2"/>
        <v>7</v>
      </c>
      <c r="Y26" s="3"/>
      <c r="Z26" s="22">
        <f t="shared" si="3"/>
        <v>0</v>
      </c>
    </row>
    <row r="27" spans="1:26" s="24" customFormat="1" hidden="1" outlineLevel="1" x14ac:dyDescent="0.25">
      <c r="A27" s="50"/>
      <c r="B27" s="11" t="str">
        <f>CONCATENATE("          ", "4227", " - ", "SALES RETURN TAXABLE-SCHOOL SU")</f>
        <v xml:space="preserve">          4227 - SALES RETURN TAXABLE-SCHOOL SU</v>
      </c>
      <c r="C27" s="11"/>
      <c r="D27" s="3">
        <f>-30</f>
        <v>-30</v>
      </c>
      <c r="E27" s="3"/>
      <c r="F27" s="22"/>
      <c r="G27" s="3"/>
      <c r="H27" s="3">
        <f t="shared" si="6"/>
        <v>0</v>
      </c>
      <c r="I27" s="3"/>
      <c r="J27" s="22"/>
      <c r="K27" s="3"/>
      <c r="L27" s="3">
        <f t="shared" si="0"/>
        <v>-30</v>
      </c>
      <c r="M27" s="3"/>
      <c r="N27" s="22">
        <f t="shared" si="1"/>
        <v>0</v>
      </c>
      <c r="O27" s="11"/>
      <c r="P27" s="3">
        <f>-30</f>
        <v>-30</v>
      </c>
      <c r="Q27" s="3"/>
      <c r="R27" s="22"/>
      <c r="S27" s="3"/>
      <c r="T27" s="3">
        <f t="shared" si="7"/>
        <v>0</v>
      </c>
      <c r="U27" s="3"/>
      <c r="V27" s="22"/>
      <c r="W27" s="3"/>
      <c r="X27" s="3">
        <f t="shared" si="2"/>
        <v>-30</v>
      </c>
      <c r="Y27" s="3"/>
      <c r="Z27" s="22">
        <f t="shared" si="3"/>
        <v>0</v>
      </c>
    </row>
    <row r="28" spans="1:26" s="24" customFormat="1" hidden="1" outlineLevel="1" x14ac:dyDescent="0.25">
      <c r="A28" s="50"/>
      <c r="B28" s="11" t="str">
        <f>CONCATENATE("          ", "4240", " - ", "SALES RETURN TAXABLE-LOGO CLOT")</f>
        <v xml:space="preserve">          4240 - SALES RETURN TAXABLE-LOGO CLOT</v>
      </c>
      <c r="C28" s="11"/>
      <c r="D28" s="3">
        <f>-749.65</f>
        <v>-749.65</v>
      </c>
      <c r="E28" s="3"/>
      <c r="F28" s="22"/>
      <c r="G28" s="3"/>
      <c r="H28" s="3">
        <f>-1357.95</f>
        <v>-1357.95</v>
      </c>
      <c r="I28" s="3"/>
      <c r="J28" s="22"/>
      <c r="K28" s="3"/>
      <c r="L28" s="3">
        <f t="shared" si="0"/>
        <v>608.30000000000007</v>
      </c>
      <c r="M28" s="3"/>
      <c r="N28" s="22">
        <f t="shared" si="1"/>
        <v>-0.44795463750506281</v>
      </c>
      <c r="O28" s="11"/>
      <c r="P28" s="3">
        <f>-749.65</f>
        <v>-749.65</v>
      </c>
      <c r="Q28" s="3"/>
      <c r="R28" s="22"/>
      <c r="S28" s="3"/>
      <c r="T28" s="3">
        <f>-1357.95</f>
        <v>-1357.95</v>
      </c>
      <c r="U28" s="3"/>
      <c r="V28" s="22"/>
      <c r="W28" s="3"/>
      <c r="X28" s="3">
        <f t="shared" si="2"/>
        <v>608.30000000000007</v>
      </c>
      <c r="Y28" s="3"/>
      <c r="Z28" s="22">
        <f t="shared" si="3"/>
        <v>-0.44795463750506281</v>
      </c>
    </row>
    <row r="29" spans="1:26" s="24" customFormat="1" hidden="1" outlineLevel="1" x14ac:dyDescent="0.25">
      <c r="A29" s="50"/>
      <c r="B29" s="11" t="str">
        <f>CONCATENATE("          ", "4241", " - ", "SALES RETURN TAXABLE-LOGO GIFT")</f>
        <v xml:space="preserve">          4241 - SALES RETURN TAXABLE-LOGO GIFT</v>
      </c>
      <c r="C29" s="11"/>
      <c r="D29" s="3">
        <f>-33.85</f>
        <v>-33.85</v>
      </c>
      <c r="E29" s="3"/>
      <c r="F29" s="22"/>
      <c r="G29" s="3"/>
      <c r="H29" s="3">
        <f>-166.46</f>
        <v>-166.46</v>
      </c>
      <c r="I29" s="3"/>
      <c r="J29" s="22"/>
      <c r="K29" s="3"/>
      <c r="L29" s="3">
        <f t="shared" si="0"/>
        <v>132.61000000000001</v>
      </c>
      <c r="M29" s="3"/>
      <c r="N29" s="22">
        <f t="shared" si="1"/>
        <v>-0.79664784332572391</v>
      </c>
      <c r="O29" s="11"/>
      <c r="P29" s="3">
        <f>-33.85</f>
        <v>-33.85</v>
      </c>
      <c r="Q29" s="3"/>
      <c r="R29" s="22"/>
      <c r="S29" s="3"/>
      <c r="T29" s="3">
        <f>-166.46</f>
        <v>-166.46</v>
      </c>
      <c r="U29" s="3"/>
      <c r="V29" s="22"/>
      <c r="W29" s="3"/>
      <c r="X29" s="3">
        <f t="shared" si="2"/>
        <v>132.61000000000001</v>
      </c>
      <c r="Y29" s="3"/>
      <c r="Z29" s="22">
        <f t="shared" si="3"/>
        <v>-0.79664784332572391</v>
      </c>
    </row>
    <row r="30" spans="1:26" s="24" customFormat="1" hidden="1" outlineLevel="1" x14ac:dyDescent="0.25">
      <c r="A30" s="50"/>
      <c r="B30" s="11" t="str">
        <f>CONCATENATE("          ", "4242", " - ", "SALES RETURN TAXABLE-EVERYDAY")</f>
        <v xml:space="preserve">          4242 - SALES RETURN TAXABLE-EVERYDAY</v>
      </c>
      <c r="C30" s="11"/>
      <c r="D30" s="3">
        <f>-73.86</f>
        <v>-73.86</v>
      </c>
      <c r="E30" s="3"/>
      <c r="F30" s="22"/>
      <c r="G30" s="3"/>
      <c r="H30" s="3">
        <f>-42.95</f>
        <v>-42.95</v>
      </c>
      <c r="I30" s="3"/>
      <c r="J30" s="22"/>
      <c r="K30" s="3"/>
      <c r="L30" s="3">
        <f t="shared" si="0"/>
        <v>-30.909999999999997</v>
      </c>
      <c r="M30" s="3"/>
      <c r="N30" s="22">
        <f t="shared" si="1"/>
        <v>0.71967403958090792</v>
      </c>
      <c r="O30" s="11"/>
      <c r="P30" s="3">
        <f>-73.86</f>
        <v>-73.86</v>
      </c>
      <c r="Q30" s="3"/>
      <c r="R30" s="22"/>
      <c r="S30" s="3"/>
      <c r="T30" s="3">
        <f>-42.95</f>
        <v>-42.95</v>
      </c>
      <c r="U30" s="3"/>
      <c r="V30" s="22"/>
      <c r="W30" s="3"/>
      <c r="X30" s="3">
        <f t="shared" si="2"/>
        <v>-30.909999999999997</v>
      </c>
      <c r="Y30" s="3"/>
      <c r="Z30" s="22">
        <f t="shared" si="3"/>
        <v>0.71967403958090792</v>
      </c>
    </row>
    <row r="31" spans="1:26" s="24" customFormat="1" hidden="1" outlineLevel="1" x14ac:dyDescent="0.25">
      <c r="A31" s="50"/>
      <c r="B31" s="11" t="str">
        <f>CONCATENATE("          ", "4245", " - ", "SALES RETURN TAXABLE-SPECIAL O")</f>
        <v xml:space="preserve">          4245 - SALES RETURN TAXABLE-SPECIAL O</v>
      </c>
      <c r="C31" s="11"/>
      <c r="D31" s="3">
        <f>-7</f>
        <v>-7</v>
      </c>
      <c r="E31" s="3"/>
      <c r="F31" s="22"/>
      <c r="G31" s="3"/>
      <c r="H31" s="3">
        <f>0</f>
        <v>0</v>
      </c>
      <c r="I31" s="3"/>
      <c r="J31" s="22"/>
      <c r="K31" s="3"/>
      <c r="L31" s="3">
        <f t="shared" si="0"/>
        <v>-7</v>
      </c>
      <c r="M31" s="3"/>
      <c r="N31" s="22">
        <f t="shared" si="1"/>
        <v>0</v>
      </c>
      <c r="O31" s="11"/>
      <c r="P31" s="3">
        <f>-7</f>
        <v>-7</v>
      </c>
      <c r="Q31" s="3"/>
      <c r="R31" s="22"/>
      <c r="S31" s="3"/>
      <c r="T31" s="3">
        <f>0</f>
        <v>0</v>
      </c>
      <c r="U31" s="3"/>
      <c r="V31" s="22"/>
      <c r="W31" s="3"/>
      <c r="X31" s="3">
        <f t="shared" si="2"/>
        <v>-7</v>
      </c>
      <c r="Y31" s="3"/>
      <c r="Z31" s="22">
        <f t="shared" si="3"/>
        <v>0</v>
      </c>
    </row>
    <row r="32" spans="1:26" x14ac:dyDescent="0.25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10370</v>
      </c>
      <c r="E33" s="4"/>
      <c r="F33" s="12">
        <f t="shared" ref="F33:F44" si="8">IF(D$12=0,0,D33/D$12)</f>
        <v>0.38579199152373694</v>
      </c>
      <c r="G33" s="4"/>
      <c r="H33" s="4">
        <f>SUM(OSRRefH16x_0)</f>
        <v>21526.560000000005</v>
      </c>
      <c r="I33" s="4"/>
      <c r="J33" s="12">
        <f t="shared" ref="J33:J44" si="9">IF(H$12=0,0,H33/H$12)</f>
        <v>0.41813638319300972</v>
      </c>
      <c r="K33" s="4"/>
      <c r="L33" s="4">
        <f t="shared" ref="L33:L44" si="10">+D33-H33</f>
        <v>-11156.560000000005</v>
      </c>
      <c r="M33" s="4"/>
      <c r="N33" s="12">
        <f t="shared" ref="N33:N44" si="11">IF(H33=0,0,L33/H33)</f>
        <v>-0.51826952378828772</v>
      </c>
      <c r="O33" s="10"/>
      <c r="P33" s="4">
        <f>SUM(OSRRefP16x_0)</f>
        <v>10370</v>
      </c>
      <c r="Q33" s="4"/>
      <c r="R33" s="12">
        <f t="shared" ref="R33:R44" si="12">IF(P$12=0,0,P33/P$12)</f>
        <v>0.38579199152373694</v>
      </c>
      <c r="S33" s="4"/>
      <c r="T33" s="4">
        <f>SUM(OSRRefT16x_0)</f>
        <v>21526.560000000005</v>
      </c>
      <c r="U33" s="4"/>
      <c r="V33" s="12">
        <f t="shared" ref="V33:V44" si="13">IF(T$12=0,0,T33/T$12)</f>
        <v>0.41813638319300972</v>
      </c>
      <c r="W33" s="4"/>
      <c r="X33" s="4">
        <f t="shared" ref="X33:X44" si="14">+P33-T33</f>
        <v>-11156.560000000005</v>
      </c>
      <c r="Y33" s="4"/>
      <c r="Z33" s="12">
        <f t="shared" ref="Z33:Z44" si="15">IF(T33=0,0,X33/T33)</f>
        <v>-0.51826952378828772</v>
      </c>
    </row>
    <row r="34" spans="1:26" s="24" customFormat="1" hidden="1" outlineLevel="1" x14ac:dyDescent="0.25">
      <c r="A34" s="50"/>
      <c r="B34" s="11" t="str">
        <f>CONCATENATE("          ", "5026", " - ", "PURCHASES @ COST-WRITING INSTR")</f>
        <v xml:space="preserve">          5026 - PURCHASES @ COST-WRITING INSTR</v>
      </c>
      <c r="C34" s="11"/>
      <c r="D34" s="3"/>
      <c r="E34" s="3"/>
      <c r="F34" s="22">
        <f t="shared" si="8"/>
        <v>0</v>
      </c>
      <c r="G34" s="3"/>
      <c r="H34" s="3">
        <v>-74.72</v>
      </c>
      <c r="I34" s="3"/>
      <c r="J34" s="22">
        <f t="shared" si="9"/>
        <v>-1.4513768364374836E-3</v>
      </c>
      <c r="K34" s="3"/>
      <c r="L34" s="3">
        <f t="shared" si="10"/>
        <v>74.72</v>
      </c>
      <c r="M34" s="3"/>
      <c r="N34" s="22">
        <f t="shared" si="11"/>
        <v>-1</v>
      </c>
      <c r="O34" s="11"/>
      <c r="P34" s="3"/>
      <c r="Q34" s="3"/>
      <c r="R34" s="22">
        <f t="shared" si="12"/>
        <v>0</v>
      </c>
      <c r="S34" s="3"/>
      <c r="T34" s="3">
        <v>-74.72</v>
      </c>
      <c r="U34" s="3"/>
      <c r="V34" s="22">
        <f t="shared" si="13"/>
        <v>-1.4513768364374836E-3</v>
      </c>
      <c r="W34" s="3"/>
      <c r="X34" s="3">
        <f t="shared" si="14"/>
        <v>74.72</v>
      </c>
      <c r="Y34" s="3"/>
      <c r="Z34" s="22">
        <f t="shared" si="15"/>
        <v>-1</v>
      </c>
    </row>
    <row r="35" spans="1:26" s="24" customFormat="1" hidden="1" outlineLevel="1" x14ac:dyDescent="0.25">
      <c r="A35" s="50"/>
      <c r="B35" s="11" t="str">
        <f>CONCATENATE("          ", "5027", " - ", "PURCHASES @ COST-SCHOOL SUPPLI")</f>
        <v xml:space="preserve">          5027 - PURCHASES @ COST-SCHOOL SUPPLI</v>
      </c>
      <c r="C35" s="11"/>
      <c r="D35" s="3"/>
      <c r="E35" s="3"/>
      <c r="F35" s="22">
        <f t="shared" si="8"/>
        <v>0</v>
      </c>
      <c r="G35" s="3"/>
      <c r="H35" s="3">
        <v>1.32</v>
      </c>
      <c r="I35" s="3"/>
      <c r="J35" s="22">
        <f t="shared" si="9"/>
        <v>2.5639954819291737E-5</v>
      </c>
      <c r="K35" s="3"/>
      <c r="L35" s="3">
        <f t="shared" si="10"/>
        <v>-1.32</v>
      </c>
      <c r="M35" s="3"/>
      <c r="N35" s="22">
        <f t="shared" si="11"/>
        <v>-1</v>
      </c>
      <c r="O35" s="11"/>
      <c r="P35" s="3"/>
      <c r="Q35" s="3"/>
      <c r="R35" s="22">
        <f t="shared" si="12"/>
        <v>0</v>
      </c>
      <c r="S35" s="3"/>
      <c r="T35" s="3">
        <v>1.32</v>
      </c>
      <c r="U35" s="3"/>
      <c r="V35" s="22">
        <f t="shared" si="13"/>
        <v>2.5639954819291737E-5</v>
      </c>
      <c r="W35" s="3"/>
      <c r="X35" s="3">
        <f t="shared" si="14"/>
        <v>-1.32</v>
      </c>
      <c r="Y35" s="3"/>
      <c r="Z35" s="22">
        <f t="shared" si="15"/>
        <v>-1</v>
      </c>
    </row>
    <row r="36" spans="1:26" s="24" customFormat="1" hidden="1" outlineLevel="1" x14ac:dyDescent="0.25">
      <c r="A36" s="50"/>
      <c r="B36" s="11" t="str">
        <f>CONCATENATE("          ", "5037", " - ", "PURCHASES @ COST-WATER")</f>
        <v xml:space="preserve">          5037 - PURCHASES @ COST-WATER</v>
      </c>
      <c r="C36" s="11"/>
      <c r="D36" s="3"/>
      <c r="E36" s="3"/>
      <c r="F36" s="22">
        <f t="shared" si="8"/>
        <v>0</v>
      </c>
      <c r="G36" s="3"/>
      <c r="H36" s="3">
        <v>17.04</v>
      </c>
      <c r="I36" s="3"/>
      <c r="J36" s="22">
        <f t="shared" si="9"/>
        <v>3.3098850766722054E-4</v>
      </c>
      <c r="K36" s="3"/>
      <c r="L36" s="3">
        <f t="shared" si="10"/>
        <v>-17.04</v>
      </c>
      <c r="M36" s="3"/>
      <c r="N36" s="22">
        <f t="shared" si="11"/>
        <v>-1</v>
      </c>
      <c r="O36" s="11"/>
      <c r="P36" s="3"/>
      <c r="Q36" s="3"/>
      <c r="R36" s="22">
        <f t="shared" si="12"/>
        <v>0</v>
      </c>
      <c r="S36" s="3"/>
      <c r="T36" s="3">
        <v>17.04</v>
      </c>
      <c r="U36" s="3"/>
      <c r="V36" s="22">
        <f t="shared" si="13"/>
        <v>3.3098850766722054E-4</v>
      </c>
      <c r="W36" s="3"/>
      <c r="X36" s="3">
        <f t="shared" si="14"/>
        <v>-17.04</v>
      </c>
      <c r="Y36" s="3"/>
      <c r="Z36" s="22">
        <f t="shared" si="15"/>
        <v>-1</v>
      </c>
    </row>
    <row r="37" spans="1:26" s="24" customFormat="1" hidden="1" outlineLevel="1" x14ac:dyDescent="0.25">
      <c r="A37" s="50"/>
      <c r="B37" s="11" t="str">
        <f>CONCATENATE("          ", "5040", " - ", "PURCHASES @ COST-LOGO CLOTHING")</f>
        <v xml:space="preserve">          5040 - PURCHASES @ COST-LOGO CLOTHING</v>
      </c>
      <c r="C37" s="11"/>
      <c r="D37" s="3"/>
      <c r="E37" s="3"/>
      <c r="F37" s="22">
        <f t="shared" si="8"/>
        <v>0</v>
      </c>
      <c r="G37" s="3"/>
      <c r="H37" s="3">
        <v>24784.58</v>
      </c>
      <c r="I37" s="3"/>
      <c r="J37" s="22">
        <f t="shared" si="9"/>
        <v>0.4814208419811527</v>
      </c>
      <c r="K37" s="3"/>
      <c r="L37" s="3">
        <f t="shared" si="10"/>
        <v>-24784.58</v>
      </c>
      <c r="M37" s="3"/>
      <c r="N37" s="22">
        <f t="shared" si="11"/>
        <v>-1</v>
      </c>
      <c r="O37" s="11"/>
      <c r="P37" s="3"/>
      <c r="Q37" s="3"/>
      <c r="R37" s="22">
        <f t="shared" si="12"/>
        <v>0</v>
      </c>
      <c r="S37" s="3"/>
      <c r="T37" s="3">
        <v>24784.58</v>
      </c>
      <c r="U37" s="3"/>
      <c r="V37" s="22">
        <f t="shared" si="13"/>
        <v>0.4814208419811527</v>
      </c>
      <c r="W37" s="3"/>
      <c r="X37" s="3">
        <f t="shared" si="14"/>
        <v>-24784.58</v>
      </c>
      <c r="Y37" s="3"/>
      <c r="Z37" s="22">
        <f t="shared" si="15"/>
        <v>-1</v>
      </c>
    </row>
    <row r="38" spans="1:26" s="24" customFormat="1" hidden="1" outlineLevel="1" x14ac:dyDescent="0.25">
      <c r="A38" s="50"/>
      <c r="B38" s="11" t="str">
        <f>CONCATENATE("          ", "5041", " - ", "PURCHASES @ COST-LOGO GIFTS")</f>
        <v xml:space="preserve">          5041 - PURCHASES @ COST-LOGO GIFTS</v>
      </c>
      <c r="C38" s="11"/>
      <c r="D38" s="3"/>
      <c r="E38" s="3"/>
      <c r="F38" s="22">
        <f t="shared" si="8"/>
        <v>0</v>
      </c>
      <c r="G38" s="3"/>
      <c r="H38" s="3">
        <v>5182.76</v>
      </c>
      <c r="I38" s="3"/>
      <c r="J38" s="22">
        <f t="shared" si="9"/>
        <v>0.10067100927214578</v>
      </c>
      <c r="K38" s="3"/>
      <c r="L38" s="3">
        <f t="shared" si="10"/>
        <v>-5182.76</v>
      </c>
      <c r="M38" s="3"/>
      <c r="N38" s="22">
        <f t="shared" si="11"/>
        <v>-1</v>
      </c>
      <c r="O38" s="11"/>
      <c r="P38" s="3"/>
      <c r="Q38" s="3"/>
      <c r="R38" s="22">
        <f t="shared" si="12"/>
        <v>0</v>
      </c>
      <c r="S38" s="3"/>
      <c r="T38" s="3">
        <v>5182.76</v>
      </c>
      <c r="U38" s="3"/>
      <c r="V38" s="22">
        <f t="shared" si="13"/>
        <v>0.10067100927214578</v>
      </c>
      <c r="W38" s="3"/>
      <c r="X38" s="3">
        <f t="shared" si="14"/>
        <v>-5182.76</v>
      </c>
      <c r="Y38" s="3"/>
      <c r="Z38" s="22">
        <f t="shared" si="15"/>
        <v>-1</v>
      </c>
    </row>
    <row r="39" spans="1:26" s="24" customFormat="1" hidden="1" outlineLevel="1" x14ac:dyDescent="0.25">
      <c r="A39" s="50"/>
      <c r="B39" s="11" t="str">
        <f>CONCATENATE("          ", "5042", " - ", "PURCHASES @ COST-EVERYDAY GIFT")</f>
        <v xml:space="preserve">          5042 - PURCHASES @ COST-EVERYDAY GIFT</v>
      </c>
      <c r="C39" s="11"/>
      <c r="D39" s="3"/>
      <c r="E39" s="3"/>
      <c r="F39" s="22">
        <f t="shared" si="8"/>
        <v>0</v>
      </c>
      <c r="G39" s="3"/>
      <c r="H39" s="3">
        <v>2619.3200000000002</v>
      </c>
      <c r="I39" s="3"/>
      <c r="J39" s="22">
        <f t="shared" si="9"/>
        <v>5.0878217013081234E-2</v>
      </c>
      <c r="K39" s="3"/>
      <c r="L39" s="3">
        <f t="shared" si="10"/>
        <v>-2619.3200000000002</v>
      </c>
      <c r="M39" s="3"/>
      <c r="N39" s="22">
        <f t="shared" si="11"/>
        <v>-1</v>
      </c>
      <c r="O39" s="11"/>
      <c r="P39" s="3"/>
      <c r="Q39" s="3"/>
      <c r="R39" s="22">
        <f t="shared" si="12"/>
        <v>0</v>
      </c>
      <c r="S39" s="3"/>
      <c r="T39" s="3">
        <v>2619.3200000000002</v>
      </c>
      <c r="U39" s="3"/>
      <c r="V39" s="22">
        <f t="shared" si="13"/>
        <v>5.0878217013081234E-2</v>
      </c>
      <c r="W39" s="3"/>
      <c r="X39" s="3">
        <f t="shared" si="14"/>
        <v>-2619.3200000000002</v>
      </c>
      <c r="Y39" s="3"/>
      <c r="Z39" s="22">
        <f t="shared" si="15"/>
        <v>-1</v>
      </c>
    </row>
    <row r="40" spans="1:26" s="24" customFormat="1" hidden="1" outlineLevel="1" x14ac:dyDescent="0.25">
      <c r="A40" s="50"/>
      <c r="B40" s="11" t="str">
        <f>CONCATENATE("          ", "5044", " - ", "PURCHASES @ COST-ACCESSORIES")</f>
        <v xml:space="preserve">          5044 - PURCHASES @ COST-ACCESSORIES</v>
      </c>
      <c r="C40" s="11"/>
      <c r="D40" s="3"/>
      <c r="E40" s="3"/>
      <c r="F40" s="22">
        <f t="shared" si="8"/>
        <v>0</v>
      </c>
      <c r="G40" s="3"/>
      <c r="H40" s="3">
        <v>334.11</v>
      </c>
      <c r="I40" s="3"/>
      <c r="J40" s="22">
        <f t="shared" si="9"/>
        <v>6.4898222005102743E-3</v>
      </c>
      <c r="K40" s="3"/>
      <c r="L40" s="3">
        <f t="shared" si="10"/>
        <v>-334.11</v>
      </c>
      <c r="M40" s="3"/>
      <c r="N40" s="22">
        <f t="shared" si="11"/>
        <v>-1</v>
      </c>
      <c r="O40" s="11"/>
      <c r="P40" s="3"/>
      <c r="Q40" s="3"/>
      <c r="R40" s="22">
        <f t="shared" si="12"/>
        <v>0</v>
      </c>
      <c r="S40" s="3"/>
      <c r="T40" s="3">
        <v>334.11</v>
      </c>
      <c r="U40" s="3"/>
      <c r="V40" s="22">
        <f t="shared" si="13"/>
        <v>6.4898222005102743E-3</v>
      </c>
      <c r="W40" s="3"/>
      <c r="X40" s="3">
        <f t="shared" si="14"/>
        <v>-334.11</v>
      </c>
      <c r="Y40" s="3"/>
      <c r="Z40" s="22">
        <f t="shared" si="15"/>
        <v>-1</v>
      </c>
    </row>
    <row r="41" spans="1:26" s="24" customFormat="1" hidden="1" outlineLevel="1" x14ac:dyDescent="0.25">
      <c r="A41" s="50"/>
      <c r="B41" s="11" t="str">
        <f>CONCATENATE("          ", "5045", " - ", "PURCHASES @ COST-SPECIAL ORDER")</f>
        <v xml:space="preserve">          5045 - PURCHASES @ COST-SPECIAL ORDER</v>
      </c>
      <c r="C41" s="11"/>
      <c r="D41" s="3"/>
      <c r="E41" s="3"/>
      <c r="F41" s="22">
        <f t="shared" si="8"/>
        <v>0</v>
      </c>
      <c r="G41" s="3"/>
      <c r="H41" s="3">
        <v>45</v>
      </c>
      <c r="I41" s="3"/>
      <c r="J41" s="22">
        <f t="shared" si="9"/>
        <v>8.7408936883949094E-4</v>
      </c>
      <c r="K41" s="3"/>
      <c r="L41" s="3">
        <f t="shared" si="10"/>
        <v>-45</v>
      </c>
      <c r="M41" s="3"/>
      <c r="N41" s="22">
        <f t="shared" si="11"/>
        <v>-1</v>
      </c>
      <c r="O41" s="11"/>
      <c r="P41" s="3"/>
      <c r="Q41" s="3"/>
      <c r="R41" s="22">
        <f t="shared" si="12"/>
        <v>0</v>
      </c>
      <c r="S41" s="3"/>
      <c r="T41" s="3">
        <v>45</v>
      </c>
      <c r="U41" s="3"/>
      <c r="V41" s="22">
        <f t="shared" si="13"/>
        <v>8.7408936883949094E-4</v>
      </c>
      <c r="W41" s="3"/>
      <c r="X41" s="3">
        <f t="shared" si="14"/>
        <v>-45</v>
      </c>
      <c r="Y41" s="3"/>
      <c r="Z41" s="22">
        <f t="shared" si="15"/>
        <v>-1</v>
      </c>
    </row>
    <row r="42" spans="1:26" s="24" customFormat="1" hidden="1" outlineLevel="1" x14ac:dyDescent="0.25">
      <c r="A42" s="50"/>
      <c r="B42" s="11" t="str">
        <f>CONCATENATE("          ", "5095", " - ", "PURCHASES @ COST-CUSTOMER SERV")</f>
        <v xml:space="preserve">          5095 - PURCHASES @ COST-CUSTOMER SERV</v>
      </c>
      <c r="C42" s="11"/>
      <c r="D42" s="3"/>
      <c r="E42" s="3"/>
      <c r="F42" s="22">
        <f t="shared" si="8"/>
        <v>0</v>
      </c>
      <c r="G42" s="3"/>
      <c r="H42" s="3">
        <v>-11.85</v>
      </c>
      <c r="I42" s="3"/>
      <c r="J42" s="22">
        <f t="shared" si="9"/>
        <v>-2.3017686712773261E-4</v>
      </c>
      <c r="K42" s="3"/>
      <c r="L42" s="3">
        <f t="shared" si="10"/>
        <v>11.85</v>
      </c>
      <c r="M42" s="3"/>
      <c r="N42" s="22">
        <f t="shared" si="11"/>
        <v>-1</v>
      </c>
      <c r="O42" s="11"/>
      <c r="P42" s="3"/>
      <c r="Q42" s="3"/>
      <c r="R42" s="22">
        <f t="shared" si="12"/>
        <v>0</v>
      </c>
      <c r="S42" s="3"/>
      <c r="T42" s="3">
        <v>-11.85</v>
      </c>
      <c r="U42" s="3"/>
      <c r="V42" s="22">
        <f t="shared" si="13"/>
        <v>-2.3017686712773261E-4</v>
      </c>
      <c r="W42" s="3"/>
      <c r="X42" s="3">
        <f t="shared" si="14"/>
        <v>11.85</v>
      </c>
      <c r="Y42" s="3"/>
      <c r="Z42" s="22">
        <f t="shared" si="15"/>
        <v>-1</v>
      </c>
    </row>
    <row r="43" spans="1:26" s="24" customFormat="1" hidden="1" outlineLevel="1" x14ac:dyDescent="0.25">
      <c r="A43" s="50"/>
      <c r="B43" s="11" t="str">
        <f>CONCATENATE("          ", "5200", " - ", "PURCHASES OFFSET")</f>
        <v xml:space="preserve">          5200 - PURCHASES OFFSET</v>
      </c>
      <c r="C43" s="11"/>
      <c r="D43" s="3"/>
      <c r="E43" s="3"/>
      <c r="F43" s="22">
        <f t="shared" si="8"/>
        <v>0</v>
      </c>
      <c r="G43" s="3"/>
      <c r="H43" s="3">
        <v>-32897</v>
      </c>
      <c r="I43" s="3"/>
      <c r="J43" s="22">
        <f t="shared" si="9"/>
        <v>-0.63899817703806072</v>
      </c>
      <c r="K43" s="3"/>
      <c r="L43" s="3">
        <f t="shared" si="10"/>
        <v>32897</v>
      </c>
      <c r="M43" s="3"/>
      <c r="N43" s="22">
        <f t="shared" si="11"/>
        <v>-1</v>
      </c>
      <c r="O43" s="11"/>
      <c r="P43" s="3"/>
      <c r="Q43" s="3"/>
      <c r="R43" s="22">
        <f t="shared" si="12"/>
        <v>0</v>
      </c>
      <c r="S43" s="3"/>
      <c r="T43" s="3">
        <v>-32897</v>
      </c>
      <c r="U43" s="3"/>
      <c r="V43" s="22">
        <f t="shared" si="13"/>
        <v>-0.63899817703806072</v>
      </c>
      <c r="W43" s="3"/>
      <c r="X43" s="3">
        <f t="shared" si="14"/>
        <v>32897</v>
      </c>
      <c r="Y43" s="3"/>
      <c r="Z43" s="22">
        <f t="shared" si="15"/>
        <v>-1</v>
      </c>
    </row>
    <row r="44" spans="1:26" s="24" customFormat="1" hidden="1" outlineLevel="1" x14ac:dyDescent="0.25">
      <c r="A44" s="50"/>
      <c r="B44" s="11" t="str">
        <f>CONCATENATE("          ", "5300", " - ", "COG$ OFFSET")</f>
        <v xml:space="preserve">          5300 - COG$ OFFSET</v>
      </c>
      <c r="C44" s="11"/>
      <c r="D44" s="3">
        <v>10370</v>
      </c>
      <c r="E44" s="3"/>
      <c r="F44" s="22">
        <f t="shared" si="8"/>
        <v>0.38579199152373694</v>
      </c>
      <c r="G44" s="3"/>
      <c r="H44" s="3">
        <v>21526</v>
      </c>
      <c r="I44" s="3"/>
      <c r="J44" s="22">
        <f t="shared" si="9"/>
        <v>0.41812550563641959</v>
      </c>
      <c r="K44" s="3"/>
      <c r="L44" s="3">
        <f t="shared" si="10"/>
        <v>-11156</v>
      </c>
      <c r="M44" s="3"/>
      <c r="N44" s="22">
        <f t="shared" si="11"/>
        <v>-0.51825699154510829</v>
      </c>
      <c r="O44" s="11"/>
      <c r="P44" s="3">
        <v>10370</v>
      </c>
      <c r="Q44" s="3"/>
      <c r="R44" s="22">
        <f t="shared" si="12"/>
        <v>0.38579199152373694</v>
      </c>
      <c r="S44" s="3"/>
      <c r="T44" s="3">
        <v>21526</v>
      </c>
      <c r="U44" s="3"/>
      <c r="V44" s="22">
        <f t="shared" si="13"/>
        <v>0.41812550563641959</v>
      </c>
      <c r="W44" s="3"/>
      <c r="X44" s="3">
        <f t="shared" si="14"/>
        <v>-11156</v>
      </c>
      <c r="Y44" s="3"/>
      <c r="Z44" s="22">
        <f t="shared" si="15"/>
        <v>-0.51825699154510829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25">
      <c r="A46" s="10"/>
      <c r="B46" s="26" t="s">
        <v>6</v>
      </c>
      <c r="C46" s="26"/>
      <c r="D46" s="19">
        <f>D12-D33</f>
        <v>16509.770000000004</v>
      </c>
      <c r="E46" s="13"/>
      <c r="F46" s="20">
        <f>IF(D$12=0,0,D46/D$12)</f>
        <v>0.61420800847626311</v>
      </c>
      <c r="G46" s="13"/>
      <c r="H46" s="19">
        <f>H12-H33</f>
        <v>29955.589999999997</v>
      </c>
      <c r="I46" s="13"/>
      <c r="J46" s="20">
        <f>IF(H$12=0,0,H46/H$12)</f>
        <v>0.58186361680699028</v>
      </c>
      <c r="K46" s="16"/>
      <c r="L46" s="19">
        <f>+D46-H46</f>
        <v>-13445.819999999992</v>
      </c>
      <c r="M46" s="16"/>
      <c r="N46" s="20">
        <f>IF(H46=0,0,L46/H46)</f>
        <v>-0.44885846014049446</v>
      </c>
      <c r="O46" s="25"/>
      <c r="P46" s="19">
        <f>P12-P33</f>
        <v>16509.770000000004</v>
      </c>
      <c r="Q46" s="13"/>
      <c r="R46" s="20">
        <f>IF(P$12=0,0,P46/P$12)</f>
        <v>0.61420800847626311</v>
      </c>
      <c r="S46" s="13"/>
      <c r="T46" s="19">
        <f>T12-T33</f>
        <v>29955.589999999997</v>
      </c>
      <c r="U46" s="13"/>
      <c r="V46" s="20">
        <f>IF(T$12=0,0,T46/T$12)</f>
        <v>0.58186361680699028</v>
      </c>
      <c r="W46" s="16"/>
      <c r="X46" s="19">
        <f>+P46-T46</f>
        <v>-13445.819999999992</v>
      </c>
      <c r="Y46" s="16"/>
      <c r="Z46" s="20">
        <f>IF(T46=0,0,X46/T46)</f>
        <v>-0.44885846014049446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1">
        <f>SUM(OSRRefD22x_0)</f>
        <v>23071.4</v>
      </c>
      <c r="E48" s="21"/>
      <c r="F48" s="34">
        <f t="shared" ref="F48:F57" si="16">IF(D$12=0,0,D48/D$12)</f>
        <v>0.85831835614664853</v>
      </c>
      <c r="G48" s="21"/>
      <c r="H48" s="21">
        <f>SUM(OSRRefH22x_0)</f>
        <v>27441.069999999996</v>
      </c>
      <c r="I48" s="21"/>
      <c r="J48" s="34">
        <f t="shared" ref="J48:J57" si="17">IF(H$12=0,0,H48/H$12)</f>
        <v>0.53302105681289524</v>
      </c>
      <c r="K48" s="4"/>
      <c r="L48" s="21">
        <f t="shared" ref="L48:L57" si="18">+D48-H48</f>
        <v>-4369.6699999999946</v>
      </c>
      <c r="M48" s="4"/>
      <c r="N48" s="34">
        <f t="shared" ref="N48:N57" si="19">IF(H48=0,0,L48/H48)</f>
        <v>-0.15923832416155767</v>
      </c>
      <c r="O48" s="10"/>
      <c r="P48" s="21">
        <f>SUM(OSRRefP22x_0)</f>
        <v>23071.4</v>
      </c>
      <c r="Q48" s="21"/>
      <c r="R48" s="34">
        <f t="shared" ref="R48:R57" si="20">IF(P$12=0,0,P48/P$12)</f>
        <v>0.85831835614664853</v>
      </c>
      <c r="S48" s="21"/>
      <c r="T48" s="21">
        <f>SUM(OSRRefT22x_0)</f>
        <v>27441.069999999996</v>
      </c>
      <c r="U48" s="21"/>
      <c r="V48" s="34">
        <f t="shared" ref="V48:V57" si="21">IF(T$12=0,0,T48/T$12)</f>
        <v>0.53302105681289524</v>
      </c>
      <c r="W48" s="4"/>
      <c r="X48" s="21">
        <f t="shared" ref="X48:X57" si="22">+P48-T48</f>
        <v>-4369.6699999999946</v>
      </c>
      <c r="Y48" s="4"/>
      <c r="Z48" s="34">
        <f t="shared" ref="Z48:Z57" si="23">IF(T48=0,0,X48/T48)</f>
        <v>-0.15923832416155767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4182.72</v>
      </c>
      <c r="E49" s="1"/>
      <c r="F49" s="5">
        <f t="shared" si="16"/>
        <v>0.15560847432846336</v>
      </c>
      <c r="G49" s="1"/>
      <c r="H49" s="1">
        <f>SUM(OSRRefH22_0x_0)</f>
        <v>1438.26</v>
      </c>
      <c r="I49" s="1"/>
      <c r="J49" s="5">
        <f t="shared" si="17"/>
        <v>2.7937061680601918E-2</v>
      </c>
      <c r="K49" s="1"/>
      <c r="L49" s="1">
        <f t="shared" si="18"/>
        <v>2744.46</v>
      </c>
      <c r="M49" s="1"/>
      <c r="N49" s="5">
        <f t="shared" si="19"/>
        <v>1.9081807183680282</v>
      </c>
      <c r="O49" s="14"/>
      <c r="P49" s="1">
        <f>SUM(OSRRefP22_0x_0)</f>
        <v>4182.72</v>
      </c>
      <c r="Q49" s="1"/>
      <c r="R49" s="5">
        <f t="shared" si="20"/>
        <v>0.15560847432846336</v>
      </c>
      <c r="S49" s="1"/>
      <c r="T49" s="1">
        <f>SUM(OSRRefT22_0x_0)</f>
        <v>1438.26</v>
      </c>
      <c r="U49" s="1"/>
      <c r="V49" s="5">
        <f t="shared" si="21"/>
        <v>2.7937061680601918E-2</v>
      </c>
      <c r="W49" s="1"/>
      <c r="X49" s="1">
        <f t="shared" si="22"/>
        <v>2744.46</v>
      </c>
      <c r="Y49" s="1"/>
      <c r="Z49" s="5">
        <f t="shared" si="23"/>
        <v>1.9081807183680282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8">
        <v>672.15</v>
      </c>
      <c r="E50" s="3"/>
      <c r="F50" s="7">
        <f t="shared" si="16"/>
        <v>2.5005794320412708E-2</v>
      </c>
      <c r="G50" s="3"/>
      <c r="H50" s="8">
        <v>713.71</v>
      </c>
      <c r="I50" s="3"/>
      <c r="J50" s="7">
        <f t="shared" si="17"/>
        <v>1.3863251631876291E-2</v>
      </c>
      <c r="K50" s="3"/>
      <c r="L50" s="8">
        <f t="shared" si="18"/>
        <v>-41.560000000000059</v>
      </c>
      <c r="M50" s="3"/>
      <c r="N50" s="7">
        <f t="shared" si="19"/>
        <v>-5.8230934132911208E-2</v>
      </c>
      <c r="O50" s="11"/>
      <c r="P50" s="8">
        <v>672.15</v>
      </c>
      <c r="Q50" s="3"/>
      <c r="R50" s="7">
        <f t="shared" si="20"/>
        <v>2.5005794320412708E-2</v>
      </c>
      <c r="S50" s="3"/>
      <c r="T50" s="8">
        <v>713.71</v>
      </c>
      <c r="U50" s="3"/>
      <c r="V50" s="7">
        <f t="shared" si="21"/>
        <v>1.3863251631876291E-2</v>
      </c>
      <c r="W50" s="3"/>
      <c r="X50" s="8">
        <f t="shared" si="22"/>
        <v>-41.560000000000059</v>
      </c>
      <c r="Y50" s="3"/>
      <c r="Z50" s="7">
        <f t="shared" si="23"/>
        <v>-5.8230934132911208E-2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8">
        <v>228.93</v>
      </c>
      <c r="E51" s="3"/>
      <c r="F51" s="7">
        <f t="shared" si="16"/>
        <v>8.5168139459526615E-3</v>
      </c>
      <c r="G51" s="3"/>
      <c r="H51" s="8">
        <v>188.78</v>
      </c>
      <c r="I51" s="3"/>
      <c r="J51" s="7">
        <f t="shared" si="17"/>
        <v>3.6669020233226469E-3</v>
      </c>
      <c r="K51" s="3"/>
      <c r="L51" s="8">
        <f t="shared" si="18"/>
        <v>40.150000000000006</v>
      </c>
      <c r="M51" s="3"/>
      <c r="N51" s="7">
        <f t="shared" si="19"/>
        <v>0.21268142811738536</v>
      </c>
      <c r="O51" s="11"/>
      <c r="P51" s="8">
        <v>228.93</v>
      </c>
      <c r="Q51" s="3"/>
      <c r="R51" s="7">
        <f t="shared" si="20"/>
        <v>8.5168139459526615E-3</v>
      </c>
      <c r="S51" s="3"/>
      <c r="T51" s="8">
        <v>188.78</v>
      </c>
      <c r="U51" s="3"/>
      <c r="V51" s="7">
        <f t="shared" si="21"/>
        <v>3.6669020233226469E-3</v>
      </c>
      <c r="W51" s="3"/>
      <c r="X51" s="8">
        <f t="shared" si="22"/>
        <v>40.150000000000006</v>
      </c>
      <c r="Y51" s="3"/>
      <c r="Z51" s="7">
        <f t="shared" si="23"/>
        <v>0.21268142811738536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8">
        <v>2012.47</v>
      </c>
      <c r="E52" s="3"/>
      <c r="F52" s="7">
        <f t="shared" si="16"/>
        <v>7.4869316218107509E-2</v>
      </c>
      <c r="G52" s="3"/>
      <c r="H52" s="8">
        <v>31.11</v>
      </c>
      <c r="I52" s="3"/>
      <c r="J52" s="7">
        <f t="shared" si="17"/>
        <v>6.0428711699103471E-4</v>
      </c>
      <c r="K52" s="3"/>
      <c r="L52" s="8">
        <f t="shared" si="18"/>
        <v>1981.3600000000001</v>
      </c>
      <c r="M52" s="3"/>
      <c r="N52" s="7">
        <f t="shared" si="19"/>
        <v>63.688846030215373</v>
      </c>
      <c r="O52" s="11"/>
      <c r="P52" s="8">
        <v>2012.47</v>
      </c>
      <c r="Q52" s="3"/>
      <c r="R52" s="7">
        <f t="shared" si="20"/>
        <v>7.4869316218107509E-2</v>
      </c>
      <c r="S52" s="3"/>
      <c r="T52" s="8">
        <v>31.11</v>
      </c>
      <c r="U52" s="3"/>
      <c r="V52" s="7">
        <f t="shared" si="21"/>
        <v>6.0428711699103471E-4</v>
      </c>
      <c r="W52" s="3"/>
      <c r="X52" s="8">
        <f t="shared" si="22"/>
        <v>1981.3600000000001</v>
      </c>
      <c r="Y52" s="3"/>
      <c r="Z52" s="7">
        <f t="shared" si="23"/>
        <v>63.688846030215373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8">
        <v>23.65</v>
      </c>
      <c r="E53" s="3"/>
      <c r="F53" s="7">
        <f t="shared" si="16"/>
        <v>8.7984383794950606E-4</v>
      </c>
      <c r="G53" s="3"/>
      <c r="H53" s="8">
        <v>25.83</v>
      </c>
      <c r="I53" s="3"/>
      <c r="J53" s="7">
        <f t="shared" si="17"/>
        <v>5.0172729771386776E-4</v>
      </c>
      <c r="K53" s="3"/>
      <c r="L53" s="8">
        <f t="shared" si="18"/>
        <v>-2.1799999999999997</v>
      </c>
      <c r="M53" s="3"/>
      <c r="N53" s="7">
        <f t="shared" si="19"/>
        <v>-8.4397986837011219E-2</v>
      </c>
      <c r="O53" s="11"/>
      <c r="P53" s="8">
        <v>23.65</v>
      </c>
      <c r="Q53" s="3"/>
      <c r="R53" s="7">
        <f t="shared" si="20"/>
        <v>8.7984383794950606E-4</v>
      </c>
      <c r="S53" s="3"/>
      <c r="T53" s="8">
        <v>25.83</v>
      </c>
      <c r="U53" s="3"/>
      <c r="V53" s="7">
        <f t="shared" si="21"/>
        <v>5.0172729771386776E-4</v>
      </c>
      <c r="W53" s="3"/>
      <c r="X53" s="8">
        <f t="shared" si="22"/>
        <v>-2.1799999999999997</v>
      </c>
      <c r="Y53" s="3"/>
      <c r="Z53" s="7">
        <f t="shared" si="23"/>
        <v>-8.4397986837011219E-2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8">
        <v>543.17999999999995</v>
      </c>
      <c r="E54" s="3"/>
      <c r="F54" s="7">
        <f t="shared" si="16"/>
        <v>2.0207762194393773E-2</v>
      </c>
      <c r="G54" s="3"/>
      <c r="H54" s="8">
        <v>153.06</v>
      </c>
      <c r="I54" s="3"/>
      <c r="J54" s="7">
        <f t="shared" si="17"/>
        <v>2.9730693065460551E-3</v>
      </c>
      <c r="K54" s="3"/>
      <c r="L54" s="8">
        <f t="shared" si="18"/>
        <v>390.11999999999995</v>
      </c>
      <c r="M54" s="3"/>
      <c r="N54" s="7">
        <f t="shared" si="19"/>
        <v>2.548804390435123</v>
      </c>
      <c r="O54" s="11"/>
      <c r="P54" s="8">
        <v>543.17999999999995</v>
      </c>
      <c r="Q54" s="3"/>
      <c r="R54" s="7">
        <f t="shared" si="20"/>
        <v>2.0207762194393773E-2</v>
      </c>
      <c r="S54" s="3"/>
      <c r="T54" s="8">
        <v>153.06</v>
      </c>
      <c r="U54" s="3"/>
      <c r="V54" s="7">
        <f t="shared" si="21"/>
        <v>2.9730693065460551E-3</v>
      </c>
      <c r="W54" s="3"/>
      <c r="X54" s="8">
        <f t="shared" si="22"/>
        <v>390.11999999999995</v>
      </c>
      <c r="Y54" s="3"/>
      <c r="Z54" s="7">
        <f t="shared" si="23"/>
        <v>2.548804390435123</v>
      </c>
    </row>
    <row r="55" spans="1:26" s="24" customFormat="1" hidden="1" outlineLevel="2" x14ac:dyDescent="0.25">
      <c r="A55" s="29"/>
      <c r="B55" s="11" t="str">
        <f>CONCATENATE("          ", "6118", " - ", "VACATION")</f>
        <v xml:space="preserve">          6118 - VACATION</v>
      </c>
      <c r="C55" s="11"/>
      <c r="D55" s="8">
        <v>402.51</v>
      </c>
      <c r="E55" s="3"/>
      <c r="F55" s="7">
        <f t="shared" si="16"/>
        <v>1.4974458486809967E-2</v>
      </c>
      <c r="G55" s="3"/>
      <c r="H55" s="8">
        <v>191.01</v>
      </c>
      <c r="I55" s="3"/>
      <c r="J55" s="7">
        <f t="shared" si="17"/>
        <v>3.7102180076006926E-3</v>
      </c>
      <c r="K55" s="3"/>
      <c r="L55" s="8">
        <f t="shared" si="18"/>
        <v>211.5</v>
      </c>
      <c r="M55" s="3"/>
      <c r="N55" s="7">
        <f t="shared" si="19"/>
        <v>1.1072718705826921</v>
      </c>
      <c r="O55" s="11"/>
      <c r="P55" s="8">
        <v>402.51</v>
      </c>
      <c r="Q55" s="3"/>
      <c r="R55" s="7">
        <f t="shared" si="20"/>
        <v>1.4974458486809967E-2</v>
      </c>
      <c r="S55" s="3"/>
      <c r="T55" s="8">
        <v>191.01</v>
      </c>
      <c r="U55" s="3"/>
      <c r="V55" s="7">
        <f t="shared" si="21"/>
        <v>3.7102180076006926E-3</v>
      </c>
      <c r="W55" s="3"/>
      <c r="X55" s="8">
        <f t="shared" si="22"/>
        <v>211.5</v>
      </c>
      <c r="Y55" s="3"/>
      <c r="Z55" s="7">
        <f t="shared" si="23"/>
        <v>1.1072718705826921</v>
      </c>
    </row>
    <row r="56" spans="1:26" s="24" customFormat="1" hidden="1" outlineLevel="2" x14ac:dyDescent="0.25">
      <c r="A56" s="29"/>
      <c r="B56" s="11" t="str">
        <f>CONCATENATE("          ", "6119", " - ", "SICK LEAVE")</f>
        <v xml:space="preserve">          6119 - SICK LEAVE</v>
      </c>
      <c r="C56" s="11"/>
      <c r="D56" s="8">
        <v>223.35</v>
      </c>
      <c r="E56" s="3"/>
      <c r="F56" s="7">
        <f t="shared" si="16"/>
        <v>8.3092228839755679E-3</v>
      </c>
      <c r="G56" s="3"/>
      <c r="H56" s="8">
        <v>134.76</v>
      </c>
      <c r="I56" s="3"/>
      <c r="J56" s="7">
        <f t="shared" si="17"/>
        <v>2.6176062965513288E-3</v>
      </c>
      <c r="K56" s="3"/>
      <c r="L56" s="8">
        <f t="shared" si="18"/>
        <v>88.59</v>
      </c>
      <c r="M56" s="3"/>
      <c r="N56" s="7">
        <f t="shared" si="19"/>
        <v>0.65739091718610876</v>
      </c>
      <c r="O56" s="11"/>
      <c r="P56" s="8">
        <v>223.35</v>
      </c>
      <c r="Q56" s="3"/>
      <c r="R56" s="7">
        <f t="shared" si="20"/>
        <v>8.3092228839755679E-3</v>
      </c>
      <c r="S56" s="3"/>
      <c r="T56" s="8">
        <v>134.76</v>
      </c>
      <c r="U56" s="3"/>
      <c r="V56" s="7">
        <f t="shared" si="21"/>
        <v>2.6176062965513288E-3</v>
      </c>
      <c r="W56" s="3"/>
      <c r="X56" s="8">
        <f t="shared" si="22"/>
        <v>88.59</v>
      </c>
      <c r="Y56" s="3"/>
      <c r="Z56" s="7">
        <f t="shared" si="23"/>
        <v>0.65739091718610876</v>
      </c>
    </row>
    <row r="57" spans="1:26" s="24" customFormat="1" hidden="1" outlineLevel="2" x14ac:dyDescent="0.25">
      <c r="A57" s="29"/>
      <c r="B57" s="11" t="str">
        <f>CONCATENATE("          ", "6156", " - ", "EMPLOYEE MEALS")</f>
        <v xml:space="preserve">          6156 - EMPLOYEE MEALS</v>
      </c>
      <c r="C57" s="11"/>
      <c r="D57" s="8">
        <v>76.48</v>
      </c>
      <c r="E57" s="3"/>
      <c r="F57" s="7">
        <f t="shared" si="16"/>
        <v>2.8452624408616587E-3</v>
      </c>
      <c r="G57" s="3"/>
      <c r="H57" s="8"/>
      <c r="I57" s="3"/>
      <c r="J57" s="7">
        <f t="shared" si="17"/>
        <v>0</v>
      </c>
      <c r="K57" s="3"/>
      <c r="L57" s="8">
        <f t="shared" si="18"/>
        <v>76.48</v>
      </c>
      <c r="M57" s="3"/>
      <c r="N57" s="7">
        <f t="shared" si="19"/>
        <v>0</v>
      </c>
      <c r="O57" s="11"/>
      <c r="P57" s="8">
        <v>76.48</v>
      </c>
      <c r="Q57" s="3"/>
      <c r="R57" s="7">
        <f t="shared" si="20"/>
        <v>2.8452624408616587E-3</v>
      </c>
      <c r="S57" s="3"/>
      <c r="T57" s="8"/>
      <c r="U57" s="3"/>
      <c r="V57" s="7">
        <f t="shared" si="21"/>
        <v>0</v>
      </c>
      <c r="W57" s="3"/>
      <c r="X57" s="8">
        <f t="shared" si="22"/>
        <v>76.48</v>
      </c>
      <c r="Y57" s="3"/>
      <c r="Z57" s="7">
        <f t="shared" si="23"/>
        <v>0</v>
      </c>
    </row>
    <row r="58" spans="1:26" s="27" customFormat="1" outlineLevel="1" collapsed="1" x14ac:dyDescent="0.25">
      <c r="A58" s="28"/>
      <c r="B58" s="14" t="str">
        <f>CONCATENATE("     ","*Payroll                                          ")</f>
        <v xml:space="preserve">     *Payroll                                          </v>
      </c>
      <c r="C58" s="14"/>
      <c r="D58" s="1">
        <f>SUM(OSRRefD22_1x_0)</f>
        <v>11018.7</v>
      </c>
      <c r="E58" s="1"/>
      <c r="F58" s="5">
        <f t="shared" ref="F58:F62" si="24">IF(D$12=0,0,D58/D$12)</f>
        <v>0.40992538254605598</v>
      </c>
      <c r="G58" s="1"/>
      <c r="H58" s="1">
        <f>SUM(OSRRefH22_1x_0)</f>
        <v>10026.82</v>
      </c>
      <c r="I58" s="1"/>
      <c r="J58" s="5">
        <f t="shared" ref="J58:J62" si="25">IF(H$12=0,0,H58/H$12)</f>
        <v>0.19476303922815966</v>
      </c>
      <c r="K58" s="1"/>
      <c r="L58" s="1">
        <f t="shared" ref="L58:L62" si="26">+D58-H58</f>
        <v>991.88000000000102</v>
      </c>
      <c r="M58" s="1"/>
      <c r="N58" s="5">
        <f t="shared" ref="N58:N62" si="27">IF(H58=0,0,L58/H58)</f>
        <v>9.8922689347170994E-2</v>
      </c>
      <c r="O58" s="14"/>
      <c r="P58" s="1">
        <f>SUM(OSRRefP22_1x_0)</f>
        <v>11018.7</v>
      </c>
      <c r="Q58" s="1"/>
      <c r="R58" s="5">
        <f t="shared" ref="R58:R62" si="28">IF(P$12=0,0,P58/P$12)</f>
        <v>0.40992538254605598</v>
      </c>
      <c r="S58" s="1"/>
      <c r="T58" s="1">
        <f>SUM(OSRRefT22_1x_0)</f>
        <v>10026.82</v>
      </c>
      <c r="U58" s="1"/>
      <c r="V58" s="5">
        <f t="shared" ref="V58:V62" si="29">IF(T$12=0,0,T58/T$12)</f>
        <v>0.19476303922815966</v>
      </c>
      <c r="W58" s="1"/>
      <c r="X58" s="1">
        <f t="shared" ref="X58:X62" si="30">+P58-T58</f>
        <v>991.88000000000102</v>
      </c>
      <c r="Y58" s="1"/>
      <c r="Z58" s="5">
        <f t="shared" ref="Z58:Z62" si="31">IF(T58=0,0,X58/T58)</f>
        <v>9.8922689347170994E-2</v>
      </c>
    </row>
    <row r="59" spans="1:26" s="24" customFormat="1" hidden="1" outlineLevel="2" x14ac:dyDescent="0.25">
      <c r="A59" s="29"/>
      <c r="B59" s="11" t="str">
        <f>CONCATENATE("          ", "6002", " - ", "STAFF SALARIES")</f>
        <v xml:space="preserve">          6002 - STAFF SALARIES</v>
      </c>
      <c r="C59" s="11"/>
      <c r="D59" s="8">
        <v>5855.62</v>
      </c>
      <c r="E59" s="3"/>
      <c r="F59" s="7">
        <f t="shared" si="24"/>
        <v>0.21784486995238422</v>
      </c>
      <c r="G59" s="3"/>
      <c r="H59" s="8">
        <v>-486.86</v>
      </c>
      <c r="I59" s="3"/>
      <c r="J59" s="7">
        <f t="shared" si="25"/>
        <v>-9.4568700025154349E-3</v>
      </c>
      <c r="K59" s="3"/>
      <c r="L59" s="8">
        <f t="shared" si="26"/>
        <v>6342.48</v>
      </c>
      <c r="M59" s="3"/>
      <c r="N59" s="7">
        <f t="shared" si="27"/>
        <v>-13.027317914800967</v>
      </c>
      <c r="O59" s="11"/>
      <c r="P59" s="8">
        <v>5855.62</v>
      </c>
      <c r="Q59" s="3"/>
      <c r="R59" s="7">
        <f t="shared" si="28"/>
        <v>0.21784486995238422</v>
      </c>
      <c r="S59" s="3"/>
      <c r="T59" s="8">
        <v>-486.86</v>
      </c>
      <c r="U59" s="3"/>
      <c r="V59" s="7">
        <f t="shared" si="29"/>
        <v>-9.4568700025154349E-3</v>
      </c>
      <c r="W59" s="3"/>
      <c r="X59" s="8">
        <f t="shared" si="30"/>
        <v>6342.48</v>
      </c>
      <c r="Y59" s="3"/>
      <c r="Z59" s="7">
        <f t="shared" si="31"/>
        <v>-13.027317914800967</v>
      </c>
    </row>
    <row r="60" spans="1:26" s="24" customFormat="1" hidden="1" outlineLevel="2" x14ac:dyDescent="0.25">
      <c r="A60" s="29"/>
      <c r="B60" s="11" t="str">
        <f>CONCATENATE("          ", "6004", " - ", "STAFF HOURLY")</f>
        <v xml:space="preserve">          6004 - STAFF HOURLY</v>
      </c>
      <c r="C60" s="11"/>
      <c r="D60" s="8">
        <v>2750.47</v>
      </c>
      <c r="E60" s="3"/>
      <c r="F60" s="7">
        <f t="shared" si="24"/>
        <v>0.10232490828604558</v>
      </c>
      <c r="G60" s="3"/>
      <c r="H60" s="8"/>
      <c r="I60" s="3"/>
      <c r="J60" s="7">
        <f t="shared" si="25"/>
        <v>0</v>
      </c>
      <c r="K60" s="3"/>
      <c r="L60" s="8">
        <f t="shared" si="26"/>
        <v>2750.47</v>
      </c>
      <c r="M60" s="3"/>
      <c r="N60" s="7">
        <f t="shared" si="27"/>
        <v>0</v>
      </c>
      <c r="O60" s="11"/>
      <c r="P60" s="8">
        <v>2750.47</v>
      </c>
      <c r="Q60" s="3"/>
      <c r="R60" s="7">
        <f t="shared" si="28"/>
        <v>0.10232490828604558</v>
      </c>
      <c r="S60" s="3"/>
      <c r="T60" s="8"/>
      <c r="U60" s="3"/>
      <c r="V60" s="7">
        <f t="shared" si="29"/>
        <v>0</v>
      </c>
      <c r="W60" s="3"/>
      <c r="X60" s="8">
        <f t="shared" si="30"/>
        <v>2750.47</v>
      </c>
      <c r="Y60" s="3"/>
      <c r="Z60" s="7">
        <f t="shared" si="31"/>
        <v>0</v>
      </c>
    </row>
    <row r="61" spans="1:26" s="24" customFormat="1" hidden="1" outlineLevel="2" x14ac:dyDescent="0.25">
      <c r="A61" s="29"/>
      <c r="B61" s="11" t="str">
        <f>CONCATENATE("          ", "6005", " - ", "TEMPORARY WAGES-HOURLY")</f>
        <v xml:space="preserve">          6005 - TEMPORARY WAGES-HOURLY</v>
      </c>
      <c r="C61" s="11"/>
      <c r="D61" s="8">
        <v>1210.6099999999999</v>
      </c>
      <c r="E61" s="3"/>
      <c r="F61" s="7">
        <f t="shared" si="24"/>
        <v>4.5037959774209366E-2</v>
      </c>
      <c r="G61" s="3"/>
      <c r="H61" s="8">
        <v>332.35</v>
      </c>
      <c r="I61" s="3"/>
      <c r="J61" s="7">
        <f t="shared" si="25"/>
        <v>6.4556355940845519E-3</v>
      </c>
      <c r="K61" s="3"/>
      <c r="L61" s="8">
        <f t="shared" si="26"/>
        <v>878.25999999999988</v>
      </c>
      <c r="M61" s="3"/>
      <c r="N61" s="7">
        <f t="shared" si="27"/>
        <v>2.6425755980141412</v>
      </c>
      <c r="O61" s="11"/>
      <c r="P61" s="8">
        <v>1210.6099999999999</v>
      </c>
      <c r="Q61" s="3"/>
      <c r="R61" s="7">
        <f t="shared" si="28"/>
        <v>4.5037959774209366E-2</v>
      </c>
      <c r="S61" s="3"/>
      <c r="T61" s="8">
        <v>332.35</v>
      </c>
      <c r="U61" s="3"/>
      <c r="V61" s="7">
        <f t="shared" si="29"/>
        <v>6.4556355940845519E-3</v>
      </c>
      <c r="W61" s="3"/>
      <c r="X61" s="8">
        <f t="shared" si="30"/>
        <v>878.25999999999988</v>
      </c>
      <c r="Y61" s="3"/>
      <c r="Z61" s="7">
        <f t="shared" si="31"/>
        <v>2.6425755980141412</v>
      </c>
    </row>
    <row r="62" spans="1:26" s="24" customFormat="1" hidden="1" outlineLevel="2" x14ac:dyDescent="0.25">
      <c r="A62" s="29"/>
      <c r="B62" s="11" t="str">
        <f>CONCATENATE("          ", "6007", " - ", "STUDENT HOURLY")</f>
        <v xml:space="preserve">          6007 - STUDENT HOURLY</v>
      </c>
      <c r="C62" s="11"/>
      <c r="D62" s="8">
        <v>1202</v>
      </c>
      <c r="E62" s="3"/>
      <c r="F62" s="7">
        <f t="shared" si="24"/>
        <v>4.4717644533416763E-2</v>
      </c>
      <c r="G62" s="3"/>
      <c r="H62" s="8">
        <v>10181.33</v>
      </c>
      <c r="I62" s="3"/>
      <c r="J62" s="7">
        <f t="shared" si="25"/>
        <v>0.19776427363659055</v>
      </c>
      <c r="K62" s="3"/>
      <c r="L62" s="8">
        <f t="shared" si="26"/>
        <v>-8979.33</v>
      </c>
      <c r="M62" s="3"/>
      <c r="N62" s="7">
        <f t="shared" si="27"/>
        <v>-0.88194076805289678</v>
      </c>
      <c r="O62" s="11"/>
      <c r="P62" s="8">
        <v>1202</v>
      </c>
      <c r="Q62" s="3"/>
      <c r="R62" s="7">
        <f t="shared" si="28"/>
        <v>4.4717644533416763E-2</v>
      </c>
      <c r="S62" s="3"/>
      <c r="T62" s="8">
        <v>10181.33</v>
      </c>
      <c r="U62" s="3"/>
      <c r="V62" s="7">
        <f t="shared" si="29"/>
        <v>0.19776427363659055</v>
      </c>
      <c r="W62" s="3"/>
      <c r="X62" s="8">
        <f t="shared" si="30"/>
        <v>-8979.33</v>
      </c>
      <c r="Y62" s="3"/>
      <c r="Z62" s="7">
        <f t="shared" si="31"/>
        <v>-0.88194076805289678</v>
      </c>
    </row>
    <row r="63" spans="1:26" s="27" customFormat="1" outlineLevel="1" collapsed="1" x14ac:dyDescent="0.25">
      <c r="A63" s="28"/>
      <c r="B63" s="14" t="str">
        <f>CONCATENATE("     ","Bad Debts/Over/Short                              ")</f>
        <v xml:space="preserve">     Bad Debts/Over/Short                              </v>
      </c>
      <c r="C63" s="14"/>
      <c r="D63" s="1">
        <f>SUM(OSRRefD22_2x_0)</f>
        <v>-0.9</v>
      </c>
      <c r="E63" s="1"/>
      <c r="F63" s="5">
        <f t="shared" ref="F63:F82" si="32">IF(D$12=0,0,D63/D$12)</f>
        <v>-3.3482429351143996E-5</v>
      </c>
      <c r="G63" s="1"/>
      <c r="H63" s="1">
        <f>SUM(OSRRefH22_2x_0)</f>
        <v>-6.13</v>
      </c>
      <c r="I63" s="1"/>
      <c r="J63" s="5">
        <f t="shared" ref="J63:J82" si="33">IF(H$12=0,0,H63/H$12)</f>
        <v>-1.190703962441351E-4</v>
      </c>
      <c r="K63" s="1"/>
      <c r="L63" s="1">
        <f t="shared" ref="L63:L82" si="34">+D63-H63</f>
        <v>5.2299999999999995</v>
      </c>
      <c r="M63" s="1"/>
      <c r="N63" s="5">
        <f t="shared" ref="N63:N82" si="35">IF(H63=0,0,L63/H63)</f>
        <v>-0.8531810766721043</v>
      </c>
      <c r="O63" s="14"/>
      <c r="P63" s="1">
        <f>SUM(OSRRefP22_2x_0)</f>
        <v>-0.9</v>
      </c>
      <c r="Q63" s="1"/>
      <c r="R63" s="5">
        <f t="shared" ref="R63:R82" si="36">IF(P$12=0,0,P63/P$12)</f>
        <v>-3.3482429351143996E-5</v>
      </c>
      <c r="S63" s="1"/>
      <c r="T63" s="1">
        <f>SUM(OSRRefT22_2x_0)</f>
        <v>-6.13</v>
      </c>
      <c r="U63" s="1"/>
      <c r="V63" s="5">
        <f t="shared" ref="V63:V82" si="37">IF(T$12=0,0,T63/T$12)</f>
        <v>-1.190703962441351E-4</v>
      </c>
      <c r="W63" s="1"/>
      <c r="X63" s="1">
        <f t="shared" ref="X63:X82" si="38">+P63-T63</f>
        <v>5.2299999999999995</v>
      </c>
      <c r="Y63" s="1"/>
      <c r="Z63" s="5">
        <f t="shared" ref="Z63:Z82" si="39">IF(T63=0,0,X63/T63)</f>
        <v>-0.8531810766721043</v>
      </c>
    </row>
    <row r="64" spans="1:26" s="24" customFormat="1" hidden="1" outlineLevel="2" x14ac:dyDescent="0.25">
      <c r="A64" s="29"/>
      <c r="B64" s="11" t="str">
        <f>CONCATENATE("          ", "6272", " - ", "CASH (OVER/SHORT)")</f>
        <v xml:space="preserve">          6272 - CASH (OVER/SHORT)</v>
      </c>
      <c r="C64" s="11"/>
      <c r="D64" s="8">
        <v>-0.9</v>
      </c>
      <c r="E64" s="3"/>
      <c r="F64" s="7">
        <f t="shared" si="32"/>
        <v>-3.3482429351143996E-5</v>
      </c>
      <c r="G64" s="3"/>
      <c r="H64" s="8">
        <v>-6.13</v>
      </c>
      <c r="I64" s="3"/>
      <c r="J64" s="7">
        <f t="shared" si="33"/>
        <v>-1.190703962441351E-4</v>
      </c>
      <c r="K64" s="3"/>
      <c r="L64" s="8">
        <f t="shared" si="34"/>
        <v>5.2299999999999995</v>
      </c>
      <c r="M64" s="3"/>
      <c r="N64" s="7">
        <f t="shared" si="35"/>
        <v>-0.8531810766721043</v>
      </c>
      <c r="O64" s="11"/>
      <c r="P64" s="8">
        <v>-0.9</v>
      </c>
      <c r="Q64" s="3"/>
      <c r="R64" s="7">
        <f t="shared" si="36"/>
        <v>-3.3482429351143996E-5</v>
      </c>
      <c r="S64" s="3"/>
      <c r="T64" s="8">
        <v>-6.13</v>
      </c>
      <c r="U64" s="3"/>
      <c r="V64" s="7">
        <f t="shared" si="37"/>
        <v>-1.190703962441351E-4</v>
      </c>
      <c r="W64" s="3"/>
      <c r="X64" s="8">
        <f t="shared" si="38"/>
        <v>5.2299999999999995</v>
      </c>
      <c r="Y64" s="3"/>
      <c r="Z64" s="7">
        <f t="shared" si="39"/>
        <v>-0.8531810766721043</v>
      </c>
    </row>
    <row r="65" spans="1:26" s="27" customFormat="1" outlineLevel="1" collapsed="1" x14ac:dyDescent="0.25">
      <c r="A65" s="28"/>
      <c r="B65" s="14" t="str">
        <f>CONCATENATE("     ","Bank/card Fees                                    ")</f>
        <v xml:space="preserve">     Bank/card Fees                                    </v>
      </c>
      <c r="C65" s="14"/>
      <c r="D65" s="1">
        <f>SUM(OSRRefD22_3x_0)</f>
        <v>306.89</v>
      </c>
      <c r="E65" s="1"/>
      <c r="F65" s="5">
        <f t="shared" si="32"/>
        <v>1.1417136381747312E-2</v>
      </c>
      <c r="G65" s="1"/>
      <c r="H65" s="1">
        <f>SUM(OSRRefH22_3x_0)</f>
        <v>677.71</v>
      </c>
      <c r="I65" s="1"/>
      <c r="J65" s="5">
        <f t="shared" si="33"/>
        <v>1.3163980136804698E-2</v>
      </c>
      <c r="K65" s="1"/>
      <c r="L65" s="1">
        <f t="shared" si="34"/>
        <v>-370.82000000000005</v>
      </c>
      <c r="M65" s="1"/>
      <c r="N65" s="5">
        <f t="shared" si="35"/>
        <v>-0.54716619202903904</v>
      </c>
      <c r="O65" s="14"/>
      <c r="P65" s="1">
        <f>SUM(OSRRefP22_3x_0)</f>
        <v>306.89</v>
      </c>
      <c r="Q65" s="1"/>
      <c r="R65" s="5">
        <f t="shared" si="36"/>
        <v>1.1417136381747312E-2</v>
      </c>
      <c r="S65" s="1"/>
      <c r="T65" s="1">
        <f>SUM(OSRRefT22_3x_0)</f>
        <v>677.71</v>
      </c>
      <c r="U65" s="1"/>
      <c r="V65" s="5">
        <f t="shared" si="37"/>
        <v>1.3163980136804698E-2</v>
      </c>
      <c r="W65" s="1"/>
      <c r="X65" s="1">
        <f t="shared" si="38"/>
        <v>-370.82000000000005</v>
      </c>
      <c r="Y65" s="1"/>
      <c r="Z65" s="5">
        <f t="shared" si="39"/>
        <v>-0.54716619202903904</v>
      </c>
    </row>
    <row r="66" spans="1:26" s="24" customFormat="1" hidden="1" outlineLevel="2" x14ac:dyDescent="0.25">
      <c r="A66" s="29"/>
      <c r="B66" s="11" t="str">
        <f>CONCATENATE("          ", "6381", " - ", "BANK/CREDIT CARD FEES")</f>
        <v xml:space="preserve">          6381 - BANK/CREDIT CARD FEES</v>
      </c>
      <c r="C66" s="11"/>
      <c r="D66" s="8">
        <v>306.89</v>
      </c>
      <c r="E66" s="3"/>
      <c r="F66" s="7">
        <f t="shared" si="32"/>
        <v>1.1417136381747312E-2</v>
      </c>
      <c r="G66" s="3"/>
      <c r="H66" s="8">
        <v>677.71</v>
      </c>
      <c r="I66" s="3"/>
      <c r="J66" s="7">
        <f t="shared" si="33"/>
        <v>1.3163980136804698E-2</v>
      </c>
      <c r="K66" s="3"/>
      <c r="L66" s="8">
        <f t="shared" si="34"/>
        <v>-370.82000000000005</v>
      </c>
      <c r="M66" s="3"/>
      <c r="N66" s="7">
        <f t="shared" si="35"/>
        <v>-0.54716619202903904</v>
      </c>
      <c r="O66" s="11"/>
      <c r="P66" s="8">
        <v>306.89</v>
      </c>
      <c r="Q66" s="3"/>
      <c r="R66" s="7">
        <f t="shared" si="36"/>
        <v>1.1417136381747312E-2</v>
      </c>
      <c r="S66" s="3"/>
      <c r="T66" s="8">
        <v>677.71</v>
      </c>
      <c r="U66" s="3"/>
      <c r="V66" s="7">
        <f t="shared" si="37"/>
        <v>1.3163980136804698E-2</v>
      </c>
      <c r="W66" s="3"/>
      <c r="X66" s="8">
        <f t="shared" si="38"/>
        <v>-370.82000000000005</v>
      </c>
      <c r="Y66" s="3"/>
      <c r="Z66" s="7">
        <f t="shared" si="39"/>
        <v>-0.54716619202903904</v>
      </c>
    </row>
    <row r="67" spans="1:26" s="27" customFormat="1" outlineLevel="1" collapsed="1" x14ac:dyDescent="0.25">
      <c r="A67" s="28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SUM(OSRRefD22_4x_0)</f>
        <v>0</v>
      </c>
      <c r="E67" s="1"/>
      <c r="F67" s="5">
        <f t="shared" si="32"/>
        <v>0</v>
      </c>
      <c r="G67" s="1"/>
      <c r="H67" s="1">
        <f>SUM(OSRRefH22_4x_0)</f>
        <v>6180.14</v>
      </c>
      <c r="I67" s="1"/>
      <c r="J67" s="5">
        <f t="shared" si="33"/>
        <v>0.12004432604310426</v>
      </c>
      <c r="K67" s="1"/>
      <c r="L67" s="1">
        <f t="shared" si="34"/>
        <v>-6180.14</v>
      </c>
      <c r="M67" s="1"/>
      <c r="N67" s="5">
        <f t="shared" si="35"/>
        <v>-1</v>
      </c>
      <c r="O67" s="14"/>
      <c r="P67" s="1">
        <f>SUM(OSRRefP22_4x_0)</f>
        <v>0</v>
      </c>
      <c r="Q67" s="1"/>
      <c r="R67" s="5">
        <f t="shared" si="36"/>
        <v>0</v>
      </c>
      <c r="S67" s="1"/>
      <c r="T67" s="1">
        <f>SUM(OSRRefT22_4x_0)</f>
        <v>6180.14</v>
      </c>
      <c r="U67" s="1"/>
      <c r="V67" s="5">
        <f t="shared" si="37"/>
        <v>0.12004432604310426</v>
      </c>
      <c r="W67" s="1"/>
      <c r="X67" s="1">
        <f t="shared" si="38"/>
        <v>-6180.14</v>
      </c>
      <c r="Y67" s="1"/>
      <c r="Z67" s="5">
        <f t="shared" si="39"/>
        <v>-1</v>
      </c>
    </row>
    <row r="68" spans="1:26" s="24" customFormat="1" hidden="1" outlineLevel="2" x14ac:dyDescent="0.25">
      <c r="A68" s="29"/>
      <c r="B68" s="11" t="str">
        <f>CONCATENATE("          ", "6382", " - ", "DISCOUNTS/MARK DOWNS")</f>
        <v xml:space="preserve">          6382 - DISCOUNTS/MARK DOWNS</v>
      </c>
      <c r="C68" s="11"/>
      <c r="D68" s="8"/>
      <c r="E68" s="3"/>
      <c r="F68" s="7">
        <f t="shared" si="32"/>
        <v>0</v>
      </c>
      <c r="G68" s="3"/>
      <c r="H68" s="8">
        <v>6180.14</v>
      </c>
      <c r="I68" s="3"/>
      <c r="J68" s="7">
        <f t="shared" si="33"/>
        <v>0.12004432604310426</v>
      </c>
      <c r="K68" s="3"/>
      <c r="L68" s="8">
        <f t="shared" si="34"/>
        <v>-6180.14</v>
      </c>
      <c r="M68" s="3"/>
      <c r="N68" s="7">
        <f t="shared" si="35"/>
        <v>-1</v>
      </c>
      <c r="O68" s="11"/>
      <c r="P68" s="8"/>
      <c r="Q68" s="3"/>
      <c r="R68" s="7">
        <f t="shared" si="36"/>
        <v>0</v>
      </c>
      <c r="S68" s="3"/>
      <c r="T68" s="8">
        <v>6180.14</v>
      </c>
      <c r="U68" s="3"/>
      <c r="V68" s="7">
        <f t="shared" si="37"/>
        <v>0.12004432604310426</v>
      </c>
      <c r="W68" s="3"/>
      <c r="X68" s="8">
        <f t="shared" si="38"/>
        <v>-6180.14</v>
      </c>
      <c r="Y68" s="3"/>
      <c r="Z68" s="7">
        <f t="shared" si="39"/>
        <v>-1</v>
      </c>
    </row>
    <row r="69" spans="1:26" s="27" customFormat="1" outlineLevel="1" collapsed="1" x14ac:dyDescent="0.25">
      <c r="A69" s="28"/>
      <c r="B69" s="14" t="str">
        <f>CONCATENATE("     ","Employees' Appreciation                           ")</f>
        <v xml:space="preserve">     Employees' Appreciation                           </v>
      </c>
      <c r="C69" s="14"/>
      <c r="D69" s="1">
        <f>SUM(OSRRefD22_5x_0)</f>
        <v>0</v>
      </c>
      <c r="E69" s="1"/>
      <c r="F69" s="5">
        <f t="shared" si="32"/>
        <v>0</v>
      </c>
      <c r="G69" s="1"/>
      <c r="H69" s="1">
        <f>SUM(OSRRefH22_5x_0)</f>
        <v>120.93</v>
      </c>
      <c r="I69" s="1"/>
      <c r="J69" s="5">
        <f t="shared" si="33"/>
        <v>2.3489694971946589E-3</v>
      </c>
      <c r="K69" s="1"/>
      <c r="L69" s="1">
        <f t="shared" si="34"/>
        <v>-120.93</v>
      </c>
      <c r="M69" s="1"/>
      <c r="N69" s="5">
        <f t="shared" si="35"/>
        <v>-1</v>
      </c>
      <c r="O69" s="14"/>
      <c r="P69" s="1">
        <f>SUM(OSRRefP22_5x_0)</f>
        <v>0</v>
      </c>
      <c r="Q69" s="1"/>
      <c r="R69" s="5">
        <f t="shared" si="36"/>
        <v>0</v>
      </c>
      <c r="S69" s="1"/>
      <c r="T69" s="1">
        <f>SUM(OSRRefT22_5x_0)</f>
        <v>120.93</v>
      </c>
      <c r="U69" s="1"/>
      <c r="V69" s="5">
        <f t="shared" si="37"/>
        <v>2.3489694971946589E-3</v>
      </c>
      <c r="W69" s="1"/>
      <c r="X69" s="1">
        <f t="shared" si="38"/>
        <v>-120.93</v>
      </c>
      <c r="Y69" s="1"/>
      <c r="Z69" s="5">
        <f t="shared" si="39"/>
        <v>-1</v>
      </c>
    </row>
    <row r="70" spans="1:26" s="24" customFormat="1" hidden="1" outlineLevel="2" x14ac:dyDescent="0.25">
      <c r="A70" s="29"/>
      <c r="B70" s="11" t="str">
        <f>CONCATENATE("          ", "6277", " - ", "EMPLOYEE APPRECIATION")</f>
        <v xml:space="preserve">          6277 - EMPLOYEE APPRECIATION</v>
      </c>
      <c r="C70" s="11"/>
      <c r="D70" s="8"/>
      <c r="E70" s="3"/>
      <c r="F70" s="7">
        <f t="shared" si="32"/>
        <v>0</v>
      </c>
      <c r="G70" s="3"/>
      <c r="H70" s="8">
        <v>120.93</v>
      </c>
      <c r="I70" s="3"/>
      <c r="J70" s="7">
        <f t="shared" si="33"/>
        <v>2.3489694971946589E-3</v>
      </c>
      <c r="K70" s="3"/>
      <c r="L70" s="8">
        <f t="shared" si="34"/>
        <v>-120.93</v>
      </c>
      <c r="M70" s="3"/>
      <c r="N70" s="7">
        <f t="shared" si="35"/>
        <v>-1</v>
      </c>
      <c r="O70" s="11"/>
      <c r="P70" s="8"/>
      <c r="Q70" s="3"/>
      <c r="R70" s="7">
        <f t="shared" si="36"/>
        <v>0</v>
      </c>
      <c r="S70" s="3"/>
      <c r="T70" s="8">
        <v>120.93</v>
      </c>
      <c r="U70" s="3"/>
      <c r="V70" s="7">
        <f t="shared" si="37"/>
        <v>2.3489694971946589E-3</v>
      </c>
      <c r="W70" s="3"/>
      <c r="X70" s="8">
        <f t="shared" si="38"/>
        <v>-120.93</v>
      </c>
      <c r="Y70" s="3"/>
      <c r="Z70" s="7">
        <f t="shared" si="39"/>
        <v>-1</v>
      </c>
    </row>
    <row r="71" spans="1:26" s="27" customFormat="1" outlineLevel="1" collapsed="1" x14ac:dyDescent="0.25">
      <c r="A71" s="28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SUM(OSRRefD22_6x_0)</f>
        <v>161.18</v>
      </c>
      <c r="E71" s="1"/>
      <c r="F71" s="5">
        <f t="shared" si="32"/>
        <v>5.9963310697970992E-3</v>
      </c>
      <c r="G71" s="1"/>
      <c r="H71" s="1">
        <f>SUM(OSRRefH22_6x_0)</f>
        <v>161.18</v>
      </c>
      <c r="I71" s="1"/>
      <c r="J71" s="5">
        <f t="shared" si="33"/>
        <v>3.1307938771010925E-3</v>
      </c>
      <c r="K71" s="1"/>
      <c r="L71" s="1">
        <f t="shared" si="34"/>
        <v>0</v>
      </c>
      <c r="M71" s="1"/>
      <c r="N71" s="5">
        <f t="shared" si="35"/>
        <v>0</v>
      </c>
      <c r="O71" s="14"/>
      <c r="P71" s="1">
        <f>SUM(OSRRefP22_6x_0)</f>
        <v>161.18</v>
      </c>
      <c r="Q71" s="1"/>
      <c r="R71" s="5">
        <f t="shared" si="36"/>
        <v>5.9963310697970992E-3</v>
      </c>
      <c r="S71" s="1"/>
      <c r="T71" s="1">
        <f>SUM(OSRRefT22_6x_0)</f>
        <v>161.18</v>
      </c>
      <c r="U71" s="1"/>
      <c r="V71" s="5">
        <f t="shared" si="37"/>
        <v>3.1307938771010925E-3</v>
      </c>
      <c r="W71" s="1"/>
      <c r="X71" s="1">
        <f t="shared" si="38"/>
        <v>0</v>
      </c>
      <c r="Y71" s="1"/>
      <c r="Z71" s="5">
        <f t="shared" si="39"/>
        <v>0</v>
      </c>
    </row>
    <row r="72" spans="1:26" s="24" customFormat="1" hidden="1" outlineLevel="2" x14ac:dyDescent="0.25">
      <c r="A72" s="29"/>
      <c r="B72" s="11" t="str">
        <f>CONCATENATE("          ", "6314", " - ", "LIABILITY INSURANCE")</f>
        <v xml:space="preserve">          6314 - LIABILITY INSURANCE</v>
      </c>
      <c r="C72" s="11"/>
      <c r="D72" s="8">
        <v>161.18</v>
      </c>
      <c r="E72" s="3"/>
      <c r="F72" s="7">
        <f t="shared" si="32"/>
        <v>5.9963310697970992E-3</v>
      </c>
      <c r="G72" s="3"/>
      <c r="H72" s="8">
        <v>161.18</v>
      </c>
      <c r="I72" s="3"/>
      <c r="J72" s="7">
        <f t="shared" si="33"/>
        <v>3.1307938771010925E-3</v>
      </c>
      <c r="K72" s="3"/>
      <c r="L72" s="8">
        <f t="shared" si="34"/>
        <v>0</v>
      </c>
      <c r="M72" s="3"/>
      <c r="N72" s="7">
        <f t="shared" si="35"/>
        <v>0</v>
      </c>
      <c r="O72" s="11"/>
      <c r="P72" s="8">
        <v>161.18</v>
      </c>
      <c r="Q72" s="3"/>
      <c r="R72" s="7">
        <f t="shared" si="36"/>
        <v>5.9963310697970992E-3</v>
      </c>
      <c r="S72" s="3"/>
      <c r="T72" s="8">
        <v>161.18</v>
      </c>
      <c r="U72" s="3"/>
      <c r="V72" s="7">
        <f t="shared" si="37"/>
        <v>3.1307938771010925E-3</v>
      </c>
      <c r="W72" s="3"/>
      <c r="X72" s="8">
        <f t="shared" si="38"/>
        <v>0</v>
      </c>
      <c r="Y72" s="3"/>
      <c r="Z72" s="7">
        <f t="shared" si="39"/>
        <v>0</v>
      </c>
    </row>
    <row r="73" spans="1:26" s="27" customFormat="1" outlineLevel="1" collapsed="1" x14ac:dyDescent="0.25">
      <c r="A73" s="28"/>
      <c r="B73" s="14" t="str">
        <f>CONCATENATE("     ","Inventory Adjustment                              ")</f>
        <v xml:space="preserve">     Inventory Adjustment                              </v>
      </c>
      <c r="C73" s="14"/>
      <c r="D73" s="1">
        <f>SUM(OSRRefD22_7x_0)</f>
        <v>100</v>
      </c>
      <c r="E73" s="1"/>
      <c r="F73" s="5">
        <f t="shared" si="32"/>
        <v>3.7202699279048883E-3</v>
      </c>
      <c r="G73" s="1"/>
      <c r="H73" s="1">
        <f>SUM(OSRRefH22_7x_0)</f>
        <v>300</v>
      </c>
      <c r="I73" s="1"/>
      <c r="J73" s="5">
        <f t="shared" si="33"/>
        <v>5.8272624589299398E-3</v>
      </c>
      <c r="K73" s="1"/>
      <c r="L73" s="1">
        <f t="shared" si="34"/>
        <v>-200</v>
      </c>
      <c r="M73" s="1"/>
      <c r="N73" s="5">
        <f t="shared" si="35"/>
        <v>-0.66666666666666663</v>
      </c>
      <c r="O73" s="14"/>
      <c r="P73" s="1">
        <f>SUM(OSRRefP22_7x_0)</f>
        <v>100</v>
      </c>
      <c r="Q73" s="1"/>
      <c r="R73" s="5">
        <f t="shared" si="36"/>
        <v>3.7202699279048883E-3</v>
      </c>
      <c r="S73" s="1"/>
      <c r="T73" s="1">
        <f>SUM(OSRRefT22_7x_0)</f>
        <v>300</v>
      </c>
      <c r="U73" s="1"/>
      <c r="V73" s="5">
        <f t="shared" si="37"/>
        <v>5.8272624589299398E-3</v>
      </c>
      <c r="W73" s="1"/>
      <c r="X73" s="1">
        <f t="shared" si="38"/>
        <v>-200</v>
      </c>
      <c r="Y73" s="1"/>
      <c r="Z73" s="5">
        <f t="shared" si="39"/>
        <v>-0.66666666666666663</v>
      </c>
    </row>
    <row r="74" spans="1:26" s="24" customFormat="1" hidden="1" outlineLevel="2" x14ac:dyDescent="0.25">
      <c r="A74" s="29"/>
      <c r="B74" s="11" t="str">
        <f>CONCATENATE("          ", "6408", " - ", "INVENTORY ADJUSTMENT")</f>
        <v xml:space="preserve">          6408 - INVENTORY ADJUSTMENT</v>
      </c>
      <c r="C74" s="11"/>
      <c r="D74" s="8">
        <v>100</v>
      </c>
      <c r="E74" s="3"/>
      <c r="F74" s="7">
        <f t="shared" si="32"/>
        <v>3.7202699279048883E-3</v>
      </c>
      <c r="G74" s="3"/>
      <c r="H74" s="8">
        <v>300</v>
      </c>
      <c r="I74" s="3"/>
      <c r="J74" s="7">
        <f t="shared" si="33"/>
        <v>5.8272624589299398E-3</v>
      </c>
      <c r="K74" s="3"/>
      <c r="L74" s="8">
        <f t="shared" si="34"/>
        <v>-200</v>
      </c>
      <c r="M74" s="3"/>
      <c r="N74" s="7">
        <f t="shared" si="35"/>
        <v>-0.66666666666666663</v>
      </c>
      <c r="O74" s="11"/>
      <c r="P74" s="8">
        <v>100</v>
      </c>
      <c r="Q74" s="3"/>
      <c r="R74" s="7">
        <f t="shared" si="36"/>
        <v>3.7202699279048883E-3</v>
      </c>
      <c r="S74" s="3"/>
      <c r="T74" s="8">
        <v>300</v>
      </c>
      <c r="U74" s="3"/>
      <c r="V74" s="7">
        <f t="shared" si="37"/>
        <v>5.8272624589299398E-3</v>
      </c>
      <c r="W74" s="3"/>
      <c r="X74" s="8">
        <f t="shared" si="38"/>
        <v>-200</v>
      </c>
      <c r="Y74" s="3"/>
      <c r="Z74" s="7">
        <f t="shared" si="39"/>
        <v>-0.66666666666666663</v>
      </c>
    </row>
    <row r="75" spans="1:26" s="27" customFormat="1" outlineLevel="1" collapsed="1" x14ac:dyDescent="0.25">
      <c r="A75" s="28"/>
      <c r="B75" s="14" t="str">
        <f>CONCATENATE("     ","Professional Services                             ")</f>
        <v xml:space="preserve">     Professional Services                             </v>
      </c>
      <c r="C75" s="14"/>
      <c r="D75" s="1">
        <f>SUM(OSRRefD22_8x_0)</f>
        <v>0</v>
      </c>
      <c r="E75" s="1"/>
      <c r="F75" s="5">
        <f t="shared" si="32"/>
        <v>0</v>
      </c>
      <c r="G75" s="1"/>
      <c r="H75" s="1">
        <f>SUM(OSRRefH22_8x_0)</f>
        <v>750</v>
      </c>
      <c r="I75" s="1"/>
      <c r="J75" s="5">
        <f t="shared" si="33"/>
        <v>1.4568156147324849E-2</v>
      </c>
      <c r="K75" s="1"/>
      <c r="L75" s="1">
        <f t="shared" si="34"/>
        <v>-750</v>
      </c>
      <c r="M75" s="1"/>
      <c r="N75" s="5">
        <f t="shared" si="35"/>
        <v>-1</v>
      </c>
      <c r="O75" s="14"/>
      <c r="P75" s="1">
        <f>SUM(OSRRefP22_8x_0)</f>
        <v>0</v>
      </c>
      <c r="Q75" s="1"/>
      <c r="R75" s="5">
        <f t="shared" si="36"/>
        <v>0</v>
      </c>
      <c r="S75" s="1"/>
      <c r="T75" s="1">
        <f>SUM(OSRRefT22_8x_0)</f>
        <v>750</v>
      </c>
      <c r="U75" s="1"/>
      <c r="V75" s="5">
        <f t="shared" si="37"/>
        <v>1.4568156147324849E-2</v>
      </c>
      <c r="W75" s="1"/>
      <c r="X75" s="1">
        <f t="shared" si="38"/>
        <v>-750</v>
      </c>
      <c r="Y75" s="1"/>
      <c r="Z75" s="5">
        <f t="shared" si="39"/>
        <v>-1</v>
      </c>
    </row>
    <row r="76" spans="1:26" s="24" customFormat="1" hidden="1" outlineLevel="2" x14ac:dyDescent="0.25">
      <c r="A76" s="29"/>
      <c r="B76" s="11" t="str">
        <f>CONCATENATE("          ", "6336", " - ", "PROFESSIONAL SERVICES")</f>
        <v xml:space="preserve">          6336 - PROFESSIONAL SERVICES</v>
      </c>
      <c r="C76" s="11"/>
      <c r="D76" s="8"/>
      <c r="E76" s="3"/>
      <c r="F76" s="7">
        <f t="shared" si="32"/>
        <v>0</v>
      </c>
      <c r="G76" s="3"/>
      <c r="H76" s="8">
        <v>750</v>
      </c>
      <c r="I76" s="3"/>
      <c r="J76" s="7">
        <f t="shared" si="33"/>
        <v>1.4568156147324849E-2</v>
      </c>
      <c r="K76" s="3"/>
      <c r="L76" s="8">
        <f t="shared" si="34"/>
        <v>-750</v>
      </c>
      <c r="M76" s="3"/>
      <c r="N76" s="7">
        <f t="shared" si="35"/>
        <v>-1</v>
      </c>
      <c r="O76" s="11"/>
      <c r="P76" s="8"/>
      <c r="Q76" s="3"/>
      <c r="R76" s="7">
        <f t="shared" si="36"/>
        <v>0</v>
      </c>
      <c r="S76" s="3"/>
      <c r="T76" s="8">
        <v>750</v>
      </c>
      <c r="U76" s="3"/>
      <c r="V76" s="7">
        <f t="shared" si="37"/>
        <v>1.4568156147324849E-2</v>
      </c>
      <c r="W76" s="3"/>
      <c r="X76" s="8">
        <f t="shared" si="38"/>
        <v>-750</v>
      </c>
      <c r="Y76" s="3"/>
      <c r="Z76" s="7">
        <f t="shared" si="39"/>
        <v>-1</v>
      </c>
    </row>
    <row r="77" spans="1:26" s="27" customFormat="1" outlineLevel="1" collapsed="1" x14ac:dyDescent="0.25">
      <c r="A77" s="28"/>
      <c r="B77" s="14" t="str">
        <f>CONCATENATE("     ","Rent                                              ")</f>
        <v xml:space="preserve">     Rent                                              </v>
      </c>
      <c r="C77" s="14"/>
      <c r="D77" s="1">
        <f>SUM(OSRRefD22_9x_0)</f>
        <v>6900</v>
      </c>
      <c r="E77" s="1"/>
      <c r="F77" s="5">
        <f t="shared" si="32"/>
        <v>0.25669862502543733</v>
      </c>
      <c r="G77" s="1"/>
      <c r="H77" s="1">
        <f>SUM(OSRRefH22_9x_0)</f>
        <v>6900</v>
      </c>
      <c r="I77" s="1"/>
      <c r="J77" s="5">
        <f t="shared" si="33"/>
        <v>0.13402703655538861</v>
      </c>
      <c r="K77" s="1"/>
      <c r="L77" s="1">
        <f t="shared" si="34"/>
        <v>0</v>
      </c>
      <c r="M77" s="1"/>
      <c r="N77" s="5">
        <f t="shared" si="35"/>
        <v>0</v>
      </c>
      <c r="O77" s="14"/>
      <c r="P77" s="1">
        <f>SUM(OSRRefP22_9x_0)</f>
        <v>6900</v>
      </c>
      <c r="Q77" s="1"/>
      <c r="R77" s="5">
        <f t="shared" si="36"/>
        <v>0.25669862502543733</v>
      </c>
      <c r="S77" s="1"/>
      <c r="T77" s="1">
        <f>SUM(OSRRefT22_9x_0)</f>
        <v>6900</v>
      </c>
      <c r="U77" s="1"/>
      <c r="V77" s="5">
        <f t="shared" si="37"/>
        <v>0.13402703655538861</v>
      </c>
      <c r="W77" s="1"/>
      <c r="X77" s="1">
        <f t="shared" si="38"/>
        <v>0</v>
      </c>
      <c r="Y77" s="1"/>
      <c r="Z77" s="5">
        <f t="shared" si="39"/>
        <v>0</v>
      </c>
    </row>
    <row r="78" spans="1:26" s="24" customFormat="1" hidden="1" outlineLevel="2" x14ac:dyDescent="0.25">
      <c r="A78" s="29"/>
      <c r="B78" s="11" t="str">
        <f>CONCATENATE("          ", "6273", " - ", "RENT")</f>
        <v xml:space="preserve">          6273 - RENT</v>
      </c>
      <c r="C78" s="11"/>
      <c r="D78" s="8">
        <v>6900</v>
      </c>
      <c r="E78" s="3"/>
      <c r="F78" s="7">
        <f t="shared" si="32"/>
        <v>0.25669862502543733</v>
      </c>
      <c r="G78" s="3"/>
      <c r="H78" s="8">
        <v>6900</v>
      </c>
      <c r="I78" s="3"/>
      <c r="J78" s="7">
        <f t="shared" si="33"/>
        <v>0.13402703655538861</v>
      </c>
      <c r="K78" s="3"/>
      <c r="L78" s="8">
        <f t="shared" si="34"/>
        <v>0</v>
      </c>
      <c r="M78" s="3"/>
      <c r="N78" s="7">
        <f t="shared" si="35"/>
        <v>0</v>
      </c>
      <c r="O78" s="11"/>
      <c r="P78" s="8">
        <v>6900</v>
      </c>
      <c r="Q78" s="3"/>
      <c r="R78" s="7">
        <f t="shared" si="36"/>
        <v>0.25669862502543733</v>
      </c>
      <c r="S78" s="3"/>
      <c r="T78" s="8">
        <v>6900</v>
      </c>
      <c r="U78" s="3"/>
      <c r="V78" s="7">
        <f t="shared" si="37"/>
        <v>0.13402703655538861</v>
      </c>
      <c r="W78" s="3"/>
      <c r="X78" s="8">
        <f t="shared" si="38"/>
        <v>0</v>
      </c>
      <c r="Y78" s="3"/>
      <c r="Z78" s="7">
        <f t="shared" si="39"/>
        <v>0</v>
      </c>
    </row>
    <row r="79" spans="1:26" s="27" customFormat="1" outlineLevel="1" collapsed="1" x14ac:dyDescent="0.25">
      <c r="A79" s="28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SUM(OSRRefD22_10x_0)</f>
        <v>-333.44</v>
      </c>
      <c r="E79" s="1"/>
      <c r="F79" s="5">
        <f t="shared" si="32"/>
        <v>-1.2404868047606061E-2</v>
      </c>
      <c r="G79" s="1"/>
      <c r="H79" s="1">
        <f>SUM(OSRRefH22_10x_0)</f>
        <v>241.37</v>
      </c>
      <c r="I79" s="1"/>
      <c r="J79" s="5">
        <f t="shared" si="33"/>
        <v>4.6884211323730655E-3</v>
      </c>
      <c r="K79" s="1"/>
      <c r="L79" s="1">
        <f t="shared" si="34"/>
        <v>-574.80999999999995</v>
      </c>
      <c r="M79" s="1"/>
      <c r="N79" s="5">
        <f t="shared" si="35"/>
        <v>-2.3814475701205615</v>
      </c>
      <c r="O79" s="14"/>
      <c r="P79" s="1">
        <f>SUM(OSRRefP22_10x_0)</f>
        <v>-333.44</v>
      </c>
      <c r="Q79" s="1"/>
      <c r="R79" s="5">
        <f t="shared" si="36"/>
        <v>-1.2404868047606061E-2</v>
      </c>
      <c r="S79" s="1"/>
      <c r="T79" s="1">
        <f>SUM(OSRRefT22_10x_0)</f>
        <v>241.37</v>
      </c>
      <c r="U79" s="1"/>
      <c r="V79" s="5">
        <f t="shared" si="37"/>
        <v>4.6884211323730655E-3</v>
      </c>
      <c r="W79" s="1"/>
      <c r="X79" s="1">
        <f t="shared" si="38"/>
        <v>-574.80999999999995</v>
      </c>
      <c r="Y79" s="1"/>
      <c r="Z79" s="5">
        <f t="shared" si="39"/>
        <v>-2.3814475701205615</v>
      </c>
    </row>
    <row r="80" spans="1:26" s="24" customFormat="1" hidden="1" outlineLevel="2" x14ac:dyDescent="0.25">
      <c r="A80" s="29"/>
      <c r="B80" s="11" t="str">
        <f>CONCATENATE("          ", "6283", " - ", "PLANT SERVICE")</f>
        <v xml:space="preserve">          6283 - PLANT SERVICE</v>
      </c>
      <c r="C80" s="11"/>
      <c r="D80" s="8"/>
      <c r="E80" s="3"/>
      <c r="F80" s="7">
        <f t="shared" si="32"/>
        <v>0</v>
      </c>
      <c r="G80" s="3"/>
      <c r="H80" s="8">
        <v>59.55</v>
      </c>
      <c r="I80" s="3"/>
      <c r="J80" s="7">
        <f t="shared" si="33"/>
        <v>1.1567115980975929E-3</v>
      </c>
      <c r="K80" s="3"/>
      <c r="L80" s="8">
        <f t="shared" si="34"/>
        <v>-59.55</v>
      </c>
      <c r="M80" s="3"/>
      <c r="N80" s="7">
        <f t="shared" si="35"/>
        <v>-1</v>
      </c>
      <c r="O80" s="11"/>
      <c r="P80" s="8"/>
      <c r="Q80" s="3"/>
      <c r="R80" s="7">
        <f t="shared" si="36"/>
        <v>0</v>
      </c>
      <c r="S80" s="3"/>
      <c r="T80" s="8">
        <v>59.55</v>
      </c>
      <c r="U80" s="3"/>
      <c r="V80" s="7">
        <f t="shared" si="37"/>
        <v>1.1567115980975929E-3</v>
      </c>
      <c r="W80" s="3"/>
      <c r="X80" s="8">
        <f t="shared" si="38"/>
        <v>-59.55</v>
      </c>
      <c r="Y80" s="3"/>
      <c r="Z80" s="7">
        <f t="shared" si="39"/>
        <v>-1</v>
      </c>
    </row>
    <row r="81" spans="1:26" s="24" customFormat="1" hidden="1" outlineLevel="2" x14ac:dyDescent="0.25">
      <c r="A81" s="29"/>
      <c r="B81" s="11" t="str">
        <f>CONCATENATE("          ", "6284", " - ", "TRASH REMOVAL EXPENSE")</f>
        <v xml:space="preserve">          6284 - TRASH REMOVAL EXPENSE</v>
      </c>
      <c r="C81" s="11"/>
      <c r="D81" s="8">
        <v>142.57</v>
      </c>
      <c r="E81" s="3"/>
      <c r="F81" s="7">
        <f t="shared" si="32"/>
        <v>5.303988836213999E-3</v>
      </c>
      <c r="G81" s="3"/>
      <c r="H81" s="8">
        <v>134.82</v>
      </c>
      <c r="I81" s="3"/>
      <c r="J81" s="7">
        <f t="shared" si="33"/>
        <v>2.6187717490431146E-3</v>
      </c>
      <c r="K81" s="3"/>
      <c r="L81" s="8">
        <f t="shared" si="34"/>
        <v>7.75</v>
      </c>
      <c r="M81" s="3"/>
      <c r="N81" s="7">
        <f t="shared" si="35"/>
        <v>5.7484052811155616E-2</v>
      </c>
      <c r="O81" s="11"/>
      <c r="P81" s="8">
        <v>142.57</v>
      </c>
      <c r="Q81" s="3"/>
      <c r="R81" s="7">
        <f t="shared" si="36"/>
        <v>5.303988836213999E-3</v>
      </c>
      <c r="S81" s="3"/>
      <c r="T81" s="8">
        <v>134.82</v>
      </c>
      <c r="U81" s="3"/>
      <c r="V81" s="7">
        <f t="shared" si="37"/>
        <v>2.6187717490431146E-3</v>
      </c>
      <c r="W81" s="3"/>
      <c r="X81" s="8">
        <f t="shared" si="38"/>
        <v>7.75</v>
      </c>
      <c r="Y81" s="3"/>
      <c r="Z81" s="7">
        <f t="shared" si="39"/>
        <v>5.7484052811155616E-2</v>
      </c>
    </row>
    <row r="82" spans="1:26" s="24" customFormat="1" hidden="1" outlineLevel="2" x14ac:dyDescent="0.25">
      <c r="A82" s="29"/>
      <c r="B82" s="11" t="str">
        <f>CONCATENATE("          ", "6285", " - ", "JANITORIAL SERVICES")</f>
        <v xml:space="preserve">          6285 - JANITORIAL SERVICES</v>
      </c>
      <c r="C82" s="11"/>
      <c r="D82" s="8">
        <v>-476.01</v>
      </c>
      <c r="E82" s="3"/>
      <c r="F82" s="7">
        <f t="shared" si="32"/>
        <v>-1.7708856883820061E-2</v>
      </c>
      <c r="G82" s="3"/>
      <c r="H82" s="8">
        <v>47</v>
      </c>
      <c r="I82" s="3"/>
      <c r="J82" s="7">
        <f t="shared" si="33"/>
        <v>9.1293778523235717E-4</v>
      </c>
      <c r="K82" s="3"/>
      <c r="L82" s="8">
        <f t="shared" si="34"/>
        <v>-523.01</v>
      </c>
      <c r="M82" s="3"/>
      <c r="N82" s="7">
        <f t="shared" si="35"/>
        <v>-11.127872340425531</v>
      </c>
      <c r="O82" s="11"/>
      <c r="P82" s="8">
        <v>-476.01</v>
      </c>
      <c r="Q82" s="3"/>
      <c r="R82" s="7">
        <f t="shared" si="36"/>
        <v>-1.7708856883820061E-2</v>
      </c>
      <c r="S82" s="3"/>
      <c r="T82" s="8">
        <v>47</v>
      </c>
      <c r="U82" s="3"/>
      <c r="V82" s="7">
        <f t="shared" si="37"/>
        <v>9.1293778523235717E-4</v>
      </c>
      <c r="W82" s="3"/>
      <c r="X82" s="8">
        <f t="shared" si="38"/>
        <v>-523.01</v>
      </c>
      <c r="Y82" s="3"/>
      <c r="Z82" s="7">
        <f t="shared" si="39"/>
        <v>-11.127872340425531</v>
      </c>
    </row>
    <row r="83" spans="1:26" s="27" customFormat="1" outlineLevel="1" collapsed="1" x14ac:dyDescent="0.25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SUM(OSRRefD22_11x_0)</f>
        <v>75</v>
      </c>
      <c r="E83" s="1"/>
      <c r="F83" s="5">
        <f t="shared" ref="F83:F87" si="40">IF(D$12=0,0,D83/D$12)</f>
        <v>2.7902024459286663E-3</v>
      </c>
      <c r="G83" s="1"/>
      <c r="H83" s="1">
        <f>SUM(OSRRefH22_11x_0)</f>
        <v>13.42</v>
      </c>
      <c r="I83" s="1"/>
      <c r="J83" s="5">
        <f t="shared" ref="J83:J87" si="41">IF(H$12=0,0,H83/H$12)</f>
        <v>2.6067287399613262E-4</v>
      </c>
      <c r="K83" s="1"/>
      <c r="L83" s="1">
        <f t="shared" ref="L83:L87" si="42">+D83-H83</f>
        <v>61.58</v>
      </c>
      <c r="M83" s="1"/>
      <c r="N83" s="5">
        <f t="shared" ref="N83:N87" si="43">IF(H83=0,0,L83/H83)</f>
        <v>4.5886736214605062</v>
      </c>
      <c r="O83" s="14"/>
      <c r="P83" s="1">
        <f>SUM(OSRRefP22_11x_0)</f>
        <v>75</v>
      </c>
      <c r="Q83" s="1"/>
      <c r="R83" s="5">
        <f t="shared" ref="R83:R87" si="44">IF(P$12=0,0,P83/P$12)</f>
        <v>2.7902024459286663E-3</v>
      </c>
      <c r="S83" s="1"/>
      <c r="T83" s="1">
        <f>SUM(OSRRefT22_11x_0)</f>
        <v>13.42</v>
      </c>
      <c r="U83" s="1"/>
      <c r="V83" s="5">
        <f t="shared" ref="V83:V87" si="45">IF(T$12=0,0,T83/T$12)</f>
        <v>2.6067287399613262E-4</v>
      </c>
      <c r="W83" s="1"/>
      <c r="X83" s="1">
        <f t="shared" ref="X83:X87" si="46">+P83-T83</f>
        <v>61.58</v>
      </c>
      <c r="Y83" s="1"/>
      <c r="Z83" s="5">
        <f t="shared" ref="Z83:Z87" si="47">IF(T83=0,0,X83/T83)</f>
        <v>4.5886736214605062</v>
      </c>
    </row>
    <row r="84" spans="1:26" s="24" customFormat="1" hidden="1" outlineLevel="2" x14ac:dyDescent="0.25">
      <c r="A84" s="29"/>
      <c r="B84" s="11" t="str">
        <f>CONCATENATE("          ", "6275", " - ", "SUBSCRIPTIONS")</f>
        <v xml:space="preserve">          6275 - SUBSCRIPTIONS</v>
      </c>
      <c r="C84" s="11"/>
      <c r="D84" s="8">
        <v>75</v>
      </c>
      <c r="E84" s="3"/>
      <c r="F84" s="7">
        <f t="shared" si="40"/>
        <v>2.7902024459286663E-3</v>
      </c>
      <c r="G84" s="3"/>
      <c r="H84" s="8">
        <v>13.42</v>
      </c>
      <c r="I84" s="3"/>
      <c r="J84" s="7">
        <f t="shared" si="41"/>
        <v>2.6067287399613262E-4</v>
      </c>
      <c r="K84" s="3"/>
      <c r="L84" s="8">
        <f t="shared" si="42"/>
        <v>61.58</v>
      </c>
      <c r="M84" s="3"/>
      <c r="N84" s="7">
        <f t="shared" si="43"/>
        <v>4.5886736214605062</v>
      </c>
      <c r="O84" s="11"/>
      <c r="P84" s="8">
        <v>75</v>
      </c>
      <c r="Q84" s="3"/>
      <c r="R84" s="7">
        <f t="shared" si="44"/>
        <v>2.7902024459286663E-3</v>
      </c>
      <c r="S84" s="3"/>
      <c r="T84" s="8">
        <v>13.42</v>
      </c>
      <c r="U84" s="3"/>
      <c r="V84" s="7">
        <f t="shared" si="45"/>
        <v>2.6067287399613262E-4</v>
      </c>
      <c r="W84" s="3"/>
      <c r="X84" s="8">
        <f t="shared" si="46"/>
        <v>61.58</v>
      </c>
      <c r="Y84" s="3"/>
      <c r="Z84" s="7">
        <f t="shared" si="47"/>
        <v>4.5886736214605062</v>
      </c>
    </row>
    <row r="85" spans="1:26" s="27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SUM(OSRRefD22_12x_0)</f>
        <v>139.31</v>
      </c>
      <c r="E85" s="1"/>
      <c r="F85" s="5">
        <f t="shared" si="40"/>
        <v>5.1827080365643005E-3</v>
      </c>
      <c r="G85" s="1"/>
      <c r="H85" s="1">
        <f>SUM(OSRRefH22_12x_0)</f>
        <v>664.73</v>
      </c>
      <c r="I85" s="1"/>
      <c r="J85" s="5">
        <f t="shared" si="41"/>
        <v>1.2911853914414996E-2</v>
      </c>
      <c r="K85" s="1"/>
      <c r="L85" s="1">
        <f t="shared" si="42"/>
        <v>-525.42000000000007</v>
      </c>
      <c r="M85" s="1"/>
      <c r="N85" s="5">
        <f t="shared" si="43"/>
        <v>-0.79042618807636189</v>
      </c>
      <c r="O85" s="14"/>
      <c r="P85" s="1">
        <f>SUM(OSRRefP22_12x_0)</f>
        <v>139.31</v>
      </c>
      <c r="Q85" s="1"/>
      <c r="R85" s="5">
        <f t="shared" si="44"/>
        <v>5.1827080365643005E-3</v>
      </c>
      <c r="S85" s="1"/>
      <c r="T85" s="1">
        <f>SUM(OSRRefT22_12x_0)</f>
        <v>664.73</v>
      </c>
      <c r="U85" s="1"/>
      <c r="V85" s="5">
        <f t="shared" si="45"/>
        <v>1.2911853914414996E-2</v>
      </c>
      <c r="W85" s="1"/>
      <c r="X85" s="1">
        <f t="shared" si="46"/>
        <v>-525.42000000000007</v>
      </c>
      <c r="Y85" s="1"/>
      <c r="Z85" s="5">
        <f t="shared" si="47"/>
        <v>-0.79042618807636189</v>
      </c>
    </row>
    <row r="86" spans="1:26" s="24" customFormat="1" hidden="1" outlineLevel="2" x14ac:dyDescent="0.25">
      <c r="A86" s="29"/>
      <c r="B86" s="11" t="str">
        <f>CONCATENATE("          ", "6237", " - ", "JANITORIAL SUPPLIES")</f>
        <v xml:space="preserve">          6237 - JANITORIAL SUPPLIES</v>
      </c>
      <c r="C86" s="11"/>
      <c r="D86" s="8">
        <v>139.31</v>
      </c>
      <c r="E86" s="3"/>
      <c r="F86" s="7">
        <f t="shared" si="40"/>
        <v>5.1827080365643005E-3</v>
      </c>
      <c r="G86" s="3"/>
      <c r="H86" s="8"/>
      <c r="I86" s="3"/>
      <c r="J86" s="7">
        <f t="shared" si="41"/>
        <v>0</v>
      </c>
      <c r="K86" s="3"/>
      <c r="L86" s="8">
        <f t="shared" si="42"/>
        <v>139.31</v>
      </c>
      <c r="M86" s="3"/>
      <c r="N86" s="7">
        <f t="shared" si="43"/>
        <v>0</v>
      </c>
      <c r="O86" s="11"/>
      <c r="P86" s="8">
        <v>139.31</v>
      </c>
      <c r="Q86" s="3"/>
      <c r="R86" s="7">
        <f t="shared" si="44"/>
        <v>5.1827080365643005E-3</v>
      </c>
      <c r="S86" s="3"/>
      <c r="T86" s="8"/>
      <c r="U86" s="3"/>
      <c r="V86" s="7">
        <f t="shared" si="45"/>
        <v>0</v>
      </c>
      <c r="W86" s="3"/>
      <c r="X86" s="8">
        <f t="shared" si="46"/>
        <v>139.31</v>
      </c>
      <c r="Y86" s="3"/>
      <c r="Z86" s="7">
        <f t="shared" si="47"/>
        <v>0</v>
      </c>
    </row>
    <row r="87" spans="1:26" s="24" customFormat="1" hidden="1" outlineLevel="2" x14ac:dyDescent="0.25">
      <c r="A87" s="29"/>
      <c r="B87" s="11" t="str">
        <f>CONCATENATE("          ", "6241", " - ", "OFFICE EXPENSE")</f>
        <v xml:space="preserve">          6241 - OFFICE EXPENSE</v>
      </c>
      <c r="C87" s="11"/>
      <c r="D87" s="8"/>
      <c r="E87" s="3"/>
      <c r="F87" s="7">
        <f t="shared" si="40"/>
        <v>0</v>
      </c>
      <c r="G87" s="3"/>
      <c r="H87" s="8">
        <v>664.73</v>
      </c>
      <c r="I87" s="3"/>
      <c r="J87" s="7">
        <f t="shared" si="41"/>
        <v>1.2911853914414996E-2</v>
      </c>
      <c r="K87" s="3"/>
      <c r="L87" s="8">
        <f t="shared" si="42"/>
        <v>-664.73</v>
      </c>
      <c r="M87" s="3"/>
      <c r="N87" s="7">
        <f t="shared" si="43"/>
        <v>-1</v>
      </c>
      <c r="O87" s="11"/>
      <c r="P87" s="8"/>
      <c r="Q87" s="3"/>
      <c r="R87" s="7">
        <f t="shared" si="44"/>
        <v>0</v>
      </c>
      <c r="S87" s="3"/>
      <c r="T87" s="8">
        <v>664.73</v>
      </c>
      <c r="U87" s="3"/>
      <c r="V87" s="7">
        <f t="shared" si="45"/>
        <v>1.2911853914414996E-2</v>
      </c>
      <c r="W87" s="3"/>
      <c r="X87" s="8">
        <f t="shared" si="46"/>
        <v>-664.73</v>
      </c>
      <c r="Y87" s="3"/>
      <c r="Z87" s="7">
        <f t="shared" si="47"/>
        <v>-1</v>
      </c>
    </row>
    <row r="88" spans="1:26" s="27" customFormat="1" outlineLevel="1" collapsed="1" x14ac:dyDescent="0.25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SUM(OSRRefD22_13x_0)</f>
        <v>278.32</v>
      </c>
      <c r="E88" s="1"/>
      <c r="F88" s="5">
        <f t="shared" ref="F88:F93" si="48">IF(D$12=0,0,D88/D$12)</f>
        <v>1.0354255263344886E-2</v>
      </c>
      <c r="G88" s="1"/>
      <c r="H88" s="1">
        <f>SUM(OSRRefH22_13x_0)</f>
        <v>-70.36</v>
      </c>
      <c r="I88" s="1"/>
      <c r="J88" s="5">
        <f t="shared" ref="J88:J93" si="49">IF(H$12=0,0,H88/H$12)</f>
        <v>-1.3666872887010352E-3</v>
      </c>
      <c r="K88" s="1"/>
      <c r="L88" s="1">
        <f t="shared" ref="L88:L93" si="50">+D88-H88</f>
        <v>348.68</v>
      </c>
      <c r="M88" s="1"/>
      <c r="N88" s="5">
        <f t="shared" ref="N88:N93" si="51">IF(H88=0,0,L88/H88)</f>
        <v>-4.9556566230812962</v>
      </c>
      <c r="O88" s="14"/>
      <c r="P88" s="1">
        <f>SUM(OSRRefP22_13x_0)</f>
        <v>278.32</v>
      </c>
      <c r="Q88" s="1"/>
      <c r="R88" s="5">
        <f t="shared" ref="R88:R93" si="52">IF(P$12=0,0,P88/P$12)</f>
        <v>1.0354255263344886E-2</v>
      </c>
      <c r="S88" s="1"/>
      <c r="T88" s="1">
        <f>SUM(OSRRefT22_13x_0)</f>
        <v>-70.36</v>
      </c>
      <c r="U88" s="1"/>
      <c r="V88" s="5">
        <f t="shared" ref="V88:V93" si="53">IF(T$12=0,0,T88/T$12)</f>
        <v>-1.3666872887010352E-3</v>
      </c>
      <c r="W88" s="1"/>
      <c r="X88" s="1">
        <f t="shared" ref="X88:X93" si="54">+P88-T88</f>
        <v>348.68</v>
      </c>
      <c r="Y88" s="1"/>
      <c r="Z88" s="5">
        <f t="shared" ref="Z88:Z93" si="55">IF(T88=0,0,X88/T88)</f>
        <v>-4.9556566230812962</v>
      </c>
    </row>
    <row r="89" spans="1:26" s="24" customFormat="1" hidden="1" outlineLevel="2" x14ac:dyDescent="0.25">
      <c r="A89" s="29"/>
      <c r="B89" s="11" t="str">
        <f>CONCATENATE("          ", "6309", " - ", "TELEPHONE")</f>
        <v xml:space="preserve">          6309 - TELEPHONE</v>
      </c>
      <c r="C89" s="11"/>
      <c r="D89" s="8">
        <v>278.32</v>
      </c>
      <c r="E89" s="3"/>
      <c r="F89" s="7">
        <f t="shared" si="48"/>
        <v>1.0354255263344886E-2</v>
      </c>
      <c r="G89" s="3"/>
      <c r="H89" s="8">
        <v>-70.36</v>
      </c>
      <c r="I89" s="3"/>
      <c r="J89" s="7">
        <f t="shared" si="49"/>
        <v>-1.3666872887010352E-3</v>
      </c>
      <c r="K89" s="3"/>
      <c r="L89" s="8">
        <f t="shared" si="50"/>
        <v>348.68</v>
      </c>
      <c r="M89" s="3"/>
      <c r="N89" s="7">
        <f t="shared" si="51"/>
        <v>-4.9556566230812962</v>
      </c>
      <c r="O89" s="11"/>
      <c r="P89" s="8">
        <v>278.32</v>
      </c>
      <c r="Q89" s="3"/>
      <c r="R89" s="7">
        <f t="shared" si="52"/>
        <v>1.0354255263344886E-2</v>
      </c>
      <c r="S89" s="3"/>
      <c r="T89" s="8">
        <v>-70.36</v>
      </c>
      <c r="U89" s="3"/>
      <c r="V89" s="7">
        <f t="shared" si="53"/>
        <v>-1.3666872887010352E-3</v>
      </c>
      <c r="W89" s="3"/>
      <c r="X89" s="8">
        <f t="shared" si="54"/>
        <v>348.68</v>
      </c>
      <c r="Y89" s="3"/>
      <c r="Z89" s="7">
        <f t="shared" si="55"/>
        <v>-4.9556566230812962</v>
      </c>
    </row>
    <row r="90" spans="1:26" s="27" customFormat="1" outlineLevel="1" collapsed="1" x14ac:dyDescent="0.25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SUM(OSRRefD22_14x_0)</f>
        <v>215.16</v>
      </c>
      <c r="E90" s="1"/>
      <c r="F90" s="5">
        <f t="shared" si="48"/>
        <v>8.0045327768801574E-3</v>
      </c>
      <c r="G90" s="1"/>
      <c r="H90" s="1">
        <f>SUM(OSRRefH22_14x_0)</f>
        <v>0</v>
      </c>
      <c r="I90" s="1"/>
      <c r="J90" s="5">
        <f t="shared" si="49"/>
        <v>0</v>
      </c>
      <c r="K90" s="1"/>
      <c r="L90" s="1">
        <f t="shared" si="50"/>
        <v>215.16</v>
      </c>
      <c r="M90" s="1"/>
      <c r="N90" s="5">
        <f t="shared" si="51"/>
        <v>0</v>
      </c>
      <c r="O90" s="14"/>
      <c r="P90" s="1">
        <f>SUM(OSRRefP22_14x_0)</f>
        <v>215.16</v>
      </c>
      <c r="Q90" s="1"/>
      <c r="R90" s="5">
        <f t="shared" si="52"/>
        <v>8.0045327768801574E-3</v>
      </c>
      <c r="S90" s="1"/>
      <c r="T90" s="1">
        <f>SUM(OSRRefT22_14x_0)</f>
        <v>0</v>
      </c>
      <c r="U90" s="1"/>
      <c r="V90" s="5">
        <f t="shared" si="53"/>
        <v>0</v>
      </c>
      <c r="W90" s="1"/>
      <c r="X90" s="1">
        <f t="shared" si="54"/>
        <v>215.16</v>
      </c>
      <c r="Y90" s="1"/>
      <c r="Z90" s="5">
        <f t="shared" si="55"/>
        <v>0</v>
      </c>
    </row>
    <row r="91" spans="1:26" s="24" customFormat="1" hidden="1" outlineLevel="2" x14ac:dyDescent="0.25">
      <c r="A91" s="29"/>
      <c r="B91" s="11" t="str">
        <f>CONCATENATE("          ", "6294", " - ", "TRAVEL OPERATIONAL")</f>
        <v xml:space="preserve">          6294 - TRAVEL OPERATIONAL</v>
      </c>
      <c r="C91" s="11"/>
      <c r="D91" s="8">
        <v>215.16</v>
      </c>
      <c r="E91" s="3"/>
      <c r="F91" s="7">
        <f t="shared" si="48"/>
        <v>8.0045327768801574E-3</v>
      </c>
      <c r="G91" s="3"/>
      <c r="H91" s="8"/>
      <c r="I91" s="3"/>
      <c r="J91" s="7">
        <f t="shared" si="49"/>
        <v>0</v>
      </c>
      <c r="K91" s="3"/>
      <c r="L91" s="8">
        <f t="shared" si="50"/>
        <v>215.16</v>
      </c>
      <c r="M91" s="3"/>
      <c r="N91" s="7">
        <f t="shared" si="51"/>
        <v>0</v>
      </c>
      <c r="O91" s="11"/>
      <c r="P91" s="8">
        <v>215.16</v>
      </c>
      <c r="Q91" s="3"/>
      <c r="R91" s="7">
        <f t="shared" si="52"/>
        <v>8.0045327768801574E-3</v>
      </c>
      <c r="S91" s="3"/>
      <c r="T91" s="8"/>
      <c r="U91" s="3"/>
      <c r="V91" s="7">
        <f t="shared" si="53"/>
        <v>0</v>
      </c>
      <c r="W91" s="3"/>
      <c r="X91" s="8">
        <f t="shared" si="54"/>
        <v>215.16</v>
      </c>
      <c r="Y91" s="3"/>
      <c r="Z91" s="7">
        <f t="shared" si="55"/>
        <v>0</v>
      </c>
    </row>
    <row r="92" spans="1:26" s="27" customFormat="1" outlineLevel="1" collapsed="1" x14ac:dyDescent="0.25">
      <c r="A92" s="28"/>
      <c r="B92" s="14" t="str">
        <f>CONCATENATE("     ","Utilities                                         ")</f>
        <v xml:space="preserve">     Utilities                                         </v>
      </c>
      <c r="C92" s="14"/>
      <c r="D92" s="1">
        <f>SUM(OSRRefD22_15x_0)</f>
        <v>28.46</v>
      </c>
      <c r="E92" s="1"/>
      <c r="F92" s="5">
        <f t="shared" si="48"/>
        <v>1.0587888214817313E-3</v>
      </c>
      <c r="G92" s="1"/>
      <c r="H92" s="1">
        <f>SUM(OSRRefH22_15x_0)</f>
        <v>43</v>
      </c>
      <c r="I92" s="1"/>
      <c r="J92" s="5">
        <f t="shared" si="49"/>
        <v>8.3524095244662472E-4</v>
      </c>
      <c r="K92" s="1"/>
      <c r="L92" s="1">
        <f t="shared" si="50"/>
        <v>-14.54</v>
      </c>
      <c r="M92" s="1"/>
      <c r="N92" s="5">
        <f t="shared" si="51"/>
        <v>-0.33813953488372089</v>
      </c>
      <c r="O92" s="14"/>
      <c r="P92" s="1">
        <f>SUM(OSRRefP22_15x_0)</f>
        <v>28.46</v>
      </c>
      <c r="Q92" s="1"/>
      <c r="R92" s="5">
        <f t="shared" si="52"/>
        <v>1.0587888214817313E-3</v>
      </c>
      <c r="S92" s="1"/>
      <c r="T92" s="1">
        <f>SUM(OSRRefT22_15x_0)</f>
        <v>43</v>
      </c>
      <c r="U92" s="1"/>
      <c r="V92" s="5">
        <f t="shared" si="53"/>
        <v>8.3524095244662472E-4</v>
      </c>
      <c r="W92" s="1"/>
      <c r="X92" s="1">
        <f t="shared" si="54"/>
        <v>-14.54</v>
      </c>
      <c r="Y92" s="1"/>
      <c r="Z92" s="5">
        <f t="shared" si="55"/>
        <v>-0.33813953488372089</v>
      </c>
    </row>
    <row r="93" spans="1:26" s="24" customFormat="1" hidden="1" outlineLevel="2" x14ac:dyDescent="0.25">
      <c r="A93" s="29"/>
      <c r="B93" s="11" t="str">
        <f>CONCATENATE("          ", "6274", " - ", "UTILITIES")</f>
        <v xml:space="preserve">          6274 - UTILITIES</v>
      </c>
      <c r="C93" s="11"/>
      <c r="D93" s="8">
        <v>28.46</v>
      </c>
      <c r="E93" s="3"/>
      <c r="F93" s="7">
        <f t="shared" si="48"/>
        <v>1.0587888214817313E-3</v>
      </c>
      <c r="G93" s="3"/>
      <c r="H93" s="8">
        <v>43</v>
      </c>
      <c r="I93" s="3"/>
      <c r="J93" s="7">
        <f t="shared" si="49"/>
        <v>8.3524095244662472E-4</v>
      </c>
      <c r="K93" s="3"/>
      <c r="L93" s="8">
        <f t="shared" si="50"/>
        <v>-14.54</v>
      </c>
      <c r="M93" s="3"/>
      <c r="N93" s="7">
        <f t="shared" si="51"/>
        <v>-0.33813953488372089</v>
      </c>
      <c r="O93" s="11"/>
      <c r="P93" s="8">
        <v>28.46</v>
      </c>
      <c r="Q93" s="3"/>
      <c r="R93" s="7">
        <f t="shared" si="52"/>
        <v>1.0587888214817313E-3</v>
      </c>
      <c r="S93" s="3"/>
      <c r="T93" s="8">
        <v>43</v>
      </c>
      <c r="U93" s="3"/>
      <c r="V93" s="7">
        <f t="shared" si="53"/>
        <v>8.3524095244662472E-4</v>
      </c>
      <c r="W93" s="3"/>
      <c r="X93" s="8">
        <f t="shared" si="54"/>
        <v>-14.54</v>
      </c>
      <c r="Y93" s="3"/>
      <c r="Z93" s="7">
        <f t="shared" si="55"/>
        <v>-0.33813953488372089</v>
      </c>
    </row>
    <row r="94" spans="1:26" s="61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5" t="s">
        <v>0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x14ac:dyDescent="0.25">
      <c r="A97" s="10"/>
      <c r="B97" s="26" t="s">
        <v>3</v>
      </c>
      <c r="C97" s="26"/>
      <c r="D97" s="19">
        <f>+D46-D48+D95</f>
        <v>-6561.6299999999974</v>
      </c>
      <c r="E97" s="13"/>
      <c r="F97" s="20">
        <f>IF(D$12=0,0,D97/D$12)</f>
        <v>-0.24411034767038545</v>
      </c>
      <c r="G97" s="13"/>
      <c r="H97" s="19">
        <f>+H46-H48+H95</f>
        <v>2514.5200000000004</v>
      </c>
      <c r="I97" s="13"/>
      <c r="J97" s="20">
        <f>IF(H$12=0,0,H97/H$12)</f>
        <v>4.884255999409505E-2</v>
      </c>
      <c r="K97" s="16"/>
      <c r="L97" s="19">
        <f>+D97-H97</f>
        <v>-9076.1499999999978</v>
      </c>
      <c r="M97" s="16"/>
      <c r="N97" s="20">
        <f>IF(H97=0,0,L97/H97)</f>
        <v>-3.6094960469592592</v>
      </c>
      <c r="O97" s="25"/>
      <c r="P97" s="19">
        <f>+P46-P48+P95</f>
        <v>-6561.6299999999974</v>
      </c>
      <c r="Q97" s="13"/>
      <c r="R97" s="20">
        <f>IF(P$12=0,0,P97/P$12)</f>
        <v>-0.24411034767038545</v>
      </c>
      <c r="S97" s="13"/>
      <c r="T97" s="19">
        <f>+T46-T48+T95</f>
        <v>2514.5200000000004</v>
      </c>
      <c r="U97" s="13"/>
      <c r="V97" s="20">
        <f>IF(T$12=0,0,T97/T$12)</f>
        <v>4.884255999409505E-2</v>
      </c>
      <c r="W97" s="16"/>
      <c r="X97" s="19">
        <f>+P97-T97</f>
        <v>-9076.1499999999978</v>
      </c>
      <c r="Y97" s="16"/>
      <c r="Z97" s="20">
        <f>IF(T97=0,0,X97/T97)</f>
        <v>-3.6094960469592592</v>
      </c>
    </row>
    <row r="98" spans="1:26" x14ac:dyDescent="0.25">
      <c r="A98" s="9"/>
      <c r="B98" s="10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x14ac:dyDescent="0.25">
      <c r="A99" s="51"/>
      <c r="B99" s="10" t="s">
        <v>13</v>
      </c>
      <c r="C99" s="10"/>
      <c r="D99" s="4">
        <v>13096.23</v>
      </c>
      <c r="E99" s="4"/>
      <c r="F99" s="12">
        <f>IF(D$12=0,0,D99/D$12)</f>
        <v>0.48721510637925836</v>
      </c>
      <c r="G99" s="4"/>
      <c r="H99" s="4">
        <v>10704.66</v>
      </c>
      <c r="I99" s="4"/>
      <c r="J99" s="12">
        <f>IF(H$12=0,0,H99/H$12)</f>
        <v>0.20792954451202988</v>
      </c>
      <c r="K99" s="4"/>
      <c r="L99" s="4">
        <f>+D99-H99</f>
        <v>2391.5699999999997</v>
      </c>
      <c r="M99" s="4"/>
      <c r="N99" s="12">
        <f>IF(H99=0,0,L99/H99)</f>
        <v>0.22341391506129105</v>
      </c>
      <c r="O99" s="10"/>
      <c r="P99" s="4">
        <v>13096.23</v>
      </c>
      <c r="Q99" s="4"/>
      <c r="R99" s="12">
        <f>IF(P$12=0,0,P99/P$12)</f>
        <v>0.48721510637925836</v>
      </c>
      <c r="S99" s="4"/>
      <c r="T99" s="4">
        <v>10704.66</v>
      </c>
      <c r="U99" s="4"/>
      <c r="V99" s="12">
        <f>IF(T$12=0,0,T99/T$12)</f>
        <v>0.20792954451202988</v>
      </c>
      <c r="W99" s="4"/>
      <c r="X99" s="4">
        <f>+P99-T99</f>
        <v>2391.5699999999997</v>
      </c>
      <c r="Y99" s="4"/>
      <c r="Z99" s="12">
        <f>IF(T99=0,0,X99/T99)</f>
        <v>0.22341391506129105</v>
      </c>
    </row>
    <row r="100" spans="1:26" x14ac:dyDescent="0.25">
      <c r="A100" s="9"/>
      <c r="B100" s="10"/>
      <c r="C100" s="10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10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3" customFormat="1" ht="15.75" thickBot="1" x14ac:dyDescent="0.3">
      <c r="A101" s="10"/>
      <c r="B101" s="26" t="s">
        <v>4</v>
      </c>
      <c r="C101" s="26"/>
      <c r="D101" s="35">
        <f>+D97-D99</f>
        <v>-19657.859999999997</v>
      </c>
      <c r="E101" s="13"/>
      <c r="F101" s="30">
        <f>IF(D$12=0,0,D101/D$12)</f>
        <v>-0.73132545404964378</v>
      </c>
      <c r="G101" s="13"/>
      <c r="H101" s="35">
        <f>+H97-H99</f>
        <v>-8190.1399999999994</v>
      </c>
      <c r="I101" s="13"/>
      <c r="J101" s="30">
        <f>IF(H$12=0,0,H101/H$12)</f>
        <v>-0.15908698451793485</v>
      </c>
      <c r="K101" s="16"/>
      <c r="L101" s="35">
        <f>D101-H101</f>
        <v>-11467.719999999998</v>
      </c>
      <c r="M101" s="16"/>
      <c r="N101" s="30">
        <f>IF(H101=0,0,L101/H101)</f>
        <v>1.4001860774052701</v>
      </c>
      <c r="O101" s="25"/>
      <c r="P101" s="35">
        <f>+P97-P99</f>
        <v>-19657.859999999997</v>
      </c>
      <c r="Q101" s="13"/>
      <c r="R101" s="30">
        <f>IF(P$12=0,0,P101/P$12)</f>
        <v>-0.73132545404964378</v>
      </c>
      <c r="S101" s="13"/>
      <c r="T101" s="35">
        <f>+T97-T99</f>
        <v>-8190.1399999999994</v>
      </c>
      <c r="U101" s="13"/>
      <c r="V101" s="30">
        <f>IF(T$12=0,0,T101/T$12)</f>
        <v>-0.15908698451793485</v>
      </c>
      <c r="W101" s="16"/>
      <c r="X101" s="35">
        <f>P101-T101</f>
        <v>-11467.719999999998</v>
      </c>
      <c r="Y101" s="16"/>
      <c r="Z101" s="30">
        <f>IF(T101=0,0,X101/T101)</f>
        <v>1.4001860774052701</v>
      </c>
    </row>
    <row r="102" spans="1:26" ht="15.75" thickTop="1" x14ac:dyDescent="0.25">
      <c r="A102" s="9"/>
      <c r="B102" s="9"/>
      <c r="C102" s="9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x14ac:dyDescent="0.25">
      <c r="A103" s="9"/>
      <c r="B103" s="9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ht="15.75" thickBot="1" x14ac:dyDescent="0.3">
      <c r="A104" s="10"/>
      <c r="B104" s="26" t="s">
        <v>5</v>
      </c>
      <c r="C104" s="26"/>
      <c r="D104" s="31">
        <f>SUM(D101:D103)</f>
        <v>-19657.859999999997</v>
      </c>
      <c r="E104" s="13"/>
      <c r="F104" s="32">
        <f>IF(D$12=0,0,D104/D$12)</f>
        <v>-0.73132545404964378</v>
      </c>
      <c r="G104" s="13"/>
      <c r="H104" s="31">
        <f>SUM(H101:H103)</f>
        <v>-8190.1399999999994</v>
      </c>
      <c r="I104" s="13"/>
      <c r="J104" s="32">
        <f>IF(H$12=0,0,H104/H$12)</f>
        <v>-0.15908698451793485</v>
      </c>
      <c r="K104" s="16"/>
      <c r="L104" s="31">
        <f>+D104-H104</f>
        <v>-11467.719999999998</v>
      </c>
      <c r="M104" s="16"/>
      <c r="N104" s="32">
        <f>IF(H104=0,0,L104/H104)</f>
        <v>1.4001860774052701</v>
      </c>
      <c r="O104" s="25"/>
      <c r="P104" s="31">
        <f>SUM(P101:P103)</f>
        <v>-19657.859999999997</v>
      </c>
      <c r="Q104" s="13"/>
      <c r="R104" s="32">
        <f>IF(P$12=0,0,P104/P$12)</f>
        <v>-0.73132545404964378</v>
      </c>
      <c r="S104" s="13"/>
      <c r="T104" s="31">
        <f>SUM(T101:T103)</f>
        <v>-8190.1399999999994</v>
      </c>
      <c r="U104" s="13"/>
      <c r="V104" s="32">
        <f>IF(T$12=0,0,T104/T$12)</f>
        <v>-0.15908698451793485</v>
      </c>
      <c r="W104" s="16"/>
      <c r="X104" s="31">
        <f>+P104-T104</f>
        <v>-11467.719999999998</v>
      </c>
      <c r="Y104" s="16"/>
      <c r="Z104" s="32">
        <f>IF(T104=0,0,X104/T104)</f>
        <v>1.4001860774052701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9">
        <v>44109.414441666668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62" t="s">
        <v>313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6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4847.87</v>
      </c>
      <c r="E12" s="4"/>
      <c r="F12" s="12"/>
      <c r="G12" s="4"/>
      <c r="H12" s="4">
        <f>SUM(OSRRefH13x_0)</f>
        <v>8909.0899999999983</v>
      </c>
      <c r="I12" s="4"/>
      <c r="J12" s="12"/>
      <c r="K12" s="4"/>
      <c r="L12" s="4">
        <f t="shared" ref="L12:L25" si="0">+D12-H12</f>
        <v>-4061.2199999999984</v>
      </c>
      <c r="M12" s="4"/>
      <c r="N12" s="12">
        <f t="shared" ref="N12:N25" si="1">IF(H12=0,0,L12/H12)</f>
        <v>-0.45585127100523165</v>
      </c>
      <c r="O12" s="10"/>
      <c r="P12" s="4">
        <f>SUM(OSRRefP13x_0)</f>
        <v>4847.87</v>
      </c>
      <c r="Q12" s="4"/>
      <c r="R12" s="12"/>
      <c r="S12" s="4"/>
      <c r="T12" s="4">
        <f>SUM(OSRRefT13x_0)</f>
        <v>8909.0899999999983</v>
      </c>
      <c r="U12" s="4"/>
      <c r="V12" s="12"/>
      <c r="W12" s="4"/>
      <c r="X12" s="4">
        <f t="shared" ref="X12:X25" si="2">+P12-T12</f>
        <v>-4061.2199999999984</v>
      </c>
      <c r="Y12" s="4"/>
      <c r="Z12" s="12">
        <f t="shared" ref="Z12:Z25" si="3">IF(T12=0,0,X12/T12)</f>
        <v>-0.45585127100523165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3">
        <f>--1085.6</f>
        <v>1085.5999999999999</v>
      </c>
      <c r="E13" s="3"/>
      <c r="F13" s="22"/>
      <c r="G13" s="3"/>
      <c r="H13" s="3">
        <f>--463.7</f>
        <v>463.7</v>
      </c>
      <c r="I13" s="3"/>
      <c r="J13" s="22"/>
      <c r="K13" s="3"/>
      <c r="L13" s="3">
        <f t="shared" si="0"/>
        <v>621.89999999999986</v>
      </c>
      <c r="M13" s="3"/>
      <c r="N13" s="22">
        <f t="shared" si="1"/>
        <v>1.3411688591761912</v>
      </c>
      <c r="O13" s="11"/>
      <c r="P13" s="3">
        <f>--1085.6</f>
        <v>1085.5999999999999</v>
      </c>
      <c r="Q13" s="3"/>
      <c r="R13" s="22"/>
      <c r="S13" s="3"/>
      <c r="T13" s="3">
        <f>--463.7</f>
        <v>463.7</v>
      </c>
      <c r="U13" s="3"/>
      <c r="V13" s="22"/>
      <c r="W13" s="3"/>
      <c r="X13" s="3">
        <f t="shared" si="2"/>
        <v>621.89999999999986</v>
      </c>
      <c r="Y13" s="3"/>
      <c r="Z13" s="22">
        <f t="shared" si="3"/>
        <v>1.3411688591761912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3">
        <f>--3750.52</f>
        <v>3750.52</v>
      </c>
      <c r="E14" s="3"/>
      <c r="F14" s="22"/>
      <c r="G14" s="3"/>
      <c r="H14" s="3">
        <f>--4059.92</f>
        <v>4059.92</v>
      </c>
      <c r="I14" s="3"/>
      <c r="J14" s="22"/>
      <c r="K14" s="3"/>
      <c r="L14" s="3">
        <f t="shared" si="0"/>
        <v>-309.40000000000009</v>
      </c>
      <c r="M14" s="3"/>
      <c r="N14" s="22">
        <f t="shared" si="1"/>
        <v>-7.6208398195038343E-2</v>
      </c>
      <c r="O14" s="11"/>
      <c r="P14" s="3">
        <f>--3750.52</f>
        <v>3750.52</v>
      </c>
      <c r="Q14" s="3"/>
      <c r="R14" s="22"/>
      <c r="S14" s="3"/>
      <c r="T14" s="3">
        <f>--4059.92</f>
        <v>4059.92</v>
      </c>
      <c r="U14" s="3"/>
      <c r="V14" s="22"/>
      <c r="W14" s="3"/>
      <c r="X14" s="3">
        <f t="shared" si="2"/>
        <v>-309.40000000000009</v>
      </c>
      <c r="Y14" s="3"/>
      <c r="Z14" s="22">
        <f t="shared" si="3"/>
        <v>-7.6208398195038343E-2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3">
        <f t="shared" ref="D15:D18" si="4">0</f>
        <v>0</v>
      </c>
      <c r="E15" s="3"/>
      <c r="F15" s="22"/>
      <c r="G15" s="3"/>
      <c r="H15" s="3">
        <f>--15.55</f>
        <v>15.55</v>
      </c>
      <c r="I15" s="3"/>
      <c r="J15" s="22"/>
      <c r="K15" s="3"/>
      <c r="L15" s="3">
        <f t="shared" si="0"/>
        <v>-15.55</v>
      </c>
      <c r="M15" s="3"/>
      <c r="N15" s="22">
        <f t="shared" si="1"/>
        <v>-1</v>
      </c>
      <c r="O15" s="11"/>
      <c r="P15" s="3">
        <f t="shared" ref="P15:P18" si="5">0</f>
        <v>0</v>
      </c>
      <c r="Q15" s="3"/>
      <c r="R15" s="22"/>
      <c r="S15" s="3"/>
      <c r="T15" s="3">
        <f>--15.55</f>
        <v>15.55</v>
      </c>
      <c r="U15" s="3"/>
      <c r="V15" s="22"/>
      <c r="W15" s="3"/>
      <c r="X15" s="3">
        <f t="shared" si="2"/>
        <v>-15.55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3">
        <f t="shared" si="4"/>
        <v>0</v>
      </c>
      <c r="E16" s="3"/>
      <c r="F16" s="22"/>
      <c r="G16" s="3"/>
      <c r="H16" s="3">
        <f>--40</f>
        <v>40</v>
      </c>
      <c r="I16" s="3"/>
      <c r="J16" s="22"/>
      <c r="K16" s="3"/>
      <c r="L16" s="3">
        <f t="shared" si="0"/>
        <v>-40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--40</f>
        <v>40</v>
      </c>
      <c r="U16" s="3"/>
      <c r="V16" s="22"/>
      <c r="W16" s="3"/>
      <c r="X16" s="3">
        <f t="shared" si="2"/>
        <v>-40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"4092", " - ", "TAXABLE SALES-GRAD MERCH")</f>
        <v xml:space="preserve">          4092 - TAXABLE SALES-GRAD MERCH</v>
      </c>
      <c r="C17" s="11"/>
      <c r="D17" s="3">
        <f t="shared" si="4"/>
        <v>0</v>
      </c>
      <c r="E17" s="3"/>
      <c r="F17" s="22"/>
      <c r="G17" s="3"/>
      <c r="H17" s="3">
        <f>--2128.63</f>
        <v>2128.63</v>
      </c>
      <c r="I17" s="3"/>
      <c r="J17" s="22"/>
      <c r="K17" s="3"/>
      <c r="L17" s="3">
        <f t="shared" si="0"/>
        <v>-2128.63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--2128.63</f>
        <v>2128.63</v>
      </c>
      <c r="U17" s="3"/>
      <c r="V17" s="22"/>
      <c r="W17" s="3"/>
      <c r="X17" s="3">
        <f t="shared" si="2"/>
        <v>-2128.63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"4095", " - ", "TAXABLE SALES-CUSTOMER SERVICE")</f>
        <v xml:space="preserve">          4095 - TAXABLE SALES-CUSTOMER SERVICE</v>
      </c>
      <c r="C18" s="11"/>
      <c r="D18" s="3">
        <f t="shared" si="4"/>
        <v>0</v>
      </c>
      <c r="E18" s="3"/>
      <c r="F18" s="22"/>
      <c r="G18" s="3"/>
      <c r="H18" s="3">
        <f>--35.64</f>
        <v>35.64</v>
      </c>
      <c r="I18" s="3"/>
      <c r="J18" s="22"/>
      <c r="K18" s="3"/>
      <c r="L18" s="3">
        <f t="shared" si="0"/>
        <v>-35.64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--35.64</f>
        <v>35.64</v>
      </c>
      <c r="U18" s="3"/>
      <c r="V18" s="22"/>
      <c r="W18" s="3"/>
      <c r="X18" s="3">
        <f t="shared" si="2"/>
        <v>-35.64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"4141", " - ", "NON-TAXABLE SALES-LOGO GIFTS")</f>
        <v xml:space="preserve">          4141 - NON-TAXABLE SALES-LOGO GIFTS</v>
      </c>
      <c r="C19" s="11"/>
      <c r="D19" s="3">
        <f>--10.75</f>
        <v>10.75</v>
      </c>
      <c r="E19" s="3"/>
      <c r="F19" s="22"/>
      <c r="G19" s="3"/>
      <c r="H19" s="3">
        <f>--7.95</f>
        <v>7.95</v>
      </c>
      <c r="I19" s="3"/>
      <c r="J19" s="22"/>
      <c r="K19" s="3"/>
      <c r="L19" s="3">
        <f t="shared" si="0"/>
        <v>2.8</v>
      </c>
      <c r="M19" s="3"/>
      <c r="N19" s="22">
        <f t="shared" si="1"/>
        <v>0.3522012578616352</v>
      </c>
      <c r="O19" s="11"/>
      <c r="P19" s="3">
        <f>--10.75</f>
        <v>10.75</v>
      </c>
      <c r="Q19" s="3"/>
      <c r="R19" s="22"/>
      <c r="S19" s="3"/>
      <c r="T19" s="3">
        <f>--7.95</f>
        <v>7.95</v>
      </c>
      <c r="U19" s="3"/>
      <c r="V19" s="22"/>
      <c r="W19" s="3"/>
      <c r="X19" s="3">
        <f t="shared" si="2"/>
        <v>2.8</v>
      </c>
      <c r="Y19" s="3"/>
      <c r="Z19" s="22">
        <f t="shared" si="3"/>
        <v>0.3522012578616352</v>
      </c>
    </row>
    <row r="20" spans="1:26" s="24" customFormat="1" hidden="1" outlineLevel="1" x14ac:dyDescent="0.25">
      <c r="A20" s="50"/>
      <c r="B20" s="11" t="str">
        <f>CONCATENATE("          ", "4142", " - ", "NON-TAXABLE SALES-EVERYDAY GIF")</f>
        <v xml:space="preserve">          4142 - NON-TAXABLE SALES-EVERYDAY GIF</v>
      </c>
      <c r="C20" s="11"/>
      <c r="D20" s="3">
        <f t="shared" ref="D20:D21" si="6">0</f>
        <v>0</v>
      </c>
      <c r="E20" s="3"/>
      <c r="F20" s="22"/>
      <c r="G20" s="3"/>
      <c r="H20" s="3">
        <f>--111</f>
        <v>111</v>
      </c>
      <c r="I20" s="3"/>
      <c r="J20" s="22"/>
      <c r="K20" s="3"/>
      <c r="L20" s="3">
        <f t="shared" si="0"/>
        <v>-111</v>
      </c>
      <c r="M20" s="3"/>
      <c r="N20" s="22">
        <f t="shared" si="1"/>
        <v>-1</v>
      </c>
      <c r="O20" s="11"/>
      <c r="P20" s="3">
        <f t="shared" ref="P20:P21" si="7">0</f>
        <v>0</v>
      </c>
      <c r="Q20" s="3"/>
      <c r="R20" s="22"/>
      <c r="S20" s="3"/>
      <c r="T20" s="3">
        <f>--111</f>
        <v>111</v>
      </c>
      <c r="U20" s="3"/>
      <c r="V20" s="22"/>
      <c r="W20" s="3"/>
      <c r="X20" s="3">
        <f t="shared" si="2"/>
        <v>-111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"4146", " - ", "NON-TAXABLE SALES-COIN OP MACH")</f>
        <v xml:space="preserve">          4146 - NON-TAXABLE SALES-COIN OP MACH</v>
      </c>
      <c r="C21" s="11"/>
      <c r="D21" s="3">
        <f t="shared" si="6"/>
        <v>0</v>
      </c>
      <c r="E21" s="3"/>
      <c r="F21" s="22"/>
      <c r="G21" s="3"/>
      <c r="H21" s="3">
        <f>--2067.1</f>
        <v>2067.1</v>
      </c>
      <c r="I21" s="3"/>
      <c r="J21" s="22"/>
      <c r="K21" s="3"/>
      <c r="L21" s="3">
        <f t="shared" si="0"/>
        <v>-2067.1</v>
      </c>
      <c r="M21" s="3"/>
      <c r="N21" s="22">
        <f t="shared" si="1"/>
        <v>-1</v>
      </c>
      <c r="O21" s="11"/>
      <c r="P21" s="3">
        <f t="shared" si="7"/>
        <v>0</v>
      </c>
      <c r="Q21" s="3"/>
      <c r="R21" s="22"/>
      <c r="S21" s="3"/>
      <c r="T21" s="3">
        <f>--2067.1</f>
        <v>2067.1</v>
      </c>
      <c r="U21" s="3"/>
      <c r="V21" s="22"/>
      <c r="W21" s="3"/>
      <c r="X21" s="3">
        <f t="shared" si="2"/>
        <v>-2067.1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"4147", " - ", "NON-TAXABLE SALES-MISC")</f>
        <v xml:space="preserve">          4147 - NON-TAXABLE SALES-MISC</v>
      </c>
      <c r="C22" s="11"/>
      <c r="D22" s="3">
        <f>--1</f>
        <v>1</v>
      </c>
      <c r="E22" s="3"/>
      <c r="F22" s="22"/>
      <c r="G22" s="3"/>
      <c r="H22" s="3">
        <f>--16.5</f>
        <v>16.5</v>
      </c>
      <c r="I22" s="3"/>
      <c r="J22" s="22"/>
      <c r="K22" s="3"/>
      <c r="L22" s="3">
        <f t="shared" si="0"/>
        <v>-15.5</v>
      </c>
      <c r="M22" s="3"/>
      <c r="N22" s="22">
        <f t="shared" si="1"/>
        <v>-0.93939393939393945</v>
      </c>
      <c r="O22" s="11"/>
      <c r="P22" s="3">
        <f>--1</f>
        <v>1</v>
      </c>
      <c r="Q22" s="3"/>
      <c r="R22" s="22"/>
      <c r="S22" s="3"/>
      <c r="T22" s="3">
        <f>--16.5</f>
        <v>16.5</v>
      </c>
      <c r="U22" s="3"/>
      <c r="V22" s="22"/>
      <c r="W22" s="3"/>
      <c r="X22" s="3">
        <f t="shared" si="2"/>
        <v>-15.5</v>
      </c>
      <c r="Y22" s="3"/>
      <c r="Z22" s="22">
        <f t="shared" si="3"/>
        <v>-0.93939393939393945</v>
      </c>
    </row>
    <row r="23" spans="1:26" s="24" customFormat="1" hidden="1" outlineLevel="1" x14ac:dyDescent="0.25">
      <c r="A23" s="50"/>
      <c r="B23" s="11" t="str">
        <f>CONCATENATE("          ", "4241", " - ", "SALES RETURN TAXABLE-LOGO GIFT")</f>
        <v xml:space="preserve">          4241 - SALES RETURN TAXABLE-LOGO GIFT</v>
      </c>
      <c r="C23" s="11"/>
      <c r="D23" s="3">
        <f t="shared" ref="D23:D25" si="8">0</f>
        <v>0</v>
      </c>
      <c r="E23" s="3"/>
      <c r="F23" s="22"/>
      <c r="G23" s="3"/>
      <c r="H23" s="3">
        <f>-10.75</f>
        <v>-10.75</v>
      </c>
      <c r="I23" s="3"/>
      <c r="J23" s="22"/>
      <c r="K23" s="3"/>
      <c r="L23" s="3">
        <f t="shared" si="0"/>
        <v>10.75</v>
      </c>
      <c r="M23" s="3"/>
      <c r="N23" s="22">
        <f t="shared" si="1"/>
        <v>-1</v>
      </c>
      <c r="O23" s="11"/>
      <c r="P23" s="3">
        <f t="shared" ref="P23:P25" si="9">0</f>
        <v>0</v>
      </c>
      <c r="Q23" s="3"/>
      <c r="R23" s="22"/>
      <c r="S23" s="3"/>
      <c r="T23" s="3">
        <f>-10.75</f>
        <v>-10.75</v>
      </c>
      <c r="U23" s="3"/>
      <c r="V23" s="22"/>
      <c r="W23" s="3"/>
      <c r="X23" s="3">
        <f t="shared" si="2"/>
        <v>10.75</v>
      </c>
      <c r="Y23" s="3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"4242", " - ", "SALES RETURN TAXABLE-EVERYDAY")</f>
        <v xml:space="preserve">          4242 - SALES RETURN TAXABLE-EVERYDAY</v>
      </c>
      <c r="C24" s="11"/>
      <c r="D24" s="3">
        <f t="shared" si="8"/>
        <v>0</v>
      </c>
      <c r="E24" s="3"/>
      <c r="F24" s="22"/>
      <c r="G24" s="3"/>
      <c r="H24" s="3">
        <f>-16.2</f>
        <v>-16.2</v>
      </c>
      <c r="I24" s="3"/>
      <c r="J24" s="22"/>
      <c r="K24" s="3"/>
      <c r="L24" s="3">
        <f t="shared" si="0"/>
        <v>16.2</v>
      </c>
      <c r="M24" s="3"/>
      <c r="N24" s="22">
        <f t="shared" si="1"/>
        <v>-1</v>
      </c>
      <c r="O24" s="11"/>
      <c r="P24" s="3">
        <f t="shared" si="9"/>
        <v>0</v>
      </c>
      <c r="Q24" s="3"/>
      <c r="R24" s="22"/>
      <c r="S24" s="3"/>
      <c r="T24" s="3">
        <f>-16.2</f>
        <v>-16.2</v>
      </c>
      <c r="U24" s="3"/>
      <c r="V24" s="22"/>
      <c r="W24" s="3"/>
      <c r="X24" s="3">
        <f t="shared" si="2"/>
        <v>16.2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"4292", " - ", "SALES RETURN TAXABLE-GRAD MERC")</f>
        <v xml:space="preserve">          4292 - SALES RETURN TAXABLE-GRAD MERC</v>
      </c>
      <c r="C25" s="11"/>
      <c r="D25" s="3">
        <f t="shared" si="8"/>
        <v>0</v>
      </c>
      <c r="E25" s="3"/>
      <c r="F25" s="22"/>
      <c r="G25" s="3"/>
      <c r="H25" s="3">
        <f>-9.95</f>
        <v>-9.9499999999999993</v>
      </c>
      <c r="I25" s="3"/>
      <c r="J25" s="22"/>
      <c r="K25" s="3"/>
      <c r="L25" s="3">
        <f t="shared" si="0"/>
        <v>9.9499999999999993</v>
      </c>
      <c r="M25" s="3"/>
      <c r="N25" s="22">
        <f t="shared" si="1"/>
        <v>-1</v>
      </c>
      <c r="O25" s="11"/>
      <c r="P25" s="3">
        <f t="shared" si="9"/>
        <v>0</v>
      </c>
      <c r="Q25" s="3"/>
      <c r="R25" s="22"/>
      <c r="S25" s="3"/>
      <c r="T25" s="3">
        <f>-9.95</f>
        <v>-9.9499999999999993</v>
      </c>
      <c r="U25" s="3"/>
      <c r="V25" s="22"/>
      <c r="W25" s="3"/>
      <c r="X25" s="3">
        <f t="shared" si="2"/>
        <v>9.9499999999999993</v>
      </c>
      <c r="Y25" s="3"/>
      <c r="Z25" s="22">
        <f t="shared" si="3"/>
        <v>-1</v>
      </c>
    </row>
    <row r="26" spans="1:26" x14ac:dyDescent="0.25">
      <c r="A26" s="9"/>
      <c r="B26" s="10"/>
      <c r="C26" s="9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collapsed="1" x14ac:dyDescent="0.25">
      <c r="A27" s="10"/>
      <c r="B27" s="25" t="s">
        <v>8</v>
      </c>
      <c r="C27" s="10"/>
      <c r="D27" s="4">
        <f>SUM(OSRRefD16x_0)</f>
        <v>0</v>
      </c>
      <c r="E27" s="4"/>
      <c r="F27" s="12">
        <f t="shared" ref="F27:F31" si="10">IF(D$12=0,0,D27/D$12)</f>
        <v>0</v>
      </c>
      <c r="G27" s="4"/>
      <c r="H27" s="4">
        <f>SUM(OSRRefH16x_0)</f>
        <v>1044.4499999999998</v>
      </c>
      <c r="I27" s="4"/>
      <c r="J27" s="12">
        <f t="shared" ref="J27:J31" si="11">IF(H$12=0,0,H27/H$12)</f>
        <v>0.11723419563614242</v>
      </c>
      <c r="K27" s="4"/>
      <c r="L27" s="4">
        <f t="shared" ref="L27:L31" si="12">+D27-H27</f>
        <v>-1044.4499999999998</v>
      </c>
      <c r="M27" s="4"/>
      <c r="N27" s="12">
        <f t="shared" ref="N27:N31" si="13">IF(H27=0,0,L27/H27)</f>
        <v>-1</v>
      </c>
      <c r="O27" s="10"/>
      <c r="P27" s="4">
        <f>SUM(OSRRefP16x_0)</f>
        <v>0</v>
      </c>
      <c r="Q27" s="4"/>
      <c r="R27" s="12">
        <f t="shared" ref="R27:R31" si="14">IF(P$12=0,0,P27/P$12)</f>
        <v>0</v>
      </c>
      <c r="S27" s="4"/>
      <c r="T27" s="4">
        <f>SUM(OSRRefT16x_0)</f>
        <v>1044.4499999999998</v>
      </c>
      <c r="U27" s="4"/>
      <c r="V27" s="12">
        <f t="shared" ref="V27:V31" si="15">IF(T$12=0,0,T27/T$12)</f>
        <v>0.11723419563614242</v>
      </c>
      <c r="W27" s="4"/>
      <c r="X27" s="4">
        <f t="shared" ref="X27:X31" si="16">+P27-T27</f>
        <v>-1044.4499999999998</v>
      </c>
      <c r="Y27" s="4"/>
      <c r="Z27" s="12">
        <f t="shared" ref="Z27:Z31" si="17">IF(T27=0,0,X27/T27)</f>
        <v>-1</v>
      </c>
    </row>
    <row r="28" spans="1:26" s="24" customFormat="1" hidden="1" outlineLevel="1" x14ac:dyDescent="0.25">
      <c r="A28" s="50"/>
      <c r="B28" s="11" t="str">
        <f>CONCATENATE("          ", "5092", " - ", "PURCHASES @ COST-GRAD MERCH")</f>
        <v xml:space="preserve">          5092 - PURCHASES @ COST-GRAD MERCH</v>
      </c>
      <c r="C28" s="11"/>
      <c r="D28" s="3"/>
      <c r="E28" s="3"/>
      <c r="F28" s="22">
        <f t="shared" si="10"/>
        <v>0</v>
      </c>
      <c r="G28" s="3"/>
      <c r="H28" s="3">
        <v>1228.5999999999999</v>
      </c>
      <c r="I28" s="3"/>
      <c r="J28" s="22">
        <f t="shared" si="11"/>
        <v>0.13790409570449957</v>
      </c>
      <c r="K28" s="3"/>
      <c r="L28" s="3">
        <f t="shared" si="12"/>
        <v>-1228.5999999999999</v>
      </c>
      <c r="M28" s="3"/>
      <c r="N28" s="22">
        <f t="shared" si="13"/>
        <v>-1</v>
      </c>
      <c r="O28" s="11"/>
      <c r="P28" s="3"/>
      <c r="Q28" s="3"/>
      <c r="R28" s="22">
        <f t="shared" si="14"/>
        <v>0</v>
      </c>
      <c r="S28" s="3"/>
      <c r="T28" s="3">
        <v>1228.5999999999999</v>
      </c>
      <c r="U28" s="3"/>
      <c r="V28" s="22">
        <f t="shared" si="15"/>
        <v>0.13790409570449957</v>
      </c>
      <c r="W28" s="3"/>
      <c r="X28" s="3">
        <f t="shared" si="16"/>
        <v>-1228.5999999999999</v>
      </c>
      <c r="Y28" s="3"/>
      <c r="Z28" s="22">
        <f t="shared" si="17"/>
        <v>-1</v>
      </c>
    </row>
    <row r="29" spans="1:26" s="24" customFormat="1" hidden="1" outlineLevel="1" x14ac:dyDescent="0.25">
      <c r="A29" s="50"/>
      <c r="B29" s="11" t="str">
        <f>CONCATENATE("          ", "5095", " - ", "PURCHASES @ COST-CUSTOMER SERV")</f>
        <v xml:space="preserve">          5095 - PURCHASES @ COST-CUSTOMER SERV</v>
      </c>
      <c r="C29" s="11"/>
      <c r="D29" s="3"/>
      <c r="E29" s="3"/>
      <c r="F29" s="22">
        <f t="shared" si="10"/>
        <v>0</v>
      </c>
      <c r="G29" s="3"/>
      <c r="H29" s="3">
        <v>11.85</v>
      </c>
      <c r="I29" s="3"/>
      <c r="J29" s="22">
        <f t="shared" si="11"/>
        <v>1.3301021765410386E-3</v>
      </c>
      <c r="K29" s="3"/>
      <c r="L29" s="3">
        <f t="shared" si="12"/>
        <v>-11.85</v>
      </c>
      <c r="M29" s="3"/>
      <c r="N29" s="22">
        <f t="shared" si="13"/>
        <v>-1</v>
      </c>
      <c r="O29" s="11"/>
      <c r="P29" s="3"/>
      <c r="Q29" s="3"/>
      <c r="R29" s="22">
        <f t="shared" si="14"/>
        <v>0</v>
      </c>
      <c r="S29" s="3"/>
      <c r="T29" s="3">
        <v>11.85</v>
      </c>
      <c r="U29" s="3"/>
      <c r="V29" s="22">
        <f t="shared" si="15"/>
        <v>1.3301021765410386E-3</v>
      </c>
      <c r="W29" s="3"/>
      <c r="X29" s="3">
        <f t="shared" si="16"/>
        <v>-11.85</v>
      </c>
      <c r="Y29" s="3"/>
      <c r="Z29" s="22">
        <f t="shared" si="17"/>
        <v>-1</v>
      </c>
    </row>
    <row r="30" spans="1:26" s="24" customFormat="1" hidden="1" outlineLevel="1" x14ac:dyDescent="0.25">
      <c r="A30" s="50"/>
      <c r="B30" s="11" t="str">
        <f>CONCATENATE("          ", "5200", " - ", "PURCHASES OFFSET")</f>
        <v xml:space="preserve">          5200 - PURCHASES OFFSET</v>
      </c>
      <c r="C30" s="11"/>
      <c r="D30" s="3"/>
      <c r="E30" s="3"/>
      <c r="F30" s="22">
        <f t="shared" si="10"/>
        <v>0</v>
      </c>
      <c r="G30" s="3"/>
      <c r="H30" s="3">
        <v>-1241</v>
      </c>
      <c r="I30" s="3"/>
      <c r="J30" s="22">
        <f t="shared" si="11"/>
        <v>-0.13929593258121764</v>
      </c>
      <c r="K30" s="3"/>
      <c r="L30" s="3">
        <f t="shared" si="12"/>
        <v>1241</v>
      </c>
      <c r="M30" s="3"/>
      <c r="N30" s="22">
        <f t="shared" si="13"/>
        <v>-1</v>
      </c>
      <c r="O30" s="11"/>
      <c r="P30" s="3"/>
      <c r="Q30" s="3"/>
      <c r="R30" s="22">
        <f t="shared" si="14"/>
        <v>0</v>
      </c>
      <c r="S30" s="3"/>
      <c r="T30" s="3">
        <v>-1241</v>
      </c>
      <c r="U30" s="3"/>
      <c r="V30" s="22">
        <f t="shared" si="15"/>
        <v>-0.13929593258121764</v>
      </c>
      <c r="W30" s="3"/>
      <c r="X30" s="3">
        <f t="shared" si="16"/>
        <v>1241</v>
      </c>
      <c r="Y30" s="3"/>
      <c r="Z30" s="22">
        <f t="shared" si="17"/>
        <v>-1</v>
      </c>
    </row>
    <row r="31" spans="1:26" s="24" customFormat="1" hidden="1" outlineLevel="1" x14ac:dyDescent="0.25">
      <c r="A31" s="50"/>
      <c r="B31" s="11" t="str">
        <f>CONCATENATE("          ", "5300", " - ", "COG$ OFFSET")</f>
        <v xml:space="preserve">          5300 - COG$ OFFSET</v>
      </c>
      <c r="C31" s="11"/>
      <c r="D31" s="3"/>
      <c r="E31" s="3"/>
      <c r="F31" s="22">
        <f t="shared" si="10"/>
        <v>0</v>
      </c>
      <c r="G31" s="3"/>
      <c r="H31" s="3">
        <v>1045</v>
      </c>
      <c r="I31" s="3"/>
      <c r="J31" s="22">
        <f t="shared" si="11"/>
        <v>0.11729593033631944</v>
      </c>
      <c r="K31" s="3"/>
      <c r="L31" s="3">
        <f t="shared" si="12"/>
        <v>-1045</v>
      </c>
      <c r="M31" s="3"/>
      <c r="N31" s="22">
        <f t="shared" si="13"/>
        <v>-1</v>
      </c>
      <c r="O31" s="11"/>
      <c r="P31" s="3"/>
      <c r="Q31" s="3"/>
      <c r="R31" s="22">
        <f t="shared" si="14"/>
        <v>0</v>
      </c>
      <c r="S31" s="3"/>
      <c r="T31" s="3">
        <v>1045</v>
      </c>
      <c r="U31" s="3"/>
      <c r="V31" s="22">
        <f t="shared" si="15"/>
        <v>0.11729593033631944</v>
      </c>
      <c r="W31" s="3"/>
      <c r="X31" s="3">
        <f t="shared" si="16"/>
        <v>-1045</v>
      </c>
      <c r="Y31" s="3"/>
      <c r="Z31" s="22">
        <f t="shared" si="17"/>
        <v>-1</v>
      </c>
    </row>
    <row r="32" spans="1:26" x14ac:dyDescent="0.25">
      <c r="A32" s="9"/>
      <c r="B32" s="10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10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10"/>
      <c r="B33" s="26" t="s">
        <v>6</v>
      </c>
      <c r="C33" s="26"/>
      <c r="D33" s="19">
        <f>D12-D27</f>
        <v>4847.87</v>
      </c>
      <c r="E33" s="13"/>
      <c r="F33" s="20">
        <f>IF(D$12=0,0,D33/D$12)</f>
        <v>1</v>
      </c>
      <c r="G33" s="13"/>
      <c r="H33" s="19">
        <f>H12-H27</f>
        <v>7864.6399999999985</v>
      </c>
      <c r="I33" s="13"/>
      <c r="J33" s="20">
        <f>IF(H$12=0,0,H33/H$12)</f>
        <v>0.88276580436385754</v>
      </c>
      <c r="K33" s="16"/>
      <c r="L33" s="19">
        <f>+D33-H33</f>
        <v>-3016.7699999999986</v>
      </c>
      <c r="M33" s="16"/>
      <c r="N33" s="20">
        <f>IF(H33=0,0,L33/H33)</f>
        <v>-0.38358653415795246</v>
      </c>
      <c r="O33" s="25"/>
      <c r="P33" s="19">
        <f>P12-P27</f>
        <v>4847.87</v>
      </c>
      <c r="Q33" s="13"/>
      <c r="R33" s="20">
        <f>IF(P$12=0,0,P33/P$12)</f>
        <v>1</v>
      </c>
      <c r="S33" s="13"/>
      <c r="T33" s="19">
        <f>T12-T27</f>
        <v>7864.6399999999985</v>
      </c>
      <c r="U33" s="13"/>
      <c r="V33" s="20">
        <f>IF(T$12=0,0,T33/T$12)</f>
        <v>0.88276580436385754</v>
      </c>
      <c r="W33" s="16"/>
      <c r="X33" s="19">
        <f>+P33-T33</f>
        <v>-3016.7699999999986</v>
      </c>
      <c r="Y33" s="16"/>
      <c r="Z33" s="20">
        <f>IF(T33=0,0,X33/T33)</f>
        <v>-0.38358653415795246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5" t="s">
        <v>9</v>
      </c>
      <c r="C35" s="10"/>
      <c r="D35" s="21">
        <f>SUM(OSRRefD22x_0)</f>
        <v>49153.950000000004</v>
      </c>
      <c r="E35" s="21"/>
      <c r="F35" s="34">
        <f t="shared" ref="F35:F44" si="18">IF(D$12=0,0,D35/D$12)</f>
        <v>10.139287975956453</v>
      </c>
      <c r="G35" s="21"/>
      <c r="H35" s="21">
        <f>SUM(OSRRefH22x_0)</f>
        <v>34743.360000000001</v>
      </c>
      <c r="I35" s="21"/>
      <c r="J35" s="34">
        <f t="shared" ref="J35:J44" si="19">IF(H$12=0,0,H35/H$12)</f>
        <v>3.8997652958944187</v>
      </c>
      <c r="K35" s="4"/>
      <c r="L35" s="21">
        <f t="shared" ref="L35:L44" si="20">+D35-H35</f>
        <v>14410.590000000004</v>
      </c>
      <c r="M35" s="4"/>
      <c r="N35" s="34">
        <f t="shared" ref="N35:N44" si="21">IF(H35=0,0,L35/H35)</f>
        <v>0.41477249177972436</v>
      </c>
      <c r="O35" s="10"/>
      <c r="P35" s="21">
        <f>SUM(OSRRefP22x_0)</f>
        <v>49153.950000000004</v>
      </c>
      <c r="Q35" s="21"/>
      <c r="R35" s="34">
        <f t="shared" ref="R35:R44" si="22">IF(P$12=0,0,P35/P$12)</f>
        <v>10.139287975956453</v>
      </c>
      <c r="S35" s="21"/>
      <c r="T35" s="21">
        <f>SUM(OSRRefT22x_0)</f>
        <v>34743.360000000001</v>
      </c>
      <c r="U35" s="21"/>
      <c r="V35" s="34">
        <f t="shared" ref="V35:V44" si="23">IF(T$12=0,0,T35/T$12)</f>
        <v>3.8997652958944187</v>
      </c>
      <c r="W35" s="4"/>
      <c r="X35" s="21">
        <f t="shared" ref="X35:X44" si="24">+P35-T35</f>
        <v>14410.590000000004</v>
      </c>
      <c r="Y35" s="4"/>
      <c r="Z35" s="34">
        <f t="shared" ref="Z35:Z44" si="25">IF(T35=0,0,X35/T35)</f>
        <v>0.41477249177972436</v>
      </c>
    </row>
    <row r="36" spans="1:26" s="27" customFormat="1" outlineLevel="1" collapsed="1" x14ac:dyDescent="0.25">
      <c r="A36" s="28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7930.28</v>
      </c>
      <c r="E36" s="1"/>
      <c r="F36" s="5">
        <f t="shared" si="18"/>
        <v>1.6358276933993692</v>
      </c>
      <c r="G36" s="1"/>
      <c r="H36" s="1">
        <f>SUM(OSRRefH22_0x_0)</f>
        <v>7908.2500000000009</v>
      </c>
      <c r="I36" s="1"/>
      <c r="J36" s="5">
        <f t="shared" si="19"/>
        <v>0.88766080486334775</v>
      </c>
      <c r="K36" s="1"/>
      <c r="L36" s="1">
        <f t="shared" si="20"/>
        <v>22.029999999998836</v>
      </c>
      <c r="M36" s="1"/>
      <c r="N36" s="5">
        <f t="shared" si="21"/>
        <v>2.7856984794358843E-3</v>
      </c>
      <c r="O36" s="14"/>
      <c r="P36" s="1">
        <f>SUM(OSRRefP22_0x_0)</f>
        <v>7930.28</v>
      </c>
      <c r="Q36" s="1"/>
      <c r="R36" s="5">
        <f t="shared" si="22"/>
        <v>1.6358276933993692</v>
      </c>
      <c r="S36" s="1"/>
      <c r="T36" s="1">
        <f>SUM(OSRRefT22_0x_0)</f>
        <v>7908.2500000000009</v>
      </c>
      <c r="U36" s="1"/>
      <c r="V36" s="5">
        <f t="shared" si="23"/>
        <v>0.88766080486334775</v>
      </c>
      <c r="W36" s="1"/>
      <c r="X36" s="1">
        <f t="shared" si="24"/>
        <v>22.029999999998836</v>
      </c>
      <c r="Y36" s="1"/>
      <c r="Z36" s="5">
        <f t="shared" si="25"/>
        <v>2.7856984794358843E-3</v>
      </c>
    </row>
    <row r="37" spans="1:26" s="24" customFormat="1" hidden="1" outlineLevel="2" x14ac:dyDescent="0.25">
      <c r="A37" s="29"/>
      <c r="B37" s="11" t="str">
        <f>CONCATENATE("          ", "6111", " - ", "F.I.C.A.")</f>
        <v xml:space="preserve">          6111 - F.I.C.A.</v>
      </c>
      <c r="C37" s="11"/>
      <c r="D37" s="8">
        <v>1043.3599999999999</v>
      </c>
      <c r="E37" s="3"/>
      <c r="F37" s="7">
        <f t="shared" si="18"/>
        <v>0.21522029262335829</v>
      </c>
      <c r="G37" s="3"/>
      <c r="H37" s="8">
        <v>1126.8</v>
      </c>
      <c r="I37" s="3"/>
      <c r="J37" s="7">
        <f t="shared" si="19"/>
        <v>0.12647756392628204</v>
      </c>
      <c r="K37" s="3"/>
      <c r="L37" s="8">
        <f t="shared" si="20"/>
        <v>-83.440000000000055</v>
      </c>
      <c r="M37" s="3"/>
      <c r="N37" s="7">
        <f t="shared" si="21"/>
        <v>-7.4050408235711795E-2</v>
      </c>
      <c r="O37" s="11"/>
      <c r="P37" s="8">
        <v>1043.3599999999999</v>
      </c>
      <c r="Q37" s="3"/>
      <c r="R37" s="7">
        <f t="shared" si="22"/>
        <v>0.21522029262335829</v>
      </c>
      <c r="S37" s="3"/>
      <c r="T37" s="8">
        <v>1126.8</v>
      </c>
      <c r="U37" s="3"/>
      <c r="V37" s="7">
        <f t="shared" si="23"/>
        <v>0.12647756392628204</v>
      </c>
      <c r="W37" s="3"/>
      <c r="X37" s="8">
        <f t="shared" si="24"/>
        <v>-83.440000000000055</v>
      </c>
      <c r="Y37" s="3"/>
      <c r="Z37" s="7">
        <f t="shared" si="25"/>
        <v>-7.4050408235711795E-2</v>
      </c>
    </row>
    <row r="38" spans="1:26" s="24" customFormat="1" hidden="1" outlineLevel="2" x14ac:dyDescent="0.25">
      <c r="A38" s="29"/>
      <c r="B38" s="11" t="str">
        <f>CONCATENATE("          ", "6112", " - ", "COMPENSATION INSURANCE")</f>
        <v xml:space="preserve">          6112 - COMPENSATION INSURANCE</v>
      </c>
      <c r="C38" s="11"/>
      <c r="D38" s="8">
        <v>293.61</v>
      </c>
      <c r="E38" s="3"/>
      <c r="F38" s="7">
        <f t="shared" si="18"/>
        <v>6.056474286645476E-2</v>
      </c>
      <c r="G38" s="3"/>
      <c r="H38" s="8">
        <v>178.47</v>
      </c>
      <c r="I38" s="3"/>
      <c r="J38" s="7">
        <f t="shared" si="19"/>
        <v>2.0032348982892759E-2</v>
      </c>
      <c r="K38" s="3"/>
      <c r="L38" s="8">
        <f t="shared" si="20"/>
        <v>115.14000000000001</v>
      </c>
      <c r="M38" s="3"/>
      <c r="N38" s="7">
        <f t="shared" si="21"/>
        <v>0.64515044545301736</v>
      </c>
      <c r="O38" s="11"/>
      <c r="P38" s="8">
        <v>293.61</v>
      </c>
      <c r="Q38" s="3"/>
      <c r="R38" s="7">
        <f t="shared" si="22"/>
        <v>6.056474286645476E-2</v>
      </c>
      <c r="S38" s="3"/>
      <c r="T38" s="8">
        <v>178.47</v>
      </c>
      <c r="U38" s="3"/>
      <c r="V38" s="7">
        <f t="shared" si="23"/>
        <v>2.0032348982892759E-2</v>
      </c>
      <c r="W38" s="3"/>
      <c r="X38" s="8">
        <f t="shared" si="24"/>
        <v>115.14000000000001</v>
      </c>
      <c r="Y38" s="3"/>
      <c r="Z38" s="7">
        <f t="shared" si="25"/>
        <v>0.64515044545301736</v>
      </c>
    </row>
    <row r="39" spans="1:26" s="24" customFormat="1" hidden="1" outlineLevel="2" x14ac:dyDescent="0.25">
      <c r="A39" s="29"/>
      <c r="B39" s="11" t="str">
        <f>CONCATENATE("          ", "6113", " - ", "GROUP INSURANCE")</f>
        <v xml:space="preserve">          6113 - GROUP INSURANCE</v>
      </c>
      <c r="C39" s="11"/>
      <c r="D39" s="8">
        <v>2724.48</v>
      </c>
      <c r="E39" s="3"/>
      <c r="F39" s="7">
        <f t="shared" si="18"/>
        <v>0.56199526802492639</v>
      </c>
      <c r="G39" s="3"/>
      <c r="H39" s="8">
        <v>2741.79</v>
      </c>
      <c r="I39" s="3"/>
      <c r="J39" s="7">
        <f t="shared" si="19"/>
        <v>0.30775197017877254</v>
      </c>
      <c r="K39" s="3"/>
      <c r="L39" s="8">
        <f t="shared" si="20"/>
        <v>-17.309999999999945</v>
      </c>
      <c r="M39" s="3"/>
      <c r="N39" s="7">
        <f t="shared" si="21"/>
        <v>-6.3133938047771516E-3</v>
      </c>
      <c r="O39" s="11"/>
      <c r="P39" s="8">
        <v>2724.48</v>
      </c>
      <c r="Q39" s="3"/>
      <c r="R39" s="7">
        <f t="shared" si="22"/>
        <v>0.56199526802492639</v>
      </c>
      <c r="S39" s="3"/>
      <c r="T39" s="8">
        <v>2741.79</v>
      </c>
      <c r="U39" s="3"/>
      <c r="V39" s="7">
        <f t="shared" si="23"/>
        <v>0.30775197017877254</v>
      </c>
      <c r="W39" s="3"/>
      <c r="X39" s="8">
        <f t="shared" si="24"/>
        <v>-17.309999999999945</v>
      </c>
      <c r="Y39" s="3"/>
      <c r="Z39" s="7">
        <f t="shared" si="25"/>
        <v>-6.3133938047771516E-3</v>
      </c>
    </row>
    <row r="40" spans="1:26" s="24" customFormat="1" hidden="1" outlineLevel="2" x14ac:dyDescent="0.25">
      <c r="A40" s="29"/>
      <c r="B40" s="11" t="str">
        <f>CONCATENATE("          ", "6114", " - ", "STATE UNEMPLOYMENT INSURANCE")</f>
        <v xml:space="preserve">          6114 - STATE UNEMPLOYMENT INSURANCE</v>
      </c>
      <c r="C40" s="11"/>
      <c r="D40" s="8">
        <v>41.26</v>
      </c>
      <c r="E40" s="3"/>
      <c r="F40" s="7">
        <f t="shared" si="18"/>
        <v>8.5109542953915839E-3</v>
      </c>
      <c r="G40" s="3"/>
      <c r="H40" s="8">
        <v>38.78</v>
      </c>
      <c r="I40" s="3"/>
      <c r="J40" s="7">
        <f t="shared" si="19"/>
        <v>4.3528575870262851E-3</v>
      </c>
      <c r="K40" s="3"/>
      <c r="L40" s="8">
        <f t="shared" si="20"/>
        <v>2.4799999999999969</v>
      </c>
      <c r="M40" s="3"/>
      <c r="N40" s="7">
        <f t="shared" si="21"/>
        <v>6.3950489943269642E-2</v>
      </c>
      <c r="O40" s="11"/>
      <c r="P40" s="8">
        <v>41.26</v>
      </c>
      <c r="Q40" s="3"/>
      <c r="R40" s="7">
        <f t="shared" si="22"/>
        <v>8.5109542953915839E-3</v>
      </c>
      <c r="S40" s="3"/>
      <c r="T40" s="8">
        <v>38.78</v>
      </c>
      <c r="U40" s="3"/>
      <c r="V40" s="7">
        <f t="shared" si="23"/>
        <v>4.3528575870262851E-3</v>
      </c>
      <c r="W40" s="3"/>
      <c r="X40" s="8">
        <f t="shared" si="24"/>
        <v>2.4799999999999969</v>
      </c>
      <c r="Y40" s="3"/>
      <c r="Z40" s="7">
        <f t="shared" si="25"/>
        <v>6.3950489943269642E-2</v>
      </c>
    </row>
    <row r="41" spans="1:26" s="24" customFormat="1" hidden="1" outlineLevel="2" x14ac:dyDescent="0.25">
      <c r="A41" s="29"/>
      <c r="B41" s="11" t="str">
        <f>CONCATENATE("          ", "6115", " - ", "P.E.R.S.")</f>
        <v xml:space="preserve">          6115 - P.E.R.S.</v>
      </c>
      <c r="C41" s="11"/>
      <c r="D41" s="8">
        <v>2066.46</v>
      </c>
      <c r="E41" s="3"/>
      <c r="F41" s="7">
        <f t="shared" si="18"/>
        <v>0.42626143027762708</v>
      </c>
      <c r="G41" s="3"/>
      <c r="H41" s="8">
        <v>1156.69</v>
      </c>
      <c r="I41" s="3"/>
      <c r="J41" s="7">
        <f t="shared" si="19"/>
        <v>0.12983256426862905</v>
      </c>
      <c r="K41" s="3"/>
      <c r="L41" s="8">
        <f t="shared" si="20"/>
        <v>909.77</v>
      </c>
      <c r="M41" s="3"/>
      <c r="N41" s="7">
        <f t="shared" si="21"/>
        <v>0.78652880201263942</v>
      </c>
      <c r="O41" s="11"/>
      <c r="P41" s="8">
        <v>2066.46</v>
      </c>
      <c r="Q41" s="3"/>
      <c r="R41" s="7">
        <f t="shared" si="22"/>
        <v>0.42626143027762708</v>
      </c>
      <c r="S41" s="3"/>
      <c r="T41" s="8">
        <v>1156.69</v>
      </c>
      <c r="U41" s="3"/>
      <c r="V41" s="7">
        <f t="shared" si="23"/>
        <v>0.12983256426862905</v>
      </c>
      <c r="W41" s="3"/>
      <c r="X41" s="8">
        <f t="shared" si="24"/>
        <v>909.77</v>
      </c>
      <c r="Y41" s="3"/>
      <c r="Z41" s="7">
        <f t="shared" si="25"/>
        <v>0.78652880201263942</v>
      </c>
    </row>
    <row r="42" spans="1:26" s="24" customFormat="1" hidden="1" outlineLevel="2" x14ac:dyDescent="0.25">
      <c r="A42" s="29"/>
      <c r="B42" s="11" t="str">
        <f>CONCATENATE("          ", "6118", " - ", "VACATION")</f>
        <v xml:space="preserve">          6118 - VACATION</v>
      </c>
      <c r="C42" s="11"/>
      <c r="D42" s="8">
        <v>978.88</v>
      </c>
      <c r="E42" s="3"/>
      <c r="F42" s="7">
        <f t="shared" si="18"/>
        <v>0.201919605930027</v>
      </c>
      <c r="G42" s="3"/>
      <c r="H42" s="8">
        <v>1532.28</v>
      </c>
      <c r="I42" s="3"/>
      <c r="J42" s="7">
        <f t="shared" si="19"/>
        <v>0.17199062979496224</v>
      </c>
      <c r="K42" s="3"/>
      <c r="L42" s="8">
        <f t="shared" si="20"/>
        <v>-553.4</v>
      </c>
      <c r="M42" s="3"/>
      <c r="N42" s="7">
        <f t="shared" si="21"/>
        <v>-0.36116114548254885</v>
      </c>
      <c r="O42" s="11"/>
      <c r="P42" s="8">
        <v>978.88</v>
      </c>
      <c r="Q42" s="3"/>
      <c r="R42" s="7">
        <f t="shared" si="22"/>
        <v>0.201919605930027</v>
      </c>
      <c r="S42" s="3"/>
      <c r="T42" s="8">
        <v>1532.28</v>
      </c>
      <c r="U42" s="3"/>
      <c r="V42" s="7">
        <f t="shared" si="23"/>
        <v>0.17199062979496224</v>
      </c>
      <c r="W42" s="3"/>
      <c r="X42" s="8">
        <f t="shared" si="24"/>
        <v>-553.4</v>
      </c>
      <c r="Y42" s="3"/>
      <c r="Z42" s="7">
        <f t="shared" si="25"/>
        <v>-0.36116114548254885</v>
      </c>
    </row>
    <row r="43" spans="1:26" s="24" customFormat="1" hidden="1" outlineLevel="2" x14ac:dyDescent="0.25">
      <c r="A43" s="29"/>
      <c r="B43" s="11" t="str">
        <f>CONCATENATE("          ", "6119", " - ", "SICK LEAVE")</f>
        <v xml:space="preserve">          6119 - SICK LEAVE</v>
      </c>
      <c r="C43" s="11"/>
      <c r="D43" s="8">
        <v>632.52</v>
      </c>
      <c r="E43" s="3"/>
      <c r="F43" s="7">
        <f t="shared" si="18"/>
        <v>0.13047379570821824</v>
      </c>
      <c r="G43" s="3"/>
      <c r="H43" s="8">
        <v>891.06</v>
      </c>
      <c r="I43" s="3"/>
      <c r="J43" s="7">
        <f t="shared" si="19"/>
        <v>0.10001694898132134</v>
      </c>
      <c r="K43" s="3"/>
      <c r="L43" s="8">
        <f t="shared" si="20"/>
        <v>-258.53999999999996</v>
      </c>
      <c r="M43" s="3"/>
      <c r="N43" s="7">
        <f t="shared" si="21"/>
        <v>-0.29014881152784322</v>
      </c>
      <c r="O43" s="11"/>
      <c r="P43" s="8">
        <v>632.52</v>
      </c>
      <c r="Q43" s="3"/>
      <c r="R43" s="7">
        <f t="shared" si="22"/>
        <v>0.13047379570821824</v>
      </c>
      <c r="S43" s="3"/>
      <c r="T43" s="8">
        <v>891.06</v>
      </c>
      <c r="U43" s="3"/>
      <c r="V43" s="7">
        <f t="shared" si="23"/>
        <v>0.10001694898132134</v>
      </c>
      <c r="W43" s="3"/>
      <c r="X43" s="8">
        <f t="shared" si="24"/>
        <v>-258.53999999999996</v>
      </c>
      <c r="Y43" s="3"/>
      <c r="Z43" s="7">
        <f t="shared" si="25"/>
        <v>-0.29014881152784322</v>
      </c>
    </row>
    <row r="44" spans="1:26" s="24" customFormat="1" hidden="1" outlineLevel="2" x14ac:dyDescent="0.25">
      <c r="A44" s="29"/>
      <c r="B44" s="11" t="str">
        <f>CONCATENATE("          ", "6156", " - ", "EMPLOYEE MEALS")</f>
        <v xml:space="preserve">          6156 - EMPLOYEE MEALS</v>
      </c>
      <c r="C44" s="11"/>
      <c r="D44" s="8">
        <v>149.71</v>
      </c>
      <c r="E44" s="3"/>
      <c r="F44" s="7">
        <f t="shared" si="18"/>
        <v>3.0881603673365832E-2</v>
      </c>
      <c r="G44" s="3"/>
      <c r="H44" s="8">
        <v>242.38</v>
      </c>
      <c r="I44" s="3"/>
      <c r="J44" s="7">
        <f t="shared" si="19"/>
        <v>2.7205921143461344E-2</v>
      </c>
      <c r="K44" s="3"/>
      <c r="L44" s="8">
        <f t="shared" si="20"/>
        <v>-92.669999999999987</v>
      </c>
      <c r="M44" s="3"/>
      <c r="N44" s="7">
        <f t="shared" si="21"/>
        <v>-0.38233352586847097</v>
      </c>
      <c r="O44" s="11"/>
      <c r="P44" s="8">
        <v>149.71</v>
      </c>
      <c r="Q44" s="3"/>
      <c r="R44" s="7">
        <f t="shared" si="22"/>
        <v>3.0881603673365832E-2</v>
      </c>
      <c r="S44" s="3"/>
      <c r="T44" s="8">
        <v>242.38</v>
      </c>
      <c r="U44" s="3"/>
      <c r="V44" s="7">
        <f t="shared" si="23"/>
        <v>2.7205921143461344E-2</v>
      </c>
      <c r="W44" s="3"/>
      <c r="X44" s="8">
        <f t="shared" si="24"/>
        <v>-92.669999999999987</v>
      </c>
      <c r="Y44" s="3"/>
      <c r="Z44" s="7">
        <f t="shared" si="25"/>
        <v>-0.38233352586847097</v>
      </c>
    </row>
    <row r="45" spans="1:26" s="27" customFormat="1" outlineLevel="1" collapsed="1" x14ac:dyDescent="0.25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15059.94</v>
      </c>
      <c r="E45" s="1"/>
      <c r="F45" s="5">
        <f t="shared" ref="F45:F48" si="26">IF(D$12=0,0,D45/D$12)</f>
        <v>3.1065065688642641</v>
      </c>
      <c r="G45" s="1"/>
      <c r="H45" s="1">
        <f>SUM(OSRRefH22_1x_0)</f>
        <v>17921.870000000003</v>
      </c>
      <c r="I45" s="1"/>
      <c r="J45" s="5">
        <f t="shared" ref="J45:J48" si="27">IF(H$12=0,0,H45/H$12)</f>
        <v>2.0116386746570081</v>
      </c>
      <c r="K45" s="1"/>
      <c r="L45" s="1">
        <f t="shared" ref="L45:L48" si="28">+D45-H45</f>
        <v>-2861.9300000000021</v>
      </c>
      <c r="M45" s="1"/>
      <c r="N45" s="5">
        <f t="shared" ref="N45:N48" si="29">IF(H45=0,0,L45/H45)</f>
        <v>-0.1596892511774721</v>
      </c>
      <c r="O45" s="14"/>
      <c r="P45" s="1">
        <f>SUM(OSRRefP22_1x_0)</f>
        <v>15059.94</v>
      </c>
      <c r="Q45" s="1"/>
      <c r="R45" s="5">
        <f t="shared" ref="R45:R48" si="30">IF(P$12=0,0,P45/P$12)</f>
        <v>3.1065065688642641</v>
      </c>
      <c r="S45" s="1"/>
      <c r="T45" s="1">
        <f>SUM(OSRRefT22_1x_0)</f>
        <v>17921.870000000003</v>
      </c>
      <c r="U45" s="1"/>
      <c r="V45" s="5">
        <f t="shared" ref="V45:V48" si="31">IF(T$12=0,0,T45/T$12)</f>
        <v>2.0116386746570081</v>
      </c>
      <c r="W45" s="1"/>
      <c r="X45" s="1">
        <f t="shared" ref="X45:X48" si="32">+P45-T45</f>
        <v>-2861.9300000000021</v>
      </c>
      <c r="Y45" s="1"/>
      <c r="Z45" s="5">
        <f t="shared" ref="Z45:Z48" si="33">IF(T45=0,0,X45/T45)</f>
        <v>-0.1596892511774721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8">
        <v>15059.94</v>
      </c>
      <c r="E46" s="3"/>
      <c r="F46" s="7">
        <f t="shared" si="26"/>
        <v>3.1065065688642641</v>
      </c>
      <c r="G46" s="3"/>
      <c r="H46" s="8">
        <v>13674.37</v>
      </c>
      <c r="I46" s="3"/>
      <c r="J46" s="7">
        <f t="shared" si="27"/>
        <v>1.53487842192637</v>
      </c>
      <c r="K46" s="3"/>
      <c r="L46" s="8">
        <f t="shared" si="28"/>
        <v>1385.5699999999997</v>
      </c>
      <c r="M46" s="3"/>
      <c r="N46" s="7">
        <f t="shared" si="29"/>
        <v>0.10132605743445582</v>
      </c>
      <c r="O46" s="11"/>
      <c r="P46" s="8">
        <v>15059.94</v>
      </c>
      <c r="Q46" s="3"/>
      <c r="R46" s="7">
        <f t="shared" si="30"/>
        <v>3.1065065688642641</v>
      </c>
      <c r="S46" s="3"/>
      <c r="T46" s="8">
        <v>13674.37</v>
      </c>
      <c r="U46" s="3"/>
      <c r="V46" s="7">
        <f t="shared" si="31"/>
        <v>1.53487842192637</v>
      </c>
      <c r="W46" s="3"/>
      <c r="X46" s="8">
        <f t="shared" si="32"/>
        <v>1385.5699999999997</v>
      </c>
      <c r="Y46" s="3"/>
      <c r="Z46" s="7">
        <f t="shared" si="33"/>
        <v>0.10132605743445582</v>
      </c>
    </row>
    <row r="47" spans="1:26" s="24" customFormat="1" hidden="1" outlineLevel="2" x14ac:dyDescent="0.25">
      <c r="A47" s="29"/>
      <c r="B47" s="11" t="str">
        <f>CONCATENATE("          ", "6005", " - ", "TEMPORARY WAGES-HOURLY")</f>
        <v xml:space="preserve">          6005 - TEMPORARY WAGES-HOURLY</v>
      </c>
      <c r="C47" s="11"/>
      <c r="D47" s="8"/>
      <c r="E47" s="3"/>
      <c r="F47" s="7">
        <f t="shared" si="26"/>
        <v>0</v>
      </c>
      <c r="G47" s="3"/>
      <c r="H47" s="8">
        <v>987</v>
      </c>
      <c r="I47" s="3"/>
      <c r="J47" s="7">
        <f t="shared" si="27"/>
        <v>0.11078572559038018</v>
      </c>
      <c r="K47" s="3"/>
      <c r="L47" s="8">
        <f t="shared" si="28"/>
        <v>-987</v>
      </c>
      <c r="M47" s="3"/>
      <c r="N47" s="7">
        <f t="shared" si="29"/>
        <v>-1</v>
      </c>
      <c r="O47" s="11"/>
      <c r="P47" s="8"/>
      <c r="Q47" s="3"/>
      <c r="R47" s="7">
        <f t="shared" si="30"/>
        <v>0</v>
      </c>
      <c r="S47" s="3"/>
      <c r="T47" s="8">
        <v>987</v>
      </c>
      <c r="U47" s="3"/>
      <c r="V47" s="7">
        <f t="shared" si="31"/>
        <v>0.11078572559038018</v>
      </c>
      <c r="W47" s="3"/>
      <c r="X47" s="8">
        <f t="shared" si="32"/>
        <v>-987</v>
      </c>
      <c r="Y47" s="3"/>
      <c r="Z47" s="7">
        <f t="shared" si="33"/>
        <v>-1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8"/>
      <c r="E48" s="3"/>
      <c r="F48" s="7">
        <f t="shared" si="26"/>
        <v>0</v>
      </c>
      <c r="G48" s="3"/>
      <c r="H48" s="8">
        <v>3260.5</v>
      </c>
      <c r="I48" s="3"/>
      <c r="J48" s="7">
        <f t="shared" si="27"/>
        <v>0.36597452714025797</v>
      </c>
      <c r="K48" s="3"/>
      <c r="L48" s="8">
        <f t="shared" si="28"/>
        <v>-3260.5</v>
      </c>
      <c r="M48" s="3"/>
      <c r="N48" s="7">
        <f t="shared" si="29"/>
        <v>-1</v>
      </c>
      <c r="O48" s="11"/>
      <c r="P48" s="8"/>
      <c r="Q48" s="3"/>
      <c r="R48" s="7">
        <f t="shared" si="30"/>
        <v>0</v>
      </c>
      <c r="S48" s="3"/>
      <c r="T48" s="8">
        <v>3260.5</v>
      </c>
      <c r="U48" s="3"/>
      <c r="V48" s="7">
        <f t="shared" si="31"/>
        <v>0.36597452714025797</v>
      </c>
      <c r="W48" s="3"/>
      <c r="X48" s="8">
        <f t="shared" si="32"/>
        <v>-3260.5</v>
      </c>
      <c r="Y48" s="3"/>
      <c r="Z48" s="7">
        <f t="shared" si="33"/>
        <v>-1</v>
      </c>
    </row>
    <row r="49" spans="1:26" s="27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SUM(OSRRefD22_2x_0)</f>
        <v>169.88</v>
      </c>
      <c r="E49" s="1"/>
      <c r="F49" s="5">
        <f t="shared" ref="F49:F57" si="34">IF(D$12=0,0,D49/D$12)</f>
        <v>3.5042193788199769E-2</v>
      </c>
      <c r="G49" s="1"/>
      <c r="H49" s="1">
        <f>SUM(OSRRefH22_2x_0)</f>
        <v>0</v>
      </c>
      <c r="I49" s="1"/>
      <c r="J49" s="5">
        <f t="shared" ref="J49:J57" si="35">IF(H$12=0,0,H49/H$12)</f>
        <v>0</v>
      </c>
      <c r="K49" s="1"/>
      <c r="L49" s="1">
        <f t="shared" ref="L49:L57" si="36">+D49-H49</f>
        <v>169.88</v>
      </c>
      <c r="M49" s="1"/>
      <c r="N49" s="5">
        <f t="shared" ref="N49:N57" si="37">IF(H49=0,0,L49/H49)</f>
        <v>0</v>
      </c>
      <c r="O49" s="14"/>
      <c r="P49" s="1">
        <f>SUM(OSRRefP22_2x_0)</f>
        <v>169.88</v>
      </c>
      <c r="Q49" s="1"/>
      <c r="R49" s="5">
        <f t="shared" ref="R49:R57" si="38">IF(P$12=0,0,P49/P$12)</f>
        <v>3.5042193788199769E-2</v>
      </c>
      <c r="S49" s="1"/>
      <c r="T49" s="1">
        <f>SUM(OSRRefT22_2x_0)</f>
        <v>0</v>
      </c>
      <c r="U49" s="1"/>
      <c r="V49" s="5">
        <f t="shared" ref="V49:V57" si="39">IF(T$12=0,0,T49/T$12)</f>
        <v>0</v>
      </c>
      <c r="W49" s="1"/>
      <c r="X49" s="1">
        <f t="shared" ref="X49:X57" si="40">+P49-T49</f>
        <v>169.88</v>
      </c>
      <c r="Y49" s="1"/>
      <c r="Z49" s="5">
        <f t="shared" ref="Z49:Z57" si="41">IF(T49=0,0,X49/T49)</f>
        <v>0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8">
        <v>169.88</v>
      </c>
      <c r="E50" s="3"/>
      <c r="F50" s="7">
        <f t="shared" si="34"/>
        <v>3.5042193788199769E-2</v>
      </c>
      <c r="G50" s="3"/>
      <c r="H50" s="8"/>
      <c r="I50" s="3"/>
      <c r="J50" s="7">
        <f t="shared" si="35"/>
        <v>0</v>
      </c>
      <c r="K50" s="3"/>
      <c r="L50" s="8">
        <f t="shared" si="36"/>
        <v>169.88</v>
      </c>
      <c r="M50" s="3"/>
      <c r="N50" s="7">
        <f t="shared" si="37"/>
        <v>0</v>
      </c>
      <c r="O50" s="11"/>
      <c r="P50" s="8">
        <v>169.88</v>
      </c>
      <c r="Q50" s="3"/>
      <c r="R50" s="7">
        <f t="shared" si="38"/>
        <v>3.5042193788199769E-2</v>
      </c>
      <c r="S50" s="3"/>
      <c r="T50" s="8"/>
      <c r="U50" s="3"/>
      <c r="V50" s="7">
        <f t="shared" si="39"/>
        <v>0</v>
      </c>
      <c r="W50" s="3"/>
      <c r="X50" s="8">
        <f t="shared" si="40"/>
        <v>169.88</v>
      </c>
      <c r="Y50" s="3"/>
      <c r="Z50" s="7">
        <f t="shared" si="41"/>
        <v>0</v>
      </c>
    </row>
    <row r="51" spans="1:26" s="27" customFormat="1" outlineLevel="1" collapsed="1" x14ac:dyDescent="0.25">
      <c r="A51" s="28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SUM(OSRRefD22_3x_0)</f>
        <v>0</v>
      </c>
      <c r="E51" s="1"/>
      <c r="F51" s="5">
        <f t="shared" si="34"/>
        <v>0</v>
      </c>
      <c r="G51" s="1"/>
      <c r="H51" s="1">
        <f>SUM(OSRRefH22_3x_0)</f>
        <v>68.47</v>
      </c>
      <c r="I51" s="1"/>
      <c r="J51" s="5">
        <f t="shared" si="35"/>
        <v>7.6854089474907104E-3</v>
      </c>
      <c r="K51" s="1"/>
      <c r="L51" s="1">
        <f t="shared" si="36"/>
        <v>-68.47</v>
      </c>
      <c r="M51" s="1"/>
      <c r="N51" s="5">
        <f t="shared" si="37"/>
        <v>-1</v>
      </c>
      <c r="O51" s="14"/>
      <c r="P51" s="1">
        <f>SUM(OSRRefP22_3x_0)</f>
        <v>0</v>
      </c>
      <c r="Q51" s="1"/>
      <c r="R51" s="5">
        <f t="shared" si="38"/>
        <v>0</v>
      </c>
      <c r="S51" s="1"/>
      <c r="T51" s="1">
        <f>SUM(OSRRefT22_3x_0)</f>
        <v>68.47</v>
      </c>
      <c r="U51" s="1"/>
      <c r="V51" s="5">
        <f t="shared" si="39"/>
        <v>7.6854089474907104E-3</v>
      </c>
      <c r="W51" s="1"/>
      <c r="X51" s="1">
        <f t="shared" si="40"/>
        <v>-68.47</v>
      </c>
      <c r="Y51" s="1"/>
      <c r="Z51" s="5">
        <f t="shared" si="41"/>
        <v>-1</v>
      </c>
    </row>
    <row r="52" spans="1:26" s="24" customFormat="1" hidden="1" outlineLevel="2" x14ac:dyDescent="0.25">
      <c r="A52" s="29"/>
      <c r="B52" s="11" t="str">
        <f>CONCATENATE("          ", "6382", " - ", "DISCOUNTS/MARK DOWNS")</f>
        <v xml:space="preserve">          6382 - DISCOUNTS/MARK DOWNS</v>
      </c>
      <c r="C52" s="11"/>
      <c r="D52" s="8"/>
      <c r="E52" s="3"/>
      <c r="F52" s="7">
        <f t="shared" si="34"/>
        <v>0</v>
      </c>
      <c r="G52" s="3"/>
      <c r="H52" s="8">
        <v>68.47</v>
      </c>
      <c r="I52" s="3"/>
      <c r="J52" s="7">
        <f t="shared" si="35"/>
        <v>7.6854089474907104E-3</v>
      </c>
      <c r="K52" s="3"/>
      <c r="L52" s="8">
        <f t="shared" si="36"/>
        <v>-68.47</v>
      </c>
      <c r="M52" s="3"/>
      <c r="N52" s="7">
        <f t="shared" si="37"/>
        <v>-1</v>
      </c>
      <c r="O52" s="11"/>
      <c r="P52" s="8"/>
      <c r="Q52" s="3"/>
      <c r="R52" s="7">
        <f t="shared" si="38"/>
        <v>0</v>
      </c>
      <c r="S52" s="3"/>
      <c r="T52" s="8">
        <v>68.47</v>
      </c>
      <c r="U52" s="3"/>
      <c r="V52" s="7">
        <f t="shared" si="39"/>
        <v>7.6854089474907104E-3</v>
      </c>
      <c r="W52" s="3"/>
      <c r="X52" s="8">
        <f t="shared" si="40"/>
        <v>-68.47</v>
      </c>
      <c r="Y52" s="3"/>
      <c r="Z52" s="7">
        <f t="shared" si="41"/>
        <v>-1</v>
      </c>
    </row>
    <row r="53" spans="1:26" s="27" customFormat="1" outlineLevel="1" collapsed="1" x14ac:dyDescent="0.25">
      <c r="A53" s="28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SUM(OSRRefD22_4x_0)</f>
        <v>1205.6400000000001</v>
      </c>
      <c r="E53" s="1"/>
      <c r="F53" s="5">
        <f t="shared" si="34"/>
        <v>0.24869478760775354</v>
      </c>
      <c r="G53" s="1"/>
      <c r="H53" s="1">
        <f>SUM(OSRRefH22_4x_0)</f>
        <v>1205.6400000000001</v>
      </c>
      <c r="I53" s="1"/>
      <c r="J53" s="5">
        <f t="shared" si="35"/>
        <v>0.13532695258438296</v>
      </c>
      <c r="K53" s="1"/>
      <c r="L53" s="1">
        <f t="shared" si="36"/>
        <v>0</v>
      </c>
      <c r="M53" s="1"/>
      <c r="N53" s="5">
        <f t="shared" si="37"/>
        <v>0</v>
      </c>
      <c r="O53" s="14"/>
      <c r="P53" s="1">
        <f>SUM(OSRRefP22_4x_0)</f>
        <v>1205.6400000000001</v>
      </c>
      <c r="Q53" s="1"/>
      <c r="R53" s="5">
        <f t="shared" si="38"/>
        <v>0.24869478760775354</v>
      </c>
      <c r="S53" s="1"/>
      <c r="T53" s="1">
        <f>SUM(OSRRefT22_4x_0)</f>
        <v>1205.6400000000001</v>
      </c>
      <c r="U53" s="1"/>
      <c r="V53" s="5">
        <f t="shared" si="39"/>
        <v>0.13532695258438296</v>
      </c>
      <c r="W53" s="1"/>
      <c r="X53" s="1">
        <f t="shared" si="40"/>
        <v>0</v>
      </c>
      <c r="Y53" s="1"/>
      <c r="Z53" s="5">
        <f t="shared" si="41"/>
        <v>0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8">
        <v>1205.6400000000001</v>
      </c>
      <c r="E54" s="3"/>
      <c r="F54" s="7">
        <f t="shared" si="34"/>
        <v>0.24869478760775354</v>
      </c>
      <c r="G54" s="3"/>
      <c r="H54" s="8">
        <v>1205.6400000000001</v>
      </c>
      <c r="I54" s="3"/>
      <c r="J54" s="7">
        <f t="shared" si="35"/>
        <v>0.13532695258438296</v>
      </c>
      <c r="K54" s="3"/>
      <c r="L54" s="8">
        <f t="shared" si="36"/>
        <v>0</v>
      </c>
      <c r="M54" s="3"/>
      <c r="N54" s="7">
        <f t="shared" si="37"/>
        <v>0</v>
      </c>
      <c r="O54" s="11"/>
      <c r="P54" s="8">
        <v>1205.6400000000001</v>
      </c>
      <c r="Q54" s="3"/>
      <c r="R54" s="7">
        <f t="shared" si="38"/>
        <v>0.24869478760775354</v>
      </c>
      <c r="S54" s="3"/>
      <c r="T54" s="8">
        <v>1205.6400000000001</v>
      </c>
      <c r="U54" s="3"/>
      <c r="V54" s="7">
        <f t="shared" si="39"/>
        <v>0.13532695258438296</v>
      </c>
      <c r="W54" s="3"/>
      <c r="X54" s="8">
        <f t="shared" si="40"/>
        <v>0</v>
      </c>
      <c r="Y54" s="3"/>
      <c r="Z54" s="7">
        <f t="shared" si="41"/>
        <v>0</v>
      </c>
    </row>
    <row r="55" spans="1:26" s="27" customFormat="1" outlineLevel="1" collapsed="1" x14ac:dyDescent="0.25">
      <c r="A55" s="28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SUM(OSRRefD22_5x_0)</f>
        <v>8744.76</v>
      </c>
      <c r="E55" s="1"/>
      <c r="F55" s="5">
        <f t="shared" si="34"/>
        <v>1.8038354988892029</v>
      </c>
      <c r="G55" s="1"/>
      <c r="H55" s="1">
        <f>SUM(OSRRefH22_5x_0)</f>
        <v>-2596.42</v>
      </c>
      <c r="I55" s="1"/>
      <c r="J55" s="5">
        <f t="shared" si="35"/>
        <v>-0.29143492769744167</v>
      </c>
      <c r="K55" s="1"/>
      <c r="L55" s="1">
        <f t="shared" si="36"/>
        <v>11341.18</v>
      </c>
      <c r="M55" s="1"/>
      <c r="N55" s="5">
        <f t="shared" si="37"/>
        <v>-4.3680067169410188</v>
      </c>
      <c r="O55" s="14"/>
      <c r="P55" s="1">
        <f>SUM(OSRRefP22_5x_0)</f>
        <v>8744.76</v>
      </c>
      <c r="Q55" s="1"/>
      <c r="R55" s="5">
        <f t="shared" si="38"/>
        <v>1.8038354988892029</v>
      </c>
      <c r="S55" s="1"/>
      <c r="T55" s="1">
        <f>SUM(OSRRefT22_5x_0)</f>
        <v>-2596.42</v>
      </c>
      <c r="U55" s="1"/>
      <c r="V55" s="5">
        <f t="shared" si="39"/>
        <v>-0.29143492769744167</v>
      </c>
      <c r="W55" s="1"/>
      <c r="X55" s="1">
        <f t="shared" si="40"/>
        <v>11341.18</v>
      </c>
      <c r="Y55" s="1"/>
      <c r="Z55" s="5">
        <f t="shared" si="41"/>
        <v>-4.3680067169410188</v>
      </c>
    </row>
    <row r="56" spans="1:26" s="24" customFormat="1" hidden="1" outlineLevel="2" x14ac:dyDescent="0.25">
      <c r="A56" s="29"/>
      <c r="B56" s="11" t="str">
        <f>CONCATENATE("          ", "6305", " - ", "FREIGHT OUT")</f>
        <v xml:space="preserve">          6305 - FREIGHT OUT</v>
      </c>
      <c r="C56" s="11"/>
      <c r="D56" s="8">
        <v>11905.2</v>
      </c>
      <c r="E56" s="3"/>
      <c r="F56" s="7">
        <f t="shared" si="34"/>
        <v>2.4557589209281603</v>
      </c>
      <c r="G56" s="3"/>
      <c r="H56" s="8">
        <v>1053.1300000000001</v>
      </c>
      <c r="I56" s="3"/>
      <c r="J56" s="7">
        <f t="shared" si="35"/>
        <v>0.11820848144984508</v>
      </c>
      <c r="K56" s="3"/>
      <c r="L56" s="8">
        <f t="shared" si="36"/>
        <v>10852.07</v>
      </c>
      <c r="M56" s="3"/>
      <c r="N56" s="7">
        <f t="shared" si="37"/>
        <v>10.304587277923902</v>
      </c>
      <c r="O56" s="11"/>
      <c r="P56" s="8">
        <v>11905.2</v>
      </c>
      <c r="Q56" s="3"/>
      <c r="R56" s="7">
        <f t="shared" si="38"/>
        <v>2.4557589209281603</v>
      </c>
      <c r="S56" s="3"/>
      <c r="T56" s="8">
        <v>1053.1300000000001</v>
      </c>
      <c r="U56" s="3"/>
      <c r="V56" s="7">
        <f t="shared" si="39"/>
        <v>0.11820848144984508</v>
      </c>
      <c r="W56" s="3"/>
      <c r="X56" s="8">
        <f t="shared" si="40"/>
        <v>10852.07</v>
      </c>
      <c r="Y56" s="3"/>
      <c r="Z56" s="7">
        <f t="shared" si="41"/>
        <v>10.304587277923902</v>
      </c>
    </row>
    <row r="57" spans="1:26" s="24" customFormat="1" hidden="1" outlineLevel="2" x14ac:dyDescent="0.25">
      <c r="A57" s="29"/>
      <c r="B57" s="11" t="str">
        <f>CONCATENATE("          ", "6307", " - ", "POSTAGE")</f>
        <v xml:space="preserve">          6307 - POSTAGE</v>
      </c>
      <c r="C57" s="11"/>
      <c r="D57" s="8">
        <v>-3160.44</v>
      </c>
      <c r="E57" s="3"/>
      <c r="F57" s="7">
        <f t="shared" si="34"/>
        <v>-0.65192342203895737</v>
      </c>
      <c r="G57" s="3"/>
      <c r="H57" s="8">
        <v>-3649.55</v>
      </c>
      <c r="I57" s="3"/>
      <c r="J57" s="7">
        <f t="shared" si="35"/>
        <v>-0.40964340914728675</v>
      </c>
      <c r="K57" s="3"/>
      <c r="L57" s="8">
        <f t="shared" si="36"/>
        <v>489.11000000000013</v>
      </c>
      <c r="M57" s="3"/>
      <c r="N57" s="7">
        <f t="shared" si="37"/>
        <v>-0.13401926264881975</v>
      </c>
      <c r="O57" s="11"/>
      <c r="P57" s="8">
        <v>-3160.44</v>
      </c>
      <c r="Q57" s="3"/>
      <c r="R57" s="7">
        <f t="shared" si="38"/>
        <v>-0.65192342203895737</v>
      </c>
      <c r="S57" s="3"/>
      <c r="T57" s="8">
        <v>-3649.55</v>
      </c>
      <c r="U57" s="3"/>
      <c r="V57" s="7">
        <f t="shared" si="39"/>
        <v>-0.40964340914728675</v>
      </c>
      <c r="W57" s="3"/>
      <c r="X57" s="8">
        <f t="shared" si="40"/>
        <v>489.11000000000013</v>
      </c>
      <c r="Y57" s="3"/>
      <c r="Z57" s="7">
        <f t="shared" si="41"/>
        <v>-0.13401926264881975</v>
      </c>
    </row>
    <row r="58" spans="1:26" s="27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SUM(OSRRefD22_6x_0)</f>
        <v>6378.1</v>
      </c>
      <c r="E58" s="1"/>
      <c r="F58" s="5">
        <f t="shared" ref="F58:F67" si="42">IF(D$12=0,0,D58/D$12)</f>
        <v>1.3156499658612959</v>
      </c>
      <c r="G58" s="1"/>
      <c r="H58" s="1">
        <f>SUM(OSRRefH22_6x_0)</f>
        <v>5942.4</v>
      </c>
      <c r="I58" s="1"/>
      <c r="J58" s="5">
        <f t="shared" ref="J58:J67" si="43">IF(H$12=0,0,H58/H$12)</f>
        <v>0.66700414969430111</v>
      </c>
      <c r="K58" s="1"/>
      <c r="L58" s="1">
        <f t="shared" ref="L58:L67" si="44">+D58-H58</f>
        <v>435.70000000000073</v>
      </c>
      <c r="M58" s="1"/>
      <c r="N58" s="5">
        <f t="shared" ref="N58:N67" si="45">IF(H58=0,0,L58/H58)</f>
        <v>7.3320543887991516E-2</v>
      </c>
      <c r="O58" s="14"/>
      <c r="P58" s="1">
        <f>SUM(OSRRefP22_6x_0)</f>
        <v>6378.1</v>
      </c>
      <c r="Q58" s="1"/>
      <c r="R58" s="5">
        <f t="shared" ref="R58:R67" si="46">IF(P$12=0,0,P58/P$12)</f>
        <v>1.3156499658612959</v>
      </c>
      <c r="S58" s="1"/>
      <c r="T58" s="1">
        <f>SUM(OSRRefT22_6x_0)</f>
        <v>5942.4</v>
      </c>
      <c r="U58" s="1"/>
      <c r="V58" s="5">
        <f t="shared" ref="V58:V67" si="47">IF(T$12=0,0,T58/T$12)</f>
        <v>0.66700414969430111</v>
      </c>
      <c r="W58" s="1"/>
      <c r="X58" s="1">
        <f t="shared" ref="X58:X67" si="48">+P58-T58</f>
        <v>435.70000000000073</v>
      </c>
      <c r="Y58" s="1"/>
      <c r="Z58" s="5">
        <f t="shared" ref="Z58:Z67" si="49">IF(T58=0,0,X58/T58)</f>
        <v>7.3320543887991516E-2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8">
        <v>6378.1</v>
      </c>
      <c r="E59" s="3"/>
      <c r="F59" s="7">
        <f t="shared" si="42"/>
        <v>1.3156499658612959</v>
      </c>
      <c r="G59" s="3"/>
      <c r="H59" s="8">
        <v>5942.4</v>
      </c>
      <c r="I59" s="3"/>
      <c r="J59" s="7">
        <f t="shared" si="43"/>
        <v>0.66700414969430111</v>
      </c>
      <c r="K59" s="3"/>
      <c r="L59" s="8">
        <f t="shared" si="44"/>
        <v>435.70000000000073</v>
      </c>
      <c r="M59" s="3"/>
      <c r="N59" s="7">
        <f t="shared" si="45"/>
        <v>7.3320543887991516E-2</v>
      </c>
      <c r="O59" s="11"/>
      <c r="P59" s="8">
        <v>6378.1</v>
      </c>
      <c r="Q59" s="3"/>
      <c r="R59" s="7">
        <f t="shared" si="46"/>
        <v>1.3156499658612959</v>
      </c>
      <c r="S59" s="3"/>
      <c r="T59" s="8">
        <v>5942.4</v>
      </c>
      <c r="U59" s="3"/>
      <c r="V59" s="7">
        <f t="shared" si="47"/>
        <v>0.66700414969430111</v>
      </c>
      <c r="W59" s="3"/>
      <c r="X59" s="8">
        <f t="shared" si="48"/>
        <v>435.70000000000073</v>
      </c>
      <c r="Y59" s="3"/>
      <c r="Z59" s="7">
        <f t="shared" si="49"/>
        <v>7.3320543887991516E-2</v>
      </c>
    </row>
    <row r="60" spans="1:26" s="27" customFormat="1" outlineLevel="1" collapsed="1" x14ac:dyDescent="0.25">
      <c r="A60" s="28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SUM(OSRRefD22_7x_0)</f>
        <v>5317.55</v>
      </c>
      <c r="E60" s="1"/>
      <c r="F60" s="5">
        <f t="shared" si="42"/>
        <v>1.0968837860751217</v>
      </c>
      <c r="G60" s="1"/>
      <c r="H60" s="1">
        <f>SUM(OSRRefH22_7x_0)</f>
        <v>605.01</v>
      </c>
      <c r="I60" s="1"/>
      <c r="J60" s="5">
        <f t="shared" si="43"/>
        <v>6.790929264380538E-2</v>
      </c>
      <c r="K60" s="1"/>
      <c r="L60" s="1">
        <f t="shared" si="44"/>
        <v>4712.54</v>
      </c>
      <c r="M60" s="1"/>
      <c r="N60" s="5">
        <f t="shared" si="45"/>
        <v>7.7891935670484784</v>
      </c>
      <c r="O60" s="14"/>
      <c r="P60" s="1">
        <f>SUM(OSRRefP22_7x_0)</f>
        <v>5317.55</v>
      </c>
      <c r="Q60" s="1"/>
      <c r="R60" s="5">
        <f t="shared" si="46"/>
        <v>1.0968837860751217</v>
      </c>
      <c r="S60" s="1"/>
      <c r="T60" s="1">
        <f>SUM(OSRRefT22_7x_0)</f>
        <v>605.01</v>
      </c>
      <c r="U60" s="1"/>
      <c r="V60" s="5">
        <f t="shared" si="47"/>
        <v>6.790929264380538E-2</v>
      </c>
      <c r="W60" s="1"/>
      <c r="X60" s="1">
        <f t="shared" si="48"/>
        <v>4712.54</v>
      </c>
      <c r="Y60" s="1"/>
      <c r="Z60" s="5">
        <f t="shared" si="49"/>
        <v>7.7891935670484784</v>
      </c>
    </row>
    <row r="61" spans="1:26" s="24" customFormat="1" hidden="1" outlineLevel="2" x14ac:dyDescent="0.2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8">
        <v>5317.55</v>
      </c>
      <c r="E61" s="3"/>
      <c r="F61" s="7">
        <f t="shared" si="42"/>
        <v>1.0968837860751217</v>
      </c>
      <c r="G61" s="3"/>
      <c r="H61" s="8">
        <v>605.01</v>
      </c>
      <c r="I61" s="3"/>
      <c r="J61" s="7">
        <f t="shared" si="43"/>
        <v>6.790929264380538E-2</v>
      </c>
      <c r="K61" s="3"/>
      <c r="L61" s="8">
        <f t="shared" si="44"/>
        <v>4712.54</v>
      </c>
      <c r="M61" s="3"/>
      <c r="N61" s="7">
        <f t="shared" si="45"/>
        <v>7.7891935670484784</v>
      </c>
      <c r="O61" s="11"/>
      <c r="P61" s="8">
        <v>5317.55</v>
      </c>
      <c r="Q61" s="3"/>
      <c r="R61" s="7">
        <f t="shared" si="46"/>
        <v>1.0968837860751217</v>
      </c>
      <c r="S61" s="3"/>
      <c r="T61" s="8">
        <v>605.01</v>
      </c>
      <c r="U61" s="3"/>
      <c r="V61" s="7">
        <f t="shared" si="47"/>
        <v>6.790929264380538E-2</v>
      </c>
      <c r="W61" s="3"/>
      <c r="X61" s="8">
        <f t="shared" si="48"/>
        <v>4712.54</v>
      </c>
      <c r="Y61" s="3"/>
      <c r="Z61" s="7">
        <f t="shared" si="49"/>
        <v>7.7891935670484784</v>
      </c>
    </row>
    <row r="62" spans="1:26" s="27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SUM(OSRRefD22_8x_0)</f>
        <v>4147.8</v>
      </c>
      <c r="E62" s="1"/>
      <c r="F62" s="5">
        <f t="shared" si="42"/>
        <v>0.85559224979217685</v>
      </c>
      <c r="G62" s="1"/>
      <c r="H62" s="1">
        <f>SUM(OSRRefH22_8x_0)</f>
        <v>3495.6899999999996</v>
      </c>
      <c r="I62" s="1"/>
      <c r="J62" s="5">
        <f t="shared" si="43"/>
        <v>0.39237340738504162</v>
      </c>
      <c r="K62" s="1"/>
      <c r="L62" s="1">
        <f t="shared" si="44"/>
        <v>652.11000000000058</v>
      </c>
      <c r="M62" s="1"/>
      <c r="N62" s="5">
        <f t="shared" si="45"/>
        <v>0.18654686199291146</v>
      </c>
      <c r="O62" s="14"/>
      <c r="P62" s="1">
        <f>SUM(OSRRefP22_8x_0)</f>
        <v>4147.8</v>
      </c>
      <c r="Q62" s="1"/>
      <c r="R62" s="5">
        <f t="shared" si="46"/>
        <v>0.85559224979217685</v>
      </c>
      <c r="S62" s="1"/>
      <c r="T62" s="1">
        <f>SUM(OSRRefT22_8x_0)</f>
        <v>3495.6899999999996</v>
      </c>
      <c r="U62" s="1"/>
      <c r="V62" s="5">
        <f t="shared" si="47"/>
        <v>0.39237340738504162</v>
      </c>
      <c r="W62" s="1"/>
      <c r="X62" s="1">
        <f t="shared" si="48"/>
        <v>652.11000000000058</v>
      </c>
      <c r="Y62" s="1"/>
      <c r="Z62" s="5">
        <f t="shared" si="49"/>
        <v>0.18654686199291146</v>
      </c>
    </row>
    <row r="63" spans="1:26" s="24" customFormat="1" hidden="1" outlineLevel="2" x14ac:dyDescent="0.2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8"/>
      <c r="E63" s="3"/>
      <c r="F63" s="7">
        <f t="shared" si="42"/>
        <v>0</v>
      </c>
      <c r="G63" s="3"/>
      <c r="H63" s="8">
        <v>17.27</v>
      </c>
      <c r="I63" s="3"/>
      <c r="J63" s="7">
        <f t="shared" si="43"/>
        <v>1.9384695855581213E-3</v>
      </c>
      <c r="K63" s="3"/>
      <c r="L63" s="8">
        <f t="shared" si="44"/>
        <v>-17.27</v>
      </c>
      <c r="M63" s="3"/>
      <c r="N63" s="7">
        <f t="shared" si="45"/>
        <v>-1</v>
      </c>
      <c r="O63" s="11"/>
      <c r="P63" s="8"/>
      <c r="Q63" s="3"/>
      <c r="R63" s="7">
        <f t="shared" si="46"/>
        <v>0</v>
      </c>
      <c r="S63" s="3"/>
      <c r="T63" s="8">
        <v>17.27</v>
      </c>
      <c r="U63" s="3"/>
      <c r="V63" s="7">
        <f t="shared" si="47"/>
        <v>1.9384695855581213E-3</v>
      </c>
      <c r="W63" s="3"/>
      <c r="X63" s="8">
        <f t="shared" si="48"/>
        <v>-17.27</v>
      </c>
      <c r="Y63" s="3"/>
      <c r="Z63" s="7">
        <f t="shared" si="49"/>
        <v>-1</v>
      </c>
    </row>
    <row r="64" spans="1:26" s="24" customFormat="1" hidden="1" outlineLevel="2" x14ac:dyDescent="0.25">
      <c r="A64" s="29"/>
      <c r="B64" s="11" t="str">
        <f>CONCATENATE("          ", "6235", " - ", "COVID-19 EXPENSES")</f>
        <v xml:space="preserve">          6235 - COVID-19 EXPENSES</v>
      </c>
      <c r="C64" s="11"/>
      <c r="D64" s="8">
        <v>310.91000000000003</v>
      </c>
      <c r="E64" s="3"/>
      <c r="F64" s="7">
        <f t="shared" si="42"/>
        <v>6.4133320406694075E-2</v>
      </c>
      <c r="G64" s="3"/>
      <c r="H64" s="8"/>
      <c r="I64" s="3"/>
      <c r="J64" s="7">
        <f t="shared" si="43"/>
        <v>0</v>
      </c>
      <c r="K64" s="3"/>
      <c r="L64" s="8">
        <f t="shared" si="44"/>
        <v>310.91000000000003</v>
      </c>
      <c r="M64" s="3"/>
      <c r="N64" s="7">
        <f t="shared" si="45"/>
        <v>0</v>
      </c>
      <c r="O64" s="11"/>
      <c r="P64" s="8">
        <v>310.91000000000003</v>
      </c>
      <c r="Q64" s="3"/>
      <c r="R64" s="7">
        <f t="shared" si="46"/>
        <v>6.4133320406694075E-2</v>
      </c>
      <c r="S64" s="3"/>
      <c r="T64" s="8"/>
      <c r="U64" s="3"/>
      <c r="V64" s="7">
        <f t="shared" si="47"/>
        <v>0</v>
      </c>
      <c r="W64" s="3"/>
      <c r="X64" s="8">
        <f t="shared" si="48"/>
        <v>310.91000000000003</v>
      </c>
      <c r="Y64" s="3"/>
      <c r="Z64" s="7">
        <f t="shared" si="49"/>
        <v>0</v>
      </c>
    </row>
    <row r="65" spans="1:26" s="24" customFormat="1" hidden="1" outlineLevel="2" x14ac:dyDescent="0.25">
      <c r="A65" s="29"/>
      <c r="B65" s="11" t="str">
        <f>CONCATENATE("          ", "6243", " - ", "PAPER SUPPLIES")</f>
        <v xml:space="preserve">          6243 - PAPER SUPPLIES</v>
      </c>
      <c r="C65" s="11"/>
      <c r="D65" s="8">
        <v>1080</v>
      </c>
      <c r="E65" s="3"/>
      <c r="F65" s="7">
        <f t="shared" si="42"/>
        <v>0.22277825106696345</v>
      </c>
      <c r="G65" s="3"/>
      <c r="H65" s="8">
        <v>1161.3399999999999</v>
      </c>
      <c r="I65" s="3"/>
      <c r="J65" s="7">
        <f t="shared" si="43"/>
        <v>0.13035450309739829</v>
      </c>
      <c r="K65" s="3"/>
      <c r="L65" s="8">
        <f t="shared" si="44"/>
        <v>-81.339999999999918</v>
      </c>
      <c r="M65" s="3"/>
      <c r="N65" s="7">
        <f t="shared" si="45"/>
        <v>-7.0039781631563477E-2</v>
      </c>
      <c r="O65" s="11"/>
      <c r="P65" s="8">
        <v>1080</v>
      </c>
      <c r="Q65" s="3"/>
      <c r="R65" s="7">
        <f t="shared" si="46"/>
        <v>0.22277825106696345</v>
      </c>
      <c r="S65" s="3"/>
      <c r="T65" s="8">
        <v>1161.3399999999999</v>
      </c>
      <c r="U65" s="3"/>
      <c r="V65" s="7">
        <f t="shared" si="47"/>
        <v>0.13035450309739829</v>
      </c>
      <c r="W65" s="3"/>
      <c r="X65" s="8">
        <f t="shared" si="48"/>
        <v>-81.339999999999918</v>
      </c>
      <c r="Y65" s="3"/>
      <c r="Z65" s="7">
        <f t="shared" si="49"/>
        <v>-7.0039781631563477E-2</v>
      </c>
    </row>
    <row r="66" spans="1:26" s="24" customFormat="1" hidden="1" outlineLevel="2" x14ac:dyDescent="0.25">
      <c r="A66" s="29"/>
      <c r="B66" s="11" t="str">
        <f>CONCATENATE("          ", "6245", " - ", "PRINTING")</f>
        <v xml:space="preserve">          6245 - PRINTING</v>
      </c>
      <c r="C66" s="11"/>
      <c r="D66" s="8">
        <v>-1543.5</v>
      </c>
      <c r="E66" s="3"/>
      <c r="F66" s="7">
        <f t="shared" si="42"/>
        <v>-0.31838725048320193</v>
      </c>
      <c r="G66" s="3"/>
      <c r="H66" s="8"/>
      <c r="I66" s="3"/>
      <c r="J66" s="7">
        <f t="shared" si="43"/>
        <v>0</v>
      </c>
      <c r="K66" s="3"/>
      <c r="L66" s="8">
        <f t="shared" si="44"/>
        <v>-1543.5</v>
      </c>
      <c r="M66" s="3"/>
      <c r="N66" s="7">
        <f t="shared" si="45"/>
        <v>0</v>
      </c>
      <c r="O66" s="11"/>
      <c r="P66" s="8">
        <v>-1543.5</v>
      </c>
      <c r="Q66" s="3"/>
      <c r="R66" s="7">
        <f t="shared" si="46"/>
        <v>-0.31838725048320193</v>
      </c>
      <c r="S66" s="3"/>
      <c r="T66" s="8"/>
      <c r="U66" s="3"/>
      <c r="V66" s="7">
        <f t="shared" si="47"/>
        <v>0</v>
      </c>
      <c r="W66" s="3"/>
      <c r="X66" s="8">
        <f t="shared" si="48"/>
        <v>-1543.5</v>
      </c>
      <c r="Y66" s="3"/>
      <c r="Z66" s="7">
        <f t="shared" si="49"/>
        <v>0</v>
      </c>
    </row>
    <row r="67" spans="1:26" s="24" customFormat="1" hidden="1" outlineLevel="2" x14ac:dyDescent="0.25">
      <c r="A67" s="29"/>
      <c r="B67" s="11" t="str">
        <f>CONCATENATE("          ", "6247", " - ", "STORE SUPPLIES")</f>
        <v xml:space="preserve">          6247 - STORE SUPPLIES</v>
      </c>
      <c r="C67" s="11"/>
      <c r="D67" s="8">
        <v>4300.3900000000003</v>
      </c>
      <c r="E67" s="3"/>
      <c r="F67" s="7">
        <f t="shared" si="42"/>
        <v>0.88706792880172125</v>
      </c>
      <c r="G67" s="3"/>
      <c r="H67" s="8">
        <v>2317.08</v>
      </c>
      <c r="I67" s="3"/>
      <c r="J67" s="7">
        <f t="shared" si="43"/>
        <v>0.26008043470208519</v>
      </c>
      <c r="K67" s="3"/>
      <c r="L67" s="8">
        <f t="shared" si="44"/>
        <v>1983.3100000000004</v>
      </c>
      <c r="M67" s="3"/>
      <c r="N67" s="7">
        <f t="shared" si="45"/>
        <v>0.85595231929842752</v>
      </c>
      <c r="O67" s="11"/>
      <c r="P67" s="8">
        <v>4300.3900000000003</v>
      </c>
      <c r="Q67" s="3"/>
      <c r="R67" s="7">
        <f t="shared" si="46"/>
        <v>0.88706792880172125</v>
      </c>
      <c r="S67" s="3"/>
      <c r="T67" s="8">
        <v>2317.08</v>
      </c>
      <c r="U67" s="3"/>
      <c r="V67" s="7">
        <f t="shared" si="47"/>
        <v>0.26008043470208519</v>
      </c>
      <c r="W67" s="3"/>
      <c r="X67" s="8">
        <f t="shared" si="48"/>
        <v>1983.3100000000004</v>
      </c>
      <c r="Y67" s="3"/>
      <c r="Z67" s="7">
        <f t="shared" si="49"/>
        <v>0.85595231929842752</v>
      </c>
    </row>
    <row r="68" spans="1:26" s="27" customFormat="1" outlineLevel="1" collapsed="1" x14ac:dyDescent="0.25">
      <c r="A68" s="28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SUM(OSRRefD22_9x_0)</f>
        <v>200</v>
      </c>
      <c r="E68" s="1"/>
      <c r="F68" s="5">
        <f t="shared" ref="F68:F69" si="50">IF(D$12=0,0,D68/D$12)</f>
        <v>4.1255231679067306E-2</v>
      </c>
      <c r="G68" s="1"/>
      <c r="H68" s="1">
        <f>SUM(OSRRefH22_9x_0)</f>
        <v>192.45</v>
      </c>
      <c r="I68" s="1"/>
      <c r="J68" s="5">
        <f t="shared" ref="J68:J69" si="51">IF(H$12=0,0,H68/H$12)</f>
        <v>2.1601532816482943E-2</v>
      </c>
      <c r="K68" s="1"/>
      <c r="L68" s="1">
        <f t="shared" ref="L68:L69" si="52">+D68-H68</f>
        <v>7.5500000000000114</v>
      </c>
      <c r="M68" s="1"/>
      <c r="N68" s="5">
        <f t="shared" ref="N68:N69" si="53">IF(H68=0,0,L68/H68)</f>
        <v>3.9230969082878729E-2</v>
      </c>
      <c r="O68" s="14"/>
      <c r="P68" s="1">
        <f>SUM(OSRRefP22_9x_0)</f>
        <v>200</v>
      </c>
      <c r="Q68" s="1"/>
      <c r="R68" s="5">
        <f t="shared" ref="R68:R69" si="54">IF(P$12=0,0,P68/P$12)</f>
        <v>4.1255231679067306E-2</v>
      </c>
      <c r="S68" s="1"/>
      <c r="T68" s="1">
        <f>SUM(OSRRefT22_9x_0)</f>
        <v>192.45</v>
      </c>
      <c r="U68" s="1"/>
      <c r="V68" s="5">
        <f t="shared" ref="V68:V69" si="55">IF(T$12=0,0,T68/T$12)</f>
        <v>2.1601532816482943E-2</v>
      </c>
      <c r="W68" s="1"/>
      <c r="X68" s="1">
        <f t="shared" ref="X68:X69" si="56">+P68-T68</f>
        <v>7.5500000000000114</v>
      </c>
      <c r="Y68" s="1"/>
      <c r="Z68" s="5">
        <f t="shared" ref="Z68:Z69" si="57">IF(T68=0,0,X68/T68)</f>
        <v>3.9230969082878729E-2</v>
      </c>
    </row>
    <row r="69" spans="1:26" s="24" customFormat="1" hidden="1" outlineLevel="2" x14ac:dyDescent="0.25">
      <c r="A69" s="29"/>
      <c r="B69" s="11" t="str">
        <f>CONCATENATE("          ", "6309", " - ", "TELEPHONE")</f>
        <v xml:space="preserve">          6309 - TELEPHONE</v>
      </c>
      <c r="C69" s="11"/>
      <c r="D69" s="8">
        <v>200</v>
      </c>
      <c r="E69" s="3"/>
      <c r="F69" s="7">
        <f t="shared" si="50"/>
        <v>4.1255231679067306E-2</v>
      </c>
      <c r="G69" s="3"/>
      <c r="H69" s="8">
        <v>192.45</v>
      </c>
      <c r="I69" s="3"/>
      <c r="J69" s="7">
        <f t="shared" si="51"/>
        <v>2.1601532816482943E-2</v>
      </c>
      <c r="K69" s="3"/>
      <c r="L69" s="8">
        <f t="shared" si="52"/>
        <v>7.5500000000000114</v>
      </c>
      <c r="M69" s="3"/>
      <c r="N69" s="7">
        <f t="shared" si="53"/>
        <v>3.9230969082878729E-2</v>
      </c>
      <c r="O69" s="11"/>
      <c r="P69" s="8">
        <v>200</v>
      </c>
      <c r="Q69" s="3"/>
      <c r="R69" s="7">
        <f t="shared" si="54"/>
        <v>4.1255231679067306E-2</v>
      </c>
      <c r="S69" s="3"/>
      <c r="T69" s="8">
        <v>192.45</v>
      </c>
      <c r="U69" s="3"/>
      <c r="V69" s="7">
        <f t="shared" si="55"/>
        <v>2.1601532816482943E-2</v>
      </c>
      <c r="W69" s="3"/>
      <c r="X69" s="8">
        <f t="shared" si="56"/>
        <v>7.5500000000000114</v>
      </c>
      <c r="Y69" s="3"/>
      <c r="Z69" s="7">
        <f t="shared" si="57"/>
        <v>3.9230969082878729E-2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collapsed="1" x14ac:dyDescent="0.25">
      <c r="A71" s="10"/>
      <c r="B71" s="25" t="s">
        <v>0</v>
      </c>
      <c r="C71" s="10"/>
      <c r="D71" s="4">
        <f>SUM(OSRRefD25x_0)</f>
        <v>6782</v>
      </c>
      <c r="E71" s="4"/>
      <c r="F71" s="12">
        <f t="shared" ref="F71:F74" si="58">IF(D$12=0,0,D71/D$12)</f>
        <v>1.3989649062371723</v>
      </c>
      <c r="G71" s="4"/>
      <c r="H71" s="4">
        <f>SUM(OSRRefH25x_0)</f>
        <v>13598.7</v>
      </c>
      <c r="I71" s="4"/>
      <c r="J71" s="12">
        <f t="shared" ref="J71:J74" si="59">IF(H$12=0,0,H71/H$12)</f>
        <v>1.5263848496311074</v>
      </c>
      <c r="K71" s="4"/>
      <c r="L71" s="4">
        <f t="shared" ref="L71:L74" si="60">+D71-H71</f>
        <v>-6816.7000000000007</v>
      </c>
      <c r="M71" s="4"/>
      <c r="N71" s="12">
        <f t="shared" ref="N71:N74" si="61">IF(H71=0,0,L71/H71)</f>
        <v>-0.50127585725106083</v>
      </c>
      <c r="O71" s="10"/>
      <c r="P71" s="4">
        <f>SUM(OSRRefP25x_0)</f>
        <v>6782</v>
      </c>
      <c r="Q71" s="4"/>
      <c r="R71" s="12">
        <f t="shared" ref="R71:R74" si="62">IF(P$12=0,0,P71/P$12)</f>
        <v>1.3989649062371723</v>
      </c>
      <c r="S71" s="4"/>
      <c r="T71" s="4">
        <f>SUM(OSRRefT25x_0)</f>
        <v>13598.7</v>
      </c>
      <c r="U71" s="4"/>
      <c r="V71" s="12">
        <f t="shared" ref="V71:V74" si="63">IF(T$12=0,0,T71/T$12)</f>
        <v>1.5263848496311074</v>
      </c>
      <c r="W71" s="4"/>
      <c r="X71" s="4">
        <f t="shared" ref="X71:X74" si="64">+P71-T71</f>
        <v>-6816.7000000000007</v>
      </c>
      <c r="Y71" s="4"/>
      <c r="Z71" s="12">
        <f t="shared" ref="Z71:Z74" si="65">IF(T71=0,0,X71/T71)</f>
        <v>-0.50127585725106083</v>
      </c>
    </row>
    <row r="72" spans="1:26" s="24" customFormat="1" hidden="1" outlineLevel="1" x14ac:dyDescent="0.25">
      <c r="A72" s="50"/>
      <c r="B72" s="11" t="str">
        <f>CONCATENATE("          ", "4098", " - ", "TAXABLE SALES-GRAD RENTALS")</f>
        <v xml:space="preserve">          4098 - TAXABLE SALES-GRAD RENTALS</v>
      </c>
      <c r="C72" s="11"/>
      <c r="D72" s="3">
        <f t="shared" ref="D72:D73" si="66">0</f>
        <v>0</v>
      </c>
      <c r="E72" s="3"/>
      <c r="F72" s="22">
        <f t="shared" si="58"/>
        <v>0</v>
      </c>
      <c r="G72" s="3"/>
      <c r="H72" s="3">
        <f>--74.7</f>
        <v>74.7</v>
      </c>
      <c r="I72" s="3"/>
      <c r="J72" s="22">
        <f t="shared" si="59"/>
        <v>8.3846947331321173E-3</v>
      </c>
      <c r="K72" s="3"/>
      <c r="L72" s="3">
        <f t="shared" si="60"/>
        <v>-74.7</v>
      </c>
      <c r="M72" s="3"/>
      <c r="N72" s="22">
        <f t="shared" si="61"/>
        <v>-1</v>
      </c>
      <c r="O72" s="11"/>
      <c r="P72" s="3">
        <f t="shared" ref="P72:P73" si="67">0</f>
        <v>0</v>
      </c>
      <c r="Q72" s="3"/>
      <c r="R72" s="22">
        <f t="shared" si="62"/>
        <v>0</v>
      </c>
      <c r="S72" s="3"/>
      <c r="T72" s="3">
        <f>--74.7</f>
        <v>74.7</v>
      </c>
      <c r="U72" s="3"/>
      <c r="V72" s="22">
        <f t="shared" si="63"/>
        <v>8.3846947331321173E-3</v>
      </c>
      <c r="W72" s="3"/>
      <c r="X72" s="3">
        <f t="shared" si="64"/>
        <v>-74.7</v>
      </c>
      <c r="Y72" s="3"/>
      <c r="Z72" s="22">
        <f t="shared" si="65"/>
        <v>-1</v>
      </c>
    </row>
    <row r="73" spans="1:26" s="24" customFormat="1" hidden="1" outlineLevel="1" x14ac:dyDescent="0.25">
      <c r="A73" s="50"/>
      <c r="B73" s="11" t="str">
        <f>CONCATENATE("          ", "4198", " - ", "NON-TAXABLE SALES-GRAD RENTALS")</f>
        <v xml:space="preserve">          4198 - NON-TAXABLE SALES-GRAD RENTALS</v>
      </c>
      <c r="C73" s="11"/>
      <c r="D73" s="3">
        <f t="shared" si="66"/>
        <v>0</v>
      </c>
      <c r="E73" s="3"/>
      <c r="F73" s="22">
        <f t="shared" si="58"/>
        <v>0</v>
      </c>
      <c r="G73" s="3"/>
      <c r="H73" s="3">
        <f>--255</f>
        <v>255</v>
      </c>
      <c r="I73" s="3"/>
      <c r="J73" s="22">
        <f t="shared" si="59"/>
        <v>2.8622451900250201E-2</v>
      </c>
      <c r="K73" s="3"/>
      <c r="L73" s="3">
        <f t="shared" si="60"/>
        <v>-255</v>
      </c>
      <c r="M73" s="3"/>
      <c r="N73" s="22">
        <f t="shared" si="61"/>
        <v>-1</v>
      </c>
      <c r="O73" s="11"/>
      <c r="P73" s="3">
        <f t="shared" si="67"/>
        <v>0</v>
      </c>
      <c r="Q73" s="3"/>
      <c r="R73" s="22">
        <f t="shared" si="62"/>
        <v>0</v>
      </c>
      <c r="S73" s="3"/>
      <c r="T73" s="3">
        <f>--255</f>
        <v>255</v>
      </c>
      <c r="U73" s="3"/>
      <c r="V73" s="22">
        <f t="shared" si="63"/>
        <v>2.8622451900250201E-2</v>
      </c>
      <c r="W73" s="3"/>
      <c r="X73" s="3">
        <f t="shared" si="64"/>
        <v>-255</v>
      </c>
      <c r="Y73" s="3"/>
      <c r="Z73" s="22">
        <f t="shared" si="65"/>
        <v>-1</v>
      </c>
    </row>
    <row r="74" spans="1:26" s="24" customFormat="1" hidden="1" outlineLevel="1" x14ac:dyDescent="0.25">
      <c r="A74" s="50"/>
      <c r="B74" s="11" t="str">
        <f>CONCATENATE("          ", "9150", " - ", "MISC. INCOME")</f>
        <v xml:space="preserve">          9150 - MISC. INCOME</v>
      </c>
      <c r="C74" s="11"/>
      <c r="D74" s="3">
        <f>--6782</f>
        <v>6782</v>
      </c>
      <c r="E74" s="3"/>
      <c r="F74" s="22">
        <f t="shared" si="58"/>
        <v>1.3989649062371723</v>
      </c>
      <c r="G74" s="3"/>
      <c r="H74" s="3">
        <f>--13269</f>
        <v>13269</v>
      </c>
      <c r="I74" s="3"/>
      <c r="J74" s="22">
        <f t="shared" si="59"/>
        <v>1.4893777029977251</v>
      </c>
      <c r="K74" s="3"/>
      <c r="L74" s="3">
        <f t="shared" si="60"/>
        <v>-6487</v>
      </c>
      <c r="M74" s="3"/>
      <c r="N74" s="22">
        <f t="shared" si="61"/>
        <v>-0.48888386464692141</v>
      </c>
      <c r="O74" s="11"/>
      <c r="P74" s="3">
        <f>--6782</f>
        <v>6782</v>
      </c>
      <c r="Q74" s="3"/>
      <c r="R74" s="22">
        <f t="shared" si="62"/>
        <v>1.3989649062371723</v>
      </c>
      <c r="S74" s="3"/>
      <c r="T74" s="3">
        <f>--13269</f>
        <v>13269</v>
      </c>
      <c r="U74" s="3"/>
      <c r="V74" s="22">
        <f t="shared" si="63"/>
        <v>1.4893777029977251</v>
      </c>
      <c r="W74" s="3"/>
      <c r="X74" s="3">
        <f t="shared" si="64"/>
        <v>-6487</v>
      </c>
      <c r="Y74" s="3"/>
      <c r="Z74" s="22">
        <f t="shared" si="65"/>
        <v>-0.48888386464692141</v>
      </c>
    </row>
    <row r="75" spans="1:26" x14ac:dyDescent="0.25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x14ac:dyDescent="0.25">
      <c r="A76" s="10"/>
      <c r="B76" s="26" t="s">
        <v>3</v>
      </c>
      <c r="C76" s="26"/>
      <c r="D76" s="19">
        <f>+D33-D35+D71</f>
        <v>-37524.080000000002</v>
      </c>
      <c r="E76" s="13"/>
      <c r="F76" s="20">
        <f>IF(D$12=0,0,D76/D$12)</f>
        <v>-7.7403230697192793</v>
      </c>
      <c r="G76" s="13"/>
      <c r="H76" s="19">
        <f>+H33-H35+H71</f>
        <v>-13280.02</v>
      </c>
      <c r="I76" s="13"/>
      <c r="J76" s="20">
        <f>IF(H$12=0,0,H76/H$12)</f>
        <v>-1.4906146418994535</v>
      </c>
      <c r="K76" s="16"/>
      <c r="L76" s="19">
        <f>+D76-H76</f>
        <v>-24244.06</v>
      </c>
      <c r="M76" s="16"/>
      <c r="N76" s="20">
        <f>IF(H76=0,0,L76/H76)</f>
        <v>1.8256041783069603</v>
      </c>
      <c r="O76" s="25"/>
      <c r="P76" s="19">
        <f>+P33-P35+P71</f>
        <v>-37524.080000000002</v>
      </c>
      <c r="Q76" s="13"/>
      <c r="R76" s="20">
        <f>IF(P$12=0,0,P76/P$12)</f>
        <v>-7.7403230697192793</v>
      </c>
      <c r="S76" s="13"/>
      <c r="T76" s="19">
        <f>+T33-T35+T71</f>
        <v>-13280.02</v>
      </c>
      <c r="U76" s="13"/>
      <c r="V76" s="20">
        <f>IF(T$12=0,0,T76/T$12)</f>
        <v>-1.4906146418994535</v>
      </c>
      <c r="W76" s="16"/>
      <c r="X76" s="19">
        <f>+P76-T76</f>
        <v>-24244.06</v>
      </c>
      <c r="Y76" s="16"/>
      <c r="Z76" s="20">
        <f>IF(T76=0,0,X76/T76)</f>
        <v>1.8256041783069603</v>
      </c>
    </row>
    <row r="77" spans="1:26" x14ac:dyDescent="0.25">
      <c r="A77" s="9"/>
      <c r="B77" s="10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x14ac:dyDescent="0.25">
      <c r="A78" s="51"/>
      <c r="B78" s="10" t="s">
        <v>13</v>
      </c>
      <c r="C78" s="10"/>
      <c r="D78" s="4">
        <v>2331.5700000000002</v>
      </c>
      <c r="E78" s="4"/>
      <c r="F78" s="12">
        <f>IF(D$12=0,0,D78/D$12)</f>
        <v>0.48094730262981478</v>
      </c>
      <c r="G78" s="4"/>
      <c r="H78" s="4">
        <v>1852.47</v>
      </c>
      <c r="I78" s="4"/>
      <c r="J78" s="12">
        <f>IF(H$12=0,0,H78/H$12)</f>
        <v>0.20793032733982936</v>
      </c>
      <c r="K78" s="4"/>
      <c r="L78" s="4">
        <f>+D78-H78</f>
        <v>479.10000000000014</v>
      </c>
      <c r="M78" s="4"/>
      <c r="N78" s="12">
        <f>IF(H78=0,0,L78/H78)</f>
        <v>0.25862767008372611</v>
      </c>
      <c r="O78" s="10"/>
      <c r="P78" s="4">
        <v>2331.5700000000002</v>
      </c>
      <c r="Q78" s="4"/>
      <c r="R78" s="12">
        <f>IF(P$12=0,0,P78/P$12)</f>
        <v>0.48094730262981478</v>
      </c>
      <c r="S78" s="4"/>
      <c r="T78" s="4">
        <v>1852.47</v>
      </c>
      <c r="U78" s="4"/>
      <c r="V78" s="12">
        <f>IF(T$12=0,0,T78/T$12)</f>
        <v>0.20793032733982936</v>
      </c>
      <c r="W78" s="4"/>
      <c r="X78" s="4">
        <f>+P78-T78</f>
        <v>479.10000000000014</v>
      </c>
      <c r="Y78" s="4"/>
      <c r="Z78" s="12">
        <f>IF(T78=0,0,X78/T78)</f>
        <v>0.25862767008372611</v>
      </c>
    </row>
    <row r="79" spans="1:26" x14ac:dyDescent="0.25">
      <c r="A79" s="9"/>
      <c r="B79" s="10"/>
      <c r="C79" s="10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10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ht="15.75" thickBot="1" x14ac:dyDescent="0.3">
      <c r="A80" s="10"/>
      <c r="B80" s="26" t="s">
        <v>4</v>
      </c>
      <c r="C80" s="26"/>
      <c r="D80" s="35">
        <f>+D76-D78</f>
        <v>-39855.65</v>
      </c>
      <c r="E80" s="13"/>
      <c r="F80" s="30">
        <f>IF(D$12=0,0,D80/D$12)</f>
        <v>-8.2212703723490943</v>
      </c>
      <c r="G80" s="13"/>
      <c r="H80" s="35">
        <f>+H76-H78</f>
        <v>-15132.49</v>
      </c>
      <c r="I80" s="13"/>
      <c r="J80" s="30">
        <f>IF(H$12=0,0,H80/H$12)</f>
        <v>-1.6985449692392829</v>
      </c>
      <c r="K80" s="16"/>
      <c r="L80" s="35">
        <f>D80-H80</f>
        <v>-24723.160000000003</v>
      </c>
      <c r="M80" s="16"/>
      <c r="N80" s="30">
        <f>IF(H80=0,0,L80/H80)</f>
        <v>1.6337800322352769</v>
      </c>
      <c r="O80" s="25"/>
      <c r="P80" s="35">
        <f>+P76-P78</f>
        <v>-39855.65</v>
      </c>
      <c r="Q80" s="13"/>
      <c r="R80" s="30">
        <f>IF(P$12=0,0,P80/P$12)</f>
        <v>-8.2212703723490943</v>
      </c>
      <c r="S80" s="13"/>
      <c r="T80" s="35">
        <f>+T76-T78</f>
        <v>-15132.49</v>
      </c>
      <c r="U80" s="13"/>
      <c r="V80" s="30">
        <f>IF(T$12=0,0,T80/T$12)</f>
        <v>-1.6985449692392829</v>
      </c>
      <c r="W80" s="16"/>
      <c r="X80" s="35">
        <f>P80-T80</f>
        <v>-24723.160000000003</v>
      </c>
      <c r="Y80" s="16"/>
      <c r="Z80" s="30">
        <f>IF(T80=0,0,X80/T80)</f>
        <v>1.6337800322352769</v>
      </c>
    </row>
    <row r="81" spans="1:26" ht="15.75" thickTop="1" x14ac:dyDescent="0.25">
      <c r="A81" s="9"/>
      <c r="B81" s="9"/>
      <c r="C81" s="9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x14ac:dyDescent="0.25">
      <c r="A82" s="9"/>
      <c r="B82" s="9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3" customFormat="1" ht="15.75" thickBot="1" x14ac:dyDescent="0.3">
      <c r="A83" s="10"/>
      <c r="B83" s="26" t="s">
        <v>5</v>
      </c>
      <c r="C83" s="26"/>
      <c r="D83" s="31">
        <f>SUM(D80:D82)</f>
        <v>-39855.65</v>
      </c>
      <c r="E83" s="13"/>
      <c r="F83" s="32">
        <f>IF(D$12=0,0,D83/D$12)</f>
        <v>-8.2212703723490943</v>
      </c>
      <c r="G83" s="13"/>
      <c r="H83" s="31">
        <f>SUM(H80:H82)</f>
        <v>-15132.49</v>
      </c>
      <c r="I83" s="13"/>
      <c r="J83" s="32">
        <f>IF(H$12=0,0,H83/H$12)</f>
        <v>-1.6985449692392829</v>
      </c>
      <c r="K83" s="16"/>
      <c r="L83" s="31">
        <f>+D83-H83</f>
        <v>-24723.160000000003</v>
      </c>
      <c r="M83" s="16"/>
      <c r="N83" s="32">
        <f>IF(H83=0,0,L83/H83)</f>
        <v>1.6337800322352769</v>
      </c>
      <c r="O83" s="25"/>
      <c r="P83" s="31">
        <f>SUM(P80:P82)</f>
        <v>-39855.65</v>
      </c>
      <c r="Q83" s="13"/>
      <c r="R83" s="32">
        <f>IF(P$12=0,0,P83/P$12)</f>
        <v>-8.2212703723490943</v>
      </c>
      <c r="S83" s="13"/>
      <c r="T83" s="31">
        <f>SUM(T80:T82)</f>
        <v>-15132.49</v>
      </c>
      <c r="U83" s="13"/>
      <c r="V83" s="32">
        <f>IF(T$12=0,0,T83/T$12)</f>
        <v>-1.6985449692392829</v>
      </c>
      <c r="W83" s="16"/>
      <c r="X83" s="31">
        <f>+P83-T83</f>
        <v>-24723.160000000003</v>
      </c>
      <c r="Y83" s="16"/>
      <c r="Z83" s="32">
        <f>IF(T83=0,0,X83/T83)</f>
        <v>1.6337800322352769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9">
        <v>44109.413739467593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 t="s">
        <v>313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6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4847.87</v>
      </c>
      <c r="E12" s="4"/>
      <c r="F12" s="12"/>
      <c r="G12" s="4"/>
      <c r="H12" s="4">
        <f>SUM(OSRRefH13x_0)</f>
        <v>6754.7699999999995</v>
      </c>
      <c r="I12" s="4"/>
      <c r="J12" s="12"/>
      <c r="K12" s="4"/>
      <c r="L12" s="4">
        <f t="shared" ref="L12:L22" si="0">+D12-H12</f>
        <v>-1906.8999999999996</v>
      </c>
      <c r="M12" s="4"/>
      <c r="N12" s="12">
        <f t="shared" ref="N12:N22" si="1">IF(H12=0,0,L12/H12)</f>
        <v>-0.28230420872953482</v>
      </c>
      <c r="O12" s="10"/>
      <c r="P12" s="4">
        <f>SUM(OSRRefP13x_0)</f>
        <v>4847.87</v>
      </c>
      <c r="Q12" s="4"/>
      <c r="R12" s="12"/>
      <c r="S12" s="4"/>
      <c r="T12" s="4">
        <f>SUM(OSRRefT13x_0)</f>
        <v>6754.7699999999995</v>
      </c>
      <c r="U12" s="4"/>
      <c r="V12" s="12"/>
      <c r="W12" s="4"/>
      <c r="X12" s="4">
        <f t="shared" ref="X12:X22" si="2">+P12-T12</f>
        <v>-1906.8999999999996</v>
      </c>
      <c r="Y12" s="4"/>
      <c r="Z12" s="12">
        <f t="shared" ref="Z12:Z22" si="3">IF(T12=0,0,X12/T12)</f>
        <v>-0.28230420872953482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3">
        <f>--1085.6</f>
        <v>1085.5999999999999</v>
      </c>
      <c r="E13" s="3"/>
      <c r="F13" s="22"/>
      <c r="G13" s="3"/>
      <c r="H13" s="3">
        <f>--463.7</f>
        <v>463.7</v>
      </c>
      <c r="I13" s="3"/>
      <c r="J13" s="22"/>
      <c r="K13" s="3"/>
      <c r="L13" s="3">
        <f t="shared" si="0"/>
        <v>621.89999999999986</v>
      </c>
      <c r="M13" s="3"/>
      <c r="N13" s="22">
        <f t="shared" si="1"/>
        <v>1.3411688591761912</v>
      </c>
      <c r="O13" s="11"/>
      <c r="P13" s="3">
        <f>--1085.6</f>
        <v>1085.5999999999999</v>
      </c>
      <c r="Q13" s="3"/>
      <c r="R13" s="22"/>
      <c r="S13" s="3"/>
      <c r="T13" s="3">
        <f>--463.7</f>
        <v>463.7</v>
      </c>
      <c r="U13" s="3"/>
      <c r="V13" s="22"/>
      <c r="W13" s="3"/>
      <c r="X13" s="3">
        <f t="shared" si="2"/>
        <v>621.89999999999986</v>
      </c>
      <c r="Y13" s="3"/>
      <c r="Z13" s="22">
        <f t="shared" si="3"/>
        <v>1.3411688591761912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3">
        <f>--3750.52</f>
        <v>3750.52</v>
      </c>
      <c r="E14" s="3"/>
      <c r="F14" s="22"/>
      <c r="G14" s="3"/>
      <c r="H14" s="3">
        <f>--4059.92</f>
        <v>4059.92</v>
      </c>
      <c r="I14" s="3"/>
      <c r="J14" s="22"/>
      <c r="K14" s="3"/>
      <c r="L14" s="3">
        <f t="shared" si="0"/>
        <v>-309.40000000000009</v>
      </c>
      <c r="M14" s="3"/>
      <c r="N14" s="22">
        <f t="shared" si="1"/>
        <v>-7.6208398195038343E-2</v>
      </c>
      <c r="O14" s="11"/>
      <c r="P14" s="3">
        <f>--3750.52</f>
        <v>3750.52</v>
      </c>
      <c r="Q14" s="3"/>
      <c r="R14" s="22"/>
      <c r="S14" s="3"/>
      <c r="T14" s="3">
        <f>--4059.92</f>
        <v>4059.92</v>
      </c>
      <c r="U14" s="3"/>
      <c r="V14" s="22"/>
      <c r="W14" s="3"/>
      <c r="X14" s="3">
        <f t="shared" si="2"/>
        <v>-309.40000000000009</v>
      </c>
      <c r="Y14" s="3"/>
      <c r="Z14" s="22">
        <f t="shared" si="3"/>
        <v>-7.6208398195038343E-2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3">
        <f t="shared" ref="D15:D16" si="4">0</f>
        <v>0</v>
      </c>
      <c r="E15" s="3"/>
      <c r="F15" s="22"/>
      <c r="G15" s="3"/>
      <c r="H15" s="3">
        <f>--15.55</f>
        <v>15.55</v>
      </c>
      <c r="I15" s="3"/>
      <c r="J15" s="22"/>
      <c r="K15" s="3"/>
      <c r="L15" s="3">
        <f t="shared" si="0"/>
        <v>-15.55</v>
      </c>
      <c r="M15" s="3"/>
      <c r="N15" s="22">
        <f t="shared" si="1"/>
        <v>-1</v>
      </c>
      <c r="O15" s="11"/>
      <c r="P15" s="3">
        <f t="shared" ref="P15:P16" si="5">0</f>
        <v>0</v>
      </c>
      <c r="Q15" s="3"/>
      <c r="R15" s="22"/>
      <c r="S15" s="3"/>
      <c r="T15" s="3">
        <f>--15.55</f>
        <v>15.55</v>
      </c>
      <c r="U15" s="3"/>
      <c r="V15" s="22"/>
      <c r="W15" s="3"/>
      <c r="X15" s="3">
        <f t="shared" si="2"/>
        <v>-15.55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3">
        <f t="shared" si="4"/>
        <v>0</v>
      </c>
      <c r="E16" s="3"/>
      <c r="F16" s="22"/>
      <c r="G16" s="3"/>
      <c r="H16" s="3">
        <f>--40</f>
        <v>40</v>
      </c>
      <c r="I16" s="3"/>
      <c r="J16" s="22"/>
      <c r="K16" s="3"/>
      <c r="L16" s="3">
        <f t="shared" si="0"/>
        <v>-40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--40</f>
        <v>40</v>
      </c>
      <c r="U16" s="3"/>
      <c r="V16" s="22"/>
      <c r="W16" s="3"/>
      <c r="X16" s="3">
        <f t="shared" si="2"/>
        <v>-40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"4141", " - ", "NON-TAXABLE SALES-LOGO GIFTS")</f>
        <v xml:space="preserve">          4141 - NON-TAXABLE SALES-LOGO GIFTS</v>
      </c>
      <c r="C17" s="11"/>
      <c r="D17" s="3">
        <f>--10.75</f>
        <v>10.75</v>
      </c>
      <c r="E17" s="3"/>
      <c r="F17" s="22"/>
      <c r="G17" s="3"/>
      <c r="H17" s="3">
        <f>--7.95</f>
        <v>7.95</v>
      </c>
      <c r="I17" s="3"/>
      <c r="J17" s="22"/>
      <c r="K17" s="3"/>
      <c r="L17" s="3">
        <f t="shared" si="0"/>
        <v>2.8</v>
      </c>
      <c r="M17" s="3"/>
      <c r="N17" s="22">
        <f t="shared" si="1"/>
        <v>0.3522012578616352</v>
      </c>
      <c r="O17" s="11"/>
      <c r="P17" s="3">
        <f>--10.75</f>
        <v>10.75</v>
      </c>
      <c r="Q17" s="3"/>
      <c r="R17" s="22"/>
      <c r="S17" s="3"/>
      <c r="T17" s="3">
        <f>--7.95</f>
        <v>7.95</v>
      </c>
      <c r="U17" s="3"/>
      <c r="V17" s="22"/>
      <c r="W17" s="3"/>
      <c r="X17" s="3">
        <f t="shared" si="2"/>
        <v>2.8</v>
      </c>
      <c r="Y17" s="3"/>
      <c r="Z17" s="22">
        <f t="shared" si="3"/>
        <v>0.3522012578616352</v>
      </c>
    </row>
    <row r="18" spans="1:26" s="24" customFormat="1" hidden="1" outlineLevel="1" x14ac:dyDescent="0.25">
      <c r="A18" s="50"/>
      <c r="B18" s="11" t="str">
        <f>CONCATENATE("          ", "4142", " - ", "NON-TAXABLE SALES-EVERYDAY GIF")</f>
        <v xml:space="preserve">          4142 - NON-TAXABLE SALES-EVERYDAY GIF</v>
      </c>
      <c r="C18" s="11"/>
      <c r="D18" s="3">
        <f t="shared" ref="D18:D19" si="6">0</f>
        <v>0</v>
      </c>
      <c r="E18" s="3"/>
      <c r="F18" s="22"/>
      <c r="G18" s="3"/>
      <c r="H18" s="3">
        <f>--111</f>
        <v>111</v>
      </c>
      <c r="I18" s="3"/>
      <c r="J18" s="22"/>
      <c r="K18" s="3"/>
      <c r="L18" s="3">
        <f t="shared" si="0"/>
        <v>-111</v>
      </c>
      <c r="M18" s="3"/>
      <c r="N18" s="22">
        <f t="shared" si="1"/>
        <v>-1</v>
      </c>
      <c r="O18" s="11"/>
      <c r="P18" s="3">
        <f t="shared" ref="P18:P19" si="7">0</f>
        <v>0</v>
      </c>
      <c r="Q18" s="3"/>
      <c r="R18" s="22"/>
      <c r="S18" s="3"/>
      <c r="T18" s="3">
        <f>--111</f>
        <v>111</v>
      </c>
      <c r="U18" s="3"/>
      <c r="V18" s="22"/>
      <c r="W18" s="3"/>
      <c r="X18" s="3">
        <f t="shared" si="2"/>
        <v>-111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"4146", " - ", "NON-TAXABLE SALES-COIN OP MACH")</f>
        <v xml:space="preserve">          4146 - NON-TAXABLE SALES-COIN OP MACH</v>
      </c>
      <c r="C19" s="11"/>
      <c r="D19" s="3">
        <f t="shared" si="6"/>
        <v>0</v>
      </c>
      <c r="E19" s="3"/>
      <c r="F19" s="22"/>
      <c r="G19" s="3"/>
      <c r="H19" s="3">
        <f>--2067.1</f>
        <v>2067.1</v>
      </c>
      <c r="I19" s="3"/>
      <c r="J19" s="22"/>
      <c r="K19" s="3"/>
      <c r="L19" s="3">
        <f t="shared" si="0"/>
        <v>-2067.1</v>
      </c>
      <c r="M19" s="3"/>
      <c r="N19" s="22">
        <f t="shared" si="1"/>
        <v>-1</v>
      </c>
      <c r="O19" s="11"/>
      <c r="P19" s="3">
        <f t="shared" si="7"/>
        <v>0</v>
      </c>
      <c r="Q19" s="3"/>
      <c r="R19" s="22"/>
      <c r="S19" s="3"/>
      <c r="T19" s="3">
        <f>--2067.1</f>
        <v>2067.1</v>
      </c>
      <c r="U19" s="3"/>
      <c r="V19" s="22"/>
      <c r="W19" s="3"/>
      <c r="X19" s="3">
        <f t="shared" si="2"/>
        <v>-2067.1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"4147", " - ", "NON-TAXABLE SALES-MISC")</f>
        <v xml:space="preserve">          4147 - NON-TAXABLE SALES-MISC</v>
      </c>
      <c r="C20" s="11"/>
      <c r="D20" s="3">
        <f>--1</f>
        <v>1</v>
      </c>
      <c r="E20" s="3"/>
      <c r="F20" s="22"/>
      <c r="G20" s="3"/>
      <c r="H20" s="3">
        <f>--16.5</f>
        <v>16.5</v>
      </c>
      <c r="I20" s="3"/>
      <c r="J20" s="22"/>
      <c r="K20" s="3"/>
      <c r="L20" s="3">
        <f t="shared" si="0"/>
        <v>-15.5</v>
      </c>
      <c r="M20" s="3"/>
      <c r="N20" s="22">
        <f t="shared" si="1"/>
        <v>-0.93939393939393945</v>
      </c>
      <c r="O20" s="11"/>
      <c r="P20" s="3">
        <f>--1</f>
        <v>1</v>
      </c>
      <c r="Q20" s="3"/>
      <c r="R20" s="22"/>
      <c r="S20" s="3"/>
      <c r="T20" s="3">
        <f>--16.5</f>
        <v>16.5</v>
      </c>
      <c r="U20" s="3"/>
      <c r="V20" s="22"/>
      <c r="W20" s="3"/>
      <c r="X20" s="3">
        <f t="shared" si="2"/>
        <v>-15.5</v>
      </c>
      <c r="Y20" s="3"/>
      <c r="Z20" s="22">
        <f t="shared" si="3"/>
        <v>-0.93939393939393945</v>
      </c>
    </row>
    <row r="21" spans="1:26" s="24" customFormat="1" hidden="1" outlineLevel="1" x14ac:dyDescent="0.25">
      <c r="A21" s="50"/>
      <c r="B21" s="11" t="str">
        <f>CONCATENATE("          ", "4241", " - ", "SALES RETURN TAXABLE-LOGO GIFT")</f>
        <v xml:space="preserve">          4241 - SALES RETURN TAXABLE-LOGO GIFT</v>
      </c>
      <c r="C21" s="11"/>
      <c r="D21" s="3">
        <f t="shared" ref="D21:D22" si="8">0</f>
        <v>0</v>
      </c>
      <c r="E21" s="3"/>
      <c r="F21" s="22"/>
      <c r="G21" s="3"/>
      <c r="H21" s="3">
        <f>-10.75</f>
        <v>-10.75</v>
      </c>
      <c r="I21" s="3"/>
      <c r="J21" s="22"/>
      <c r="K21" s="3"/>
      <c r="L21" s="3">
        <f t="shared" si="0"/>
        <v>10.75</v>
      </c>
      <c r="M21" s="3"/>
      <c r="N21" s="22">
        <f t="shared" si="1"/>
        <v>-1</v>
      </c>
      <c r="O21" s="11"/>
      <c r="P21" s="3">
        <f t="shared" ref="P21:P22" si="9">0</f>
        <v>0</v>
      </c>
      <c r="Q21" s="3"/>
      <c r="R21" s="22"/>
      <c r="S21" s="3"/>
      <c r="T21" s="3">
        <f>-10.75</f>
        <v>-10.75</v>
      </c>
      <c r="U21" s="3"/>
      <c r="V21" s="22"/>
      <c r="W21" s="3"/>
      <c r="X21" s="3">
        <f t="shared" si="2"/>
        <v>10.75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"4242", " - ", "SALES RETURN TAXABLE-EVERYDAY")</f>
        <v xml:space="preserve">          4242 - SALES RETURN TAXABLE-EVERYDAY</v>
      </c>
      <c r="C22" s="11"/>
      <c r="D22" s="3">
        <f t="shared" si="8"/>
        <v>0</v>
      </c>
      <c r="E22" s="3"/>
      <c r="F22" s="22"/>
      <c r="G22" s="3"/>
      <c r="H22" s="3">
        <f>-16.2</f>
        <v>-16.2</v>
      </c>
      <c r="I22" s="3"/>
      <c r="J22" s="22"/>
      <c r="K22" s="3"/>
      <c r="L22" s="3">
        <f t="shared" si="0"/>
        <v>16.2</v>
      </c>
      <c r="M22" s="3"/>
      <c r="N22" s="22">
        <f t="shared" si="1"/>
        <v>-1</v>
      </c>
      <c r="O22" s="11"/>
      <c r="P22" s="3">
        <f t="shared" si="9"/>
        <v>0</v>
      </c>
      <c r="Q22" s="3"/>
      <c r="R22" s="22"/>
      <c r="S22" s="3"/>
      <c r="T22" s="3">
        <f>-16.2</f>
        <v>-16.2</v>
      </c>
      <c r="U22" s="3"/>
      <c r="V22" s="22"/>
      <c r="W22" s="3"/>
      <c r="X22" s="3">
        <f t="shared" si="2"/>
        <v>16.2</v>
      </c>
      <c r="Y22" s="3"/>
      <c r="Z22" s="22">
        <f t="shared" si="3"/>
        <v>-1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25">
      <c r="A26" s="10"/>
      <c r="B26" s="26" t="s">
        <v>6</v>
      </c>
      <c r="C26" s="26"/>
      <c r="D26" s="19">
        <f>D12-D24</f>
        <v>4847.87</v>
      </c>
      <c r="E26" s="13"/>
      <c r="F26" s="20">
        <f>IF(D$12=0,0,D26/D$12)</f>
        <v>1</v>
      </c>
      <c r="G26" s="13"/>
      <c r="H26" s="19">
        <f>H12-H24</f>
        <v>6754.7699999999995</v>
      </c>
      <c r="I26" s="13"/>
      <c r="J26" s="20">
        <f>IF(H$12=0,0,H26/H$12)</f>
        <v>1</v>
      </c>
      <c r="K26" s="16"/>
      <c r="L26" s="19">
        <f>+D26-H26</f>
        <v>-1906.8999999999996</v>
      </c>
      <c r="M26" s="16"/>
      <c r="N26" s="20">
        <f>IF(H26=0,0,L26/H26)</f>
        <v>-0.28230420872953482</v>
      </c>
      <c r="O26" s="25"/>
      <c r="P26" s="19">
        <f>P12-P24</f>
        <v>4847.87</v>
      </c>
      <c r="Q26" s="13"/>
      <c r="R26" s="20">
        <f>IF(P$12=0,0,P26/P$12)</f>
        <v>1</v>
      </c>
      <c r="S26" s="13"/>
      <c r="T26" s="19">
        <f>T12-T24</f>
        <v>6754.7699999999995</v>
      </c>
      <c r="U26" s="13"/>
      <c r="V26" s="20">
        <f>IF(T$12=0,0,T26/T$12)</f>
        <v>1</v>
      </c>
      <c r="W26" s="16"/>
      <c r="X26" s="19">
        <f>+P26-T26</f>
        <v>-1906.8999999999996</v>
      </c>
      <c r="Y26" s="16"/>
      <c r="Z26" s="20">
        <f>IF(T26=0,0,X26/T26)</f>
        <v>-0.28230420872953482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21">
        <f>SUM(OSRRefD22x_0)</f>
        <v>49153.950000000004</v>
      </c>
      <c r="E28" s="21"/>
      <c r="F28" s="34">
        <f t="shared" ref="F28:F37" si="10">IF(D$12=0,0,D28/D$12)</f>
        <v>10.139287975956453</v>
      </c>
      <c r="G28" s="21"/>
      <c r="H28" s="21">
        <f>SUM(OSRRefH22x_0)</f>
        <v>33916.94</v>
      </c>
      <c r="I28" s="21"/>
      <c r="J28" s="34">
        <f t="shared" ref="J28:J37" si="11">IF(H$12=0,0,H28/H$12)</f>
        <v>5.0211835488106926</v>
      </c>
      <c r="K28" s="4"/>
      <c r="L28" s="21">
        <f t="shared" ref="L28:L37" si="12">+D28-H28</f>
        <v>15237.010000000002</v>
      </c>
      <c r="M28" s="4"/>
      <c r="N28" s="34">
        <f t="shared" ref="N28:N37" si="13">IF(H28=0,0,L28/H28)</f>
        <v>0.44924483163870327</v>
      </c>
      <c r="O28" s="10"/>
      <c r="P28" s="21">
        <f>SUM(OSRRefP22x_0)</f>
        <v>49153.950000000004</v>
      </c>
      <c r="Q28" s="21"/>
      <c r="R28" s="34">
        <f t="shared" ref="R28:R37" si="14">IF(P$12=0,0,P28/P$12)</f>
        <v>10.139287975956453</v>
      </c>
      <c r="S28" s="21"/>
      <c r="T28" s="21">
        <f>SUM(OSRRefT22x_0)</f>
        <v>33916.94</v>
      </c>
      <c r="U28" s="21"/>
      <c r="V28" s="34">
        <f t="shared" ref="V28:V37" si="15">IF(T$12=0,0,T28/T$12)</f>
        <v>5.0211835488106926</v>
      </c>
      <c r="W28" s="4"/>
      <c r="X28" s="21">
        <f t="shared" ref="X28:X37" si="16">+P28-T28</f>
        <v>15237.010000000002</v>
      </c>
      <c r="Y28" s="4"/>
      <c r="Z28" s="34">
        <f t="shared" ref="Z28:Z37" si="17">IF(T28=0,0,X28/T28)</f>
        <v>0.44924483163870327</v>
      </c>
    </row>
    <row r="29" spans="1:26" s="27" customFormat="1" outlineLevel="1" collapsed="1" x14ac:dyDescent="0.25">
      <c r="A29" s="28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7930.28</v>
      </c>
      <c r="E29" s="1"/>
      <c r="F29" s="5">
        <f t="shared" si="10"/>
        <v>1.6358276933993692</v>
      </c>
      <c r="G29" s="1"/>
      <c r="H29" s="1">
        <f>SUM(OSRRefH22_0x_0)</f>
        <v>7494.78</v>
      </c>
      <c r="I29" s="1"/>
      <c r="J29" s="5">
        <f t="shared" si="11"/>
        <v>1.1095536931679391</v>
      </c>
      <c r="K29" s="1"/>
      <c r="L29" s="1">
        <f t="shared" si="12"/>
        <v>435.5</v>
      </c>
      <c r="M29" s="1"/>
      <c r="N29" s="5">
        <f t="shared" si="13"/>
        <v>5.8107109214680083E-2</v>
      </c>
      <c r="O29" s="14"/>
      <c r="P29" s="1">
        <f>SUM(OSRRefP22_0x_0)</f>
        <v>7930.28</v>
      </c>
      <c r="Q29" s="1"/>
      <c r="R29" s="5">
        <f t="shared" si="14"/>
        <v>1.6358276933993692</v>
      </c>
      <c r="S29" s="1"/>
      <c r="T29" s="1">
        <f>SUM(OSRRefT22_0x_0)</f>
        <v>7494.78</v>
      </c>
      <c r="U29" s="1"/>
      <c r="V29" s="5">
        <f t="shared" si="15"/>
        <v>1.1095536931679391</v>
      </c>
      <c r="W29" s="1"/>
      <c r="X29" s="1">
        <f t="shared" si="16"/>
        <v>435.5</v>
      </c>
      <c r="Y29" s="1"/>
      <c r="Z29" s="5">
        <f t="shared" si="17"/>
        <v>5.8107109214680083E-2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8">
        <v>1043.3599999999999</v>
      </c>
      <c r="E30" s="3"/>
      <c r="F30" s="7">
        <f t="shared" si="10"/>
        <v>0.21522029262335829</v>
      </c>
      <c r="G30" s="3"/>
      <c r="H30" s="8">
        <v>1053.3599999999999</v>
      </c>
      <c r="I30" s="3"/>
      <c r="J30" s="7">
        <f t="shared" si="11"/>
        <v>0.15594313351897993</v>
      </c>
      <c r="K30" s="3"/>
      <c r="L30" s="8">
        <f t="shared" si="12"/>
        <v>-10</v>
      </c>
      <c r="M30" s="3"/>
      <c r="N30" s="7">
        <f t="shared" si="13"/>
        <v>-9.4934305460621267E-3</v>
      </c>
      <c r="O30" s="11"/>
      <c r="P30" s="8">
        <v>1043.3599999999999</v>
      </c>
      <c r="Q30" s="3"/>
      <c r="R30" s="7">
        <f t="shared" si="14"/>
        <v>0.21522029262335829</v>
      </c>
      <c r="S30" s="3"/>
      <c r="T30" s="8">
        <v>1053.3599999999999</v>
      </c>
      <c r="U30" s="3"/>
      <c r="V30" s="7">
        <f t="shared" si="15"/>
        <v>0.15594313351897993</v>
      </c>
      <c r="W30" s="3"/>
      <c r="X30" s="8">
        <f t="shared" si="16"/>
        <v>-10</v>
      </c>
      <c r="Y30" s="3"/>
      <c r="Z30" s="7">
        <f t="shared" si="17"/>
        <v>-9.4934305460621267E-3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8">
        <v>293.61</v>
      </c>
      <c r="E31" s="3"/>
      <c r="F31" s="7">
        <f t="shared" si="10"/>
        <v>6.056474286645476E-2</v>
      </c>
      <c r="G31" s="3"/>
      <c r="H31" s="8">
        <v>160.22999999999999</v>
      </c>
      <c r="I31" s="3"/>
      <c r="J31" s="7">
        <f t="shared" si="11"/>
        <v>2.3721014927229202E-2</v>
      </c>
      <c r="K31" s="3"/>
      <c r="L31" s="8">
        <f t="shared" si="12"/>
        <v>133.38000000000002</v>
      </c>
      <c r="M31" s="3"/>
      <c r="N31" s="7">
        <f t="shared" si="13"/>
        <v>0.83242838419771603</v>
      </c>
      <c r="O31" s="11"/>
      <c r="P31" s="8">
        <v>293.61</v>
      </c>
      <c r="Q31" s="3"/>
      <c r="R31" s="7">
        <f t="shared" si="14"/>
        <v>6.056474286645476E-2</v>
      </c>
      <c r="S31" s="3"/>
      <c r="T31" s="8">
        <v>160.22999999999999</v>
      </c>
      <c r="U31" s="3"/>
      <c r="V31" s="7">
        <f t="shared" si="15"/>
        <v>2.3721014927229202E-2</v>
      </c>
      <c r="W31" s="3"/>
      <c r="X31" s="8">
        <f t="shared" si="16"/>
        <v>133.38000000000002</v>
      </c>
      <c r="Y31" s="3"/>
      <c r="Z31" s="7">
        <f t="shared" si="17"/>
        <v>0.83242838419771603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8">
        <v>2724.48</v>
      </c>
      <c r="E32" s="3"/>
      <c r="F32" s="7">
        <f t="shared" si="10"/>
        <v>0.56199526802492639</v>
      </c>
      <c r="G32" s="3"/>
      <c r="H32" s="8">
        <v>2589.16</v>
      </c>
      <c r="I32" s="3"/>
      <c r="J32" s="7">
        <f t="shared" si="11"/>
        <v>0.38330838799840705</v>
      </c>
      <c r="K32" s="3"/>
      <c r="L32" s="8">
        <f t="shared" si="12"/>
        <v>135.32000000000016</v>
      </c>
      <c r="M32" s="3"/>
      <c r="N32" s="7">
        <f t="shared" si="13"/>
        <v>5.2264054751347995E-2</v>
      </c>
      <c r="O32" s="11"/>
      <c r="P32" s="8">
        <v>2724.48</v>
      </c>
      <c r="Q32" s="3"/>
      <c r="R32" s="7">
        <f t="shared" si="14"/>
        <v>0.56199526802492639</v>
      </c>
      <c r="S32" s="3"/>
      <c r="T32" s="8">
        <v>2589.16</v>
      </c>
      <c r="U32" s="3"/>
      <c r="V32" s="7">
        <f t="shared" si="15"/>
        <v>0.38330838799840705</v>
      </c>
      <c r="W32" s="3"/>
      <c r="X32" s="8">
        <f t="shared" si="16"/>
        <v>135.32000000000016</v>
      </c>
      <c r="Y32" s="3"/>
      <c r="Z32" s="7">
        <f t="shared" si="17"/>
        <v>5.2264054751347995E-2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8">
        <v>41.26</v>
      </c>
      <c r="E33" s="3"/>
      <c r="F33" s="7">
        <f t="shared" si="10"/>
        <v>8.5109542953915839E-3</v>
      </c>
      <c r="G33" s="3"/>
      <c r="H33" s="8">
        <v>36.28</v>
      </c>
      <c r="I33" s="3"/>
      <c r="J33" s="7">
        <f t="shared" si="11"/>
        <v>5.3710192945133593E-3</v>
      </c>
      <c r="K33" s="3"/>
      <c r="L33" s="8">
        <f t="shared" si="12"/>
        <v>4.9799999999999969</v>
      </c>
      <c r="M33" s="3"/>
      <c r="N33" s="7">
        <f t="shared" si="13"/>
        <v>0.13726571113561181</v>
      </c>
      <c r="O33" s="11"/>
      <c r="P33" s="8">
        <v>41.26</v>
      </c>
      <c r="Q33" s="3"/>
      <c r="R33" s="7">
        <f t="shared" si="14"/>
        <v>8.5109542953915839E-3</v>
      </c>
      <c r="S33" s="3"/>
      <c r="T33" s="8">
        <v>36.28</v>
      </c>
      <c r="U33" s="3"/>
      <c r="V33" s="7">
        <f t="shared" si="15"/>
        <v>5.3710192945133593E-3</v>
      </c>
      <c r="W33" s="3"/>
      <c r="X33" s="8">
        <f t="shared" si="16"/>
        <v>4.9799999999999969</v>
      </c>
      <c r="Y33" s="3"/>
      <c r="Z33" s="7">
        <f t="shared" si="17"/>
        <v>0.13726571113561181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8">
        <v>2066.46</v>
      </c>
      <c r="E34" s="3"/>
      <c r="F34" s="7">
        <f t="shared" si="10"/>
        <v>0.42626143027762708</v>
      </c>
      <c r="G34" s="3"/>
      <c r="H34" s="8">
        <v>1089.6300000000001</v>
      </c>
      <c r="I34" s="3"/>
      <c r="J34" s="7">
        <f t="shared" si="11"/>
        <v>0.16131267237818611</v>
      </c>
      <c r="K34" s="3"/>
      <c r="L34" s="8">
        <f t="shared" si="12"/>
        <v>976.82999999999993</v>
      </c>
      <c r="M34" s="3"/>
      <c r="N34" s="7">
        <f t="shared" si="13"/>
        <v>0.89647862118333732</v>
      </c>
      <c r="O34" s="11"/>
      <c r="P34" s="8">
        <v>2066.46</v>
      </c>
      <c r="Q34" s="3"/>
      <c r="R34" s="7">
        <f t="shared" si="14"/>
        <v>0.42626143027762708</v>
      </c>
      <c r="S34" s="3"/>
      <c r="T34" s="8">
        <v>1089.6300000000001</v>
      </c>
      <c r="U34" s="3"/>
      <c r="V34" s="7">
        <f t="shared" si="15"/>
        <v>0.16131267237818611</v>
      </c>
      <c r="W34" s="3"/>
      <c r="X34" s="8">
        <f t="shared" si="16"/>
        <v>976.82999999999993</v>
      </c>
      <c r="Y34" s="3"/>
      <c r="Z34" s="7">
        <f t="shared" si="17"/>
        <v>0.89647862118333732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8">
        <v>978.88</v>
      </c>
      <c r="E35" s="3"/>
      <c r="F35" s="7">
        <f t="shared" si="10"/>
        <v>0.201919605930027</v>
      </c>
      <c r="G35" s="3"/>
      <c r="H35" s="8">
        <v>1476.96</v>
      </c>
      <c r="I35" s="3"/>
      <c r="J35" s="7">
        <f t="shared" si="11"/>
        <v>0.21865437313187572</v>
      </c>
      <c r="K35" s="3"/>
      <c r="L35" s="8">
        <f t="shared" si="12"/>
        <v>-498.08000000000004</v>
      </c>
      <c r="M35" s="3"/>
      <c r="N35" s="7">
        <f t="shared" si="13"/>
        <v>-0.33723323583577081</v>
      </c>
      <c r="O35" s="11"/>
      <c r="P35" s="8">
        <v>978.88</v>
      </c>
      <c r="Q35" s="3"/>
      <c r="R35" s="7">
        <f t="shared" si="14"/>
        <v>0.201919605930027</v>
      </c>
      <c r="S35" s="3"/>
      <c r="T35" s="8">
        <v>1476.96</v>
      </c>
      <c r="U35" s="3"/>
      <c r="V35" s="7">
        <f t="shared" si="15"/>
        <v>0.21865437313187572</v>
      </c>
      <c r="W35" s="3"/>
      <c r="X35" s="8">
        <f t="shared" si="16"/>
        <v>-498.08000000000004</v>
      </c>
      <c r="Y35" s="3"/>
      <c r="Z35" s="7">
        <f t="shared" si="17"/>
        <v>-0.33723323583577081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8">
        <v>632.52</v>
      </c>
      <c r="E36" s="3"/>
      <c r="F36" s="7">
        <f t="shared" si="10"/>
        <v>0.13047379570821824</v>
      </c>
      <c r="G36" s="3"/>
      <c r="H36" s="8">
        <v>846.78</v>
      </c>
      <c r="I36" s="3"/>
      <c r="J36" s="7">
        <f t="shared" si="11"/>
        <v>0.12536030094288925</v>
      </c>
      <c r="K36" s="3"/>
      <c r="L36" s="8">
        <f t="shared" si="12"/>
        <v>-214.26</v>
      </c>
      <c r="M36" s="3"/>
      <c r="N36" s="7">
        <f t="shared" si="13"/>
        <v>-0.25302912208601996</v>
      </c>
      <c r="O36" s="11"/>
      <c r="P36" s="8">
        <v>632.52</v>
      </c>
      <c r="Q36" s="3"/>
      <c r="R36" s="7">
        <f t="shared" si="14"/>
        <v>0.13047379570821824</v>
      </c>
      <c r="S36" s="3"/>
      <c r="T36" s="8">
        <v>846.78</v>
      </c>
      <c r="U36" s="3"/>
      <c r="V36" s="7">
        <f t="shared" si="15"/>
        <v>0.12536030094288925</v>
      </c>
      <c r="W36" s="3"/>
      <c r="X36" s="8">
        <f t="shared" si="16"/>
        <v>-214.26</v>
      </c>
      <c r="Y36" s="3"/>
      <c r="Z36" s="7">
        <f t="shared" si="17"/>
        <v>-0.25302912208601996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8">
        <v>149.71</v>
      </c>
      <c r="E37" s="3"/>
      <c r="F37" s="7">
        <f t="shared" si="10"/>
        <v>3.0881603673365832E-2</v>
      </c>
      <c r="G37" s="3"/>
      <c r="H37" s="8">
        <v>242.38</v>
      </c>
      <c r="I37" s="3"/>
      <c r="J37" s="7">
        <f t="shared" si="11"/>
        <v>3.5882790975858544E-2</v>
      </c>
      <c r="K37" s="3"/>
      <c r="L37" s="8">
        <f t="shared" si="12"/>
        <v>-92.669999999999987</v>
      </c>
      <c r="M37" s="3"/>
      <c r="N37" s="7">
        <f t="shared" si="13"/>
        <v>-0.38233352586847097</v>
      </c>
      <c r="O37" s="11"/>
      <c r="P37" s="8">
        <v>149.71</v>
      </c>
      <c r="Q37" s="3"/>
      <c r="R37" s="7">
        <f t="shared" si="14"/>
        <v>3.0881603673365832E-2</v>
      </c>
      <c r="S37" s="3"/>
      <c r="T37" s="8">
        <v>242.38</v>
      </c>
      <c r="U37" s="3"/>
      <c r="V37" s="7">
        <f t="shared" si="15"/>
        <v>3.5882790975858544E-2</v>
      </c>
      <c r="W37" s="3"/>
      <c r="X37" s="8">
        <f t="shared" si="16"/>
        <v>-92.669999999999987</v>
      </c>
      <c r="Y37" s="3"/>
      <c r="Z37" s="7">
        <f t="shared" si="17"/>
        <v>-0.38233352586847097</v>
      </c>
    </row>
    <row r="38" spans="1:26" s="27" customFormat="1" outlineLevel="1" collapsed="1" x14ac:dyDescent="0.25">
      <c r="A38" s="28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15059.94</v>
      </c>
      <c r="E38" s="1"/>
      <c r="F38" s="5">
        <f t="shared" ref="F38:F41" si="18">IF(D$12=0,0,D38/D$12)</f>
        <v>3.1065065688642641</v>
      </c>
      <c r="G38" s="1"/>
      <c r="H38" s="1">
        <f>SUM(OSRRefH22_1x_0)</f>
        <v>16606.870000000003</v>
      </c>
      <c r="I38" s="1"/>
      <c r="J38" s="5">
        <f t="shared" ref="J38:J41" si="19">IF(H$12=0,0,H38/H$12)</f>
        <v>2.4585396690042747</v>
      </c>
      <c r="K38" s="1"/>
      <c r="L38" s="1">
        <f t="shared" ref="L38:L41" si="20">+D38-H38</f>
        <v>-1546.9300000000021</v>
      </c>
      <c r="M38" s="1"/>
      <c r="N38" s="5">
        <f t="shared" ref="N38:N41" si="21">IF(H38=0,0,L38/H38)</f>
        <v>-9.3150003582854676E-2</v>
      </c>
      <c r="O38" s="14"/>
      <c r="P38" s="1">
        <f>SUM(OSRRefP22_1x_0)</f>
        <v>15059.94</v>
      </c>
      <c r="Q38" s="1"/>
      <c r="R38" s="5">
        <f t="shared" ref="R38:R41" si="22">IF(P$12=0,0,P38/P$12)</f>
        <v>3.1065065688642641</v>
      </c>
      <c r="S38" s="1"/>
      <c r="T38" s="1">
        <f>SUM(OSRRefT22_1x_0)</f>
        <v>16606.870000000003</v>
      </c>
      <c r="U38" s="1"/>
      <c r="V38" s="5">
        <f t="shared" ref="V38:V41" si="23">IF(T$12=0,0,T38/T$12)</f>
        <v>2.4585396690042747</v>
      </c>
      <c r="W38" s="1"/>
      <c r="X38" s="1">
        <f t="shared" ref="X38:X41" si="24">+P38-T38</f>
        <v>-1546.9300000000021</v>
      </c>
      <c r="Y38" s="1"/>
      <c r="Z38" s="5">
        <f t="shared" ref="Z38:Z41" si="25">IF(T38=0,0,X38/T38)</f>
        <v>-9.3150003582854676E-2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8">
        <v>15059.94</v>
      </c>
      <c r="E39" s="3"/>
      <c r="F39" s="7">
        <f t="shared" si="18"/>
        <v>3.1065065688642641</v>
      </c>
      <c r="G39" s="3"/>
      <c r="H39" s="8">
        <v>12474.37</v>
      </c>
      <c r="I39" s="3"/>
      <c r="J39" s="7">
        <f t="shared" si="19"/>
        <v>1.846749778304813</v>
      </c>
      <c r="K39" s="3"/>
      <c r="L39" s="8">
        <f t="shared" si="20"/>
        <v>2585.5699999999997</v>
      </c>
      <c r="M39" s="3"/>
      <c r="N39" s="7">
        <f t="shared" si="21"/>
        <v>0.20727058761284134</v>
      </c>
      <c r="O39" s="11"/>
      <c r="P39" s="8">
        <v>15059.94</v>
      </c>
      <c r="Q39" s="3"/>
      <c r="R39" s="7">
        <f t="shared" si="22"/>
        <v>3.1065065688642641</v>
      </c>
      <c r="S39" s="3"/>
      <c r="T39" s="8">
        <v>12474.37</v>
      </c>
      <c r="U39" s="3"/>
      <c r="V39" s="7">
        <f t="shared" si="23"/>
        <v>1.846749778304813</v>
      </c>
      <c r="W39" s="3"/>
      <c r="X39" s="8">
        <f t="shared" si="24"/>
        <v>2585.5699999999997</v>
      </c>
      <c r="Y39" s="3"/>
      <c r="Z39" s="7">
        <f t="shared" si="25"/>
        <v>0.20727058761284134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8"/>
      <c r="E40" s="3"/>
      <c r="F40" s="7">
        <f t="shared" si="18"/>
        <v>0</v>
      </c>
      <c r="G40" s="3"/>
      <c r="H40" s="8">
        <v>987</v>
      </c>
      <c r="I40" s="3"/>
      <c r="J40" s="7">
        <f t="shared" si="19"/>
        <v>0.14611896482041581</v>
      </c>
      <c r="K40" s="3"/>
      <c r="L40" s="8">
        <f t="shared" si="20"/>
        <v>-987</v>
      </c>
      <c r="M40" s="3"/>
      <c r="N40" s="7">
        <f t="shared" si="21"/>
        <v>-1</v>
      </c>
      <c r="O40" s="11"/>
      <c r="P40" s="8"/>
      <c r="Q40" s="3"/>
      <c r="R40" s="7">
        <f t="shared" si="22"/>
        <v>0</v>
      </c>
      <c r="S40" s="3"/>
      <c r="T40" s="8">
        <v>987</v>
      </c>
      <c r="U40" s="3"/>
      <c r="V40" s="7">
        <f t="shared" si="23"/>
        <v>0.14611896482041581</v>
      </c>
      <c r="W40" s="3"/>
      <c r="X40" s="8">
        <f t="shared" si="24"/>
        <v>-987</v>
      </c>
      <c r="Y40" s="3"/>
      <c r="Z40" s="7">
        <f t="shared" si="25"/>
        <v>-1</v>
      </c>
    </row>
    <row r="41" spans="1:26" s="24" customFormat="1" hidden="1" outlineLevel="2" x14ac:dyDescent="0.25">
      <c r="A41" s="29"/>
      <c r="B41" s="11" t="str">
        <f>CONCATENATE("          ", "6007", " - ", "STUDENT HOURLY")</f>
        <v xml:space="preserve">          6007 - STUDENT HOURLY</v>
      </c>
      <c r="C41" s="11"/>
      <c r="D41" s="8"/>
      <c r="E41" s="3"/>
      <c r="F41" s="7">
        <f t="shared" si="18"/>
        <v>0</v>
      </c>
      <c r="G41" s="3"/>
      <c r="H41" s="8">
        <v>3145.5</v>
      </c>
      <c r="I41" s="3"/>
      <c r="J41" s="7">
        <f t="shared" si="19"/>
        <v>0.46567092587904552</v>
      </c>
      <c r="K41" s="3"/>
      <c r="L41" s="8">
        <f t="shared" si="20"/>
        <v>-3145.5</v>
      </c>
      <c r="M41" s="3"/>
      <c r="N41" s="7">
        <f t="shared" si="21"/>
        <v>-1</v>
      </c>
      <c r="O41" s="11"/>
      <c r="P41" s="8"/>
      <c r="Q41" s="3"/>
      <c r="R41" s="7">
        <f t="shared" si="22"/>
        <v>0</v>
      </c>
      <c r="S41" s="3"/>
      <c r="T41" s="8">
        <v>3145.5</v>
      </c>
      <c r="U41" s="3"/>
      <c r="V41" s="7">
        <f t="shared" si="23"/>
        <v>0.46567092587904552</v>
      </c>
      <c r="W41" s="3"/>
      <c r="X41" s="8">
        <f t="shared" si="24"/>
        <v>-3145.5</v>
      </c>
      <c r="Y41" s="3"/>
      <c r="Z41" s="7">
        <f t="shared" si="25"/>
        <v>-1</v>
      </c>
    </row>
    <row r="42" spans="1:26" s="27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SUM(OSRRefD22_2x_0)</f>
        <v>169.88</v>
      </c>
      <c r="E42" s="1"/>
      <c r="F42" s="5">
        <f t="shared" ref="F42:F50" si="26">IF(D$12=0,0,D42/D$12)</f>
        <v>3.5042193788199769E-2</v>
      </c>
      <c r="G42" s="1"/>
      <c r="H42" s="1">
        <f>SUM(OSRRefH22_2x_0)</f>
        <v>0</v>
      </c>
      <c r="I42" s="1"/>
      <c r="J42" s="5">
        <f t="shared" ref="J42:J50" si="27">IF(H$12=0,0,H42/H$12)</f>
        <v>0</v>
      </c>
      <c r="K42" s="1"/>
      <c r="L42" s="1">
        <f t="shared" ref="L42:L50" si="28">+D42-H42</f>
        <v>169.88</v>
      </c>
      <c r="M42" s="1"/>
      <c r="N42" s="5">
        <f t="shared" ref="N42:N50" si="29">IF(H42=0,0,L42/H42)</f>
        <v>0</v>
      </c>
      <c r="O42" s="14"/>
      <c r="P42" s="1">
        <f>SUM(OSRRefP22_2x_0)</f>
        <v>169.88</v>
      </c>
      <c r="Q42" s="1"/>
      <c r="R42" s="5">
        <f t="shared" ref="R42:R50" si="30">IF(P$12=0,0,P42/P$12)</f>
        <v>3.5042193788199769E-2</v>
      </c>
      <c r="S42" s="1"/>
      <c r="T42" s="1">
        <f>SUM(OSRRefT22_2x_0)</f>
        <v>0</v>
      </c>
      <c r="U42" s="1"/>
      <c r="V42" s="5">
        <f t="shared" ref="V42:V50" si="31">IF(T$12=0,0,T42/T$12)</f>
        <v>0</v>
      </c>
      <c r="W42" s="1"/>
      <c r="X42" s="1">
        <f t="shared" ref="X42:X50" si="32">+P42-T42</f>
        <v>169.88</v>
      </c>
      <c r="Y42" s="1"/>
      <c r="Z42" s="5">
        <f t="shared" ref="Z42:Z50" si="33">IF(T42=0,0,X42/T42)</f>
        <v>0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8">
        <v>169.88</v>
      </c>
      <c r="E43" s="3"/>
      <c r="F43" s="7">
        <f t="shared" si="26"/>
        <v>3.5042193788199769E-2</v>
      </c>
      <c r="G43" s="3"/>
      <c r="H43" s="8"/>
      <c r="I43" s="3"/>
      <c r="J43" s="7">
        <f t="shared" si="27"/>
        <v>0</v>
      </c>
      <c r="K43" s="3"/>
      <c r="L43" s="8">
        <f t="shared" si="28"/>
        <v>169.88</v>
      </c>
      <c r="M43" s="3"/>
      <c r="N43" s="7">
        <f t="shared" si="29"/>
        <v>0</v>
      </c>
      <c r="O43" s="11"/>
      <c r="P43" s="8">
        <v>169.88</v>
      </c>
      <c r="Q43" s="3"/>
      <c r="R43" s="7">
        <f t="shared" si="30"/>
        <v>3.5042193788199769E-2</v>
      </c>
      <c r="S43" s="3"/>
      <c r="T43" s="8"/>
      <c r="U43" s="3"/>
      <c r="V43" s="7">
        <f t="shared" si="31"/>
        <v>0</v>
      </c>
      <c r="W43" s="3"/>
      <c r="X43" s="8">
        <f t="shared" si="32"/>
        <v>169.88</v>
      </c>
      <c r="Y43" s="3"/>
      <c r="Z43" s="7">
        <f t="shared" si="33"/>
        <v>0</v>
      </c>
    </row>
    <row r="44" spans="1:26" s="27" customFormat="1" outlineLevel="1" collapsed="1" x14ac:dyDescent="0.25">
      <c r="A44" s="28"/>
      <c r="B44" s="14" t="str">
        <f>CONCATENATE("     ","Discounts and Markdowns                           ")</f>
        <v xml:space="preserve">     Discounts and Markdowns                           </v>
      </c>
      <c r="C44" s="14"/>
      <c r="D44" s="1">
        <f>SUM(OSRRefD22_3x_0)</f>
        <v>0</v>
      </c>
      <c r="E44" s="1"/>
      <c r="F44" s="5">
        <f t="shared" si="26"/>
        <v>0</v>
      </c>
      <c r="G44" s="1"/>
      <c r="H44" s="1">
        <f>SUM(OSRRefH22_3x_0)</f>
        <v>63.22</v>
      </c>
      <c r="I44" s="1"/>
      <c r="J44" s="5">
        <f t="shared" si="27"/>
        <v>9.3593120121040398E-3</v>
      </c>
      <c r="K44" s="1"/>
      <c r="L44" s="1">
        <f t="shared" si="28"/>
        <v>-63.22</v>
      </c>
      <c r="M44" s="1"/>
      <c r="N44" s="5">
        <f t="shared" si="29"/>
        <v>-1</v>
      </c>
      <c r="O44" s="14"/>
      <c r="P44" s="1">
        <f>SUM(OSRRefP22_3x_0)</f>
        <v>0</v>
      </c>
      <c r="Q44" s="1"/>
      <c r="R44" s="5">
        <f t="shared" si="30"/>
        <v>0</v>
      </c>
      <c r="S44" s="1"/>
      <c r="T44" s="1">
        <f>SUM(OSRRefT22_3x_0)</f>
        <v>63.22</v>
      </c>
      <c r="U44" s="1"/>
      <c r="V44" s="5">
        <f t="shared" si="31"/>
        <v>9.3593120121040398E-3</v>
      </c>
      <c r="W44" s="1"/>
      <c r="X44" s="1">
        <f t="shared" si="32"/>
        <v>-63.22</v>
      </c>
      <c r="Y44" s="1"/>
      <c r="Z44" s="5">
        <f t="shared" si="33"/>
        <v>-1</v>
      </c>
    </row>
    <row r="45" spans="1:26" s="24" customFormat="1" hidden="1" outlineLevel="2" x14ac:dyDescent="0.25">
      <c r="A45" s="29"/>
      <c r="B45" s="11" t="str">
        <f>CONCATENATE("          ", "6382", " - ", "DISCOUNTS/MARK DOWNS")</f>
        <v xml:space="preserve">          6382 - DISCOUNTS/MARK DOWNS</v>
      </c>
      <c r="C45" s="11"/>
      <c r="D45" s="8"/>
      <c r="E45" s="3"/>
      <c r="F45" s="7">
        <f t="shared" si="26"/>
        <v>0</v>
      </c>
      <c r="G45" s="3"/>
      <c r="H45" s="8">
        <v>63.22</v>
      </c>
      <c r="I45" s="3"/>
      <c r="J45" s="7">
        <f t="shared" si="27"/>
        <v>9.3593120121040398E-3</v>
      </c>
      <c r="K45" s="3"/>
      <c r="L45" s="8">
        <f t="shared" si="28"/>
        <v>-63.22</v>
      </c>
      <c r="M45" s="3"/>
      <c r="N45" s="7">
        <f t="shared" si="29"/>
        <v>-1</v>
      </c>
      <c r="O45" s="11"/>
      <c r="P45" s="8"/>
      <c r="Q45" s="3"/>
      <c r="R45" s="7">
        <f t="shared" si="30"/>
        <v>0</v>
      </c>
      <c r="S45" s="3"/>
      <c r="T45" s="8">
        <v>63.22</v>
      </c>
      <c r="U45" s="3"/>
      <c r="V45" s="7">
        <f t="shared" si="31"/>
        <v>9.3593120121040398E-3</v>
      </c>
      <c r="W45" s="3"/>
      <c r="X45" s="8">
        <f t="shared" si="32"/>
        <v>-63.22</v>
      </c>
      <c r="Y45" s="3"/>
      <c r="Z45" s="7">
        <f t="shared" si="33"/>
        <v>-1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SUM(OSRRefD22_4x_0)</f>
        <v>1205.6400000000001</v>
      </c>
      <c r="E46" s="1"/>
      <c r="F46" s="5">
        <f t="shared" si="26"/>
        <v>0.24869478760775354</v>
      </c>
      <c r="G46" s="1"/>
      <c r="H46" s="1">
        <f>SUM(OSRRefH22_4x_0)</f>
        <v>1205.6400000000001</v>
      </c>
      <c r="I46" s="1"/>
      <c r="J46" s="5">
        <f t="shared" si="27"/>
        <v>0.17848720237698695</v>
      </c>
      <c r="K46" s="1"/>
      <c r="L46" s="1">
        <f t="shared" si="28"/>
        <v>0</v>
      </c>
      <c r="M46" s="1"/>
      <c r="N46" s="5">
        <f t="shared" si="29"/>
        <v>0</v>
      </c>
      <c r="O46" s="14"/>
      <c r="P46" s="1">
        <f>SUM(OSRRefP22_4x_0)</f>
        <v>1205.6400000000001</v>
      </c>
      <c r="Q46" s="1"/>
      <c r="R46" s="5">
        <f t="shared" si="30"/>
        <v>0.24869478760775354</v>
      </c>
      <c r="S46" s="1"/>
      <c r="T46" s="1">
        <f>SUM(OSRRefT22_4x_0)</f>
        <v>1205.6400000000001</v>
      </c>
      <c r="U46" s="1"/>
      <c r="V46" s="5">
        <f t="shared" si="31"/>
        <v>0.17848720237698695</v>
      </c>
      <c r="W46" s="1"/>
      <c r="X46" s="1">
        <f t="shared" si="32"/>
        <v>0</v>
      </c>
      <c r="Y46" s="1"/>
      <c r="Z46" s="5">
        <f t="shared" si="33"/>
        <v>0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8">
        <v>1205.6400000000001</v>
      </c>
      <c r="E47" s="3"/>
      <c r="F47" s="7">
        <f t="shared" si="26"/>
        <v>0.24869478760775354</v>
      </c>
      <c r="G47" s="3"/>
      <c r="H47" s="8">
        <v>1205.6400000000001</v>
      </c>
      <c r="I47" s="3"/>
      <c r="J47" s="7">
        <f t="shared" si="27"/>
        <v>0.17848720237698695</v>
      </c>
      <c r="K47" s="3"/>
      <c r="L47" s="8">
        <f t="shared" si="28"/>
        <v>0</v>
      </c>
      <c r="M47" s="3"/>
      <c r="N47" s="7">
        <f t="shared" si="29"/>
        <v>0</v>
      </c>
      <c r="O47" s="11"/>
      <c r="P47" s="8">
        <v>1205.6400000000001</v>
      </c>
      <c r="Q47" s="3"/>
      <c r="R47" s="7">
        <f t="shared" si="30"/>
        <v>0.24869478760775354</v>
      </c>
      <c r="S47" s="3"/>
      <c r="T47" s="8">
        <v>1205.6400000000001</v>
      </c>
      <c r="U47" s="3"/>
      <c r="V47" s="7">
        <f t="shared" si="31"/>
        <v>0.17848720237698695</v>
      </c>
      <c r="W47" s="3"/>
      <c r="X47" s="8">
        <f t="shared" si="32"/>
        <v>0</v>
      </c>
      <c r="Y47" s="3"/>
      <c r="Z47" s="7">
        <f t="shared" si="33"/>
        <v>0</v>
      </c>
    </row>
    <row r="48" spans="1:26" s="27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8744.76</v>
      </c>
      <c r="E48" s="1"/>
      <c r="F48" s="5">
        <f t="shared" si="26"/>
        <v>1.8038354988892029</v>
      </c>
      <c r="G48" s="1"/>
      <c r="H48" s="1">
        <f>SUM(OSRRefH22_5x_0)</f>
        <v>0</v>
      </c>
      <c r="I48" s="1"/>
      <c r="J48" s="5">
        <f t="shared" si="27"/>
        <v>0</v>
      </c>
      <c r="K48" s="1"/>
      <c r="L48" s="1">
        <f t="shared" si="28"/>
        <v>8744.76</v>
      </c>
      <c r="M48" s="1"/>
      <c r="N48" s="5">
        <f t="shared" si="29"/>
        <v>0</v>
      </c>
      <c r="O48" s="14"/>
      <c r="P48" s="1">
        <f>SUM(OSRRefP22_5x_0)</f>
        <v>8744.76</v>
      </c>
      <c r="Q48" s="1"/>
      <c r="R48" s="5">
        <f t="shared" si="30"/>
        <v>1.8038354988892029</v>
      </c>
      <c r="S48" s="1"/>
      <c r="T48" s="1">
        <f>SUM(OSRRefT22_5x_0)</f>
        <v>0</v>
      </c>
      <c r="U48" s="1"/>
      <c r="V48" s="5">
        <f t="shared" si="31"/>
        <v>0</v>
      </c>
      <c r="W48" s="1"/>
      <c r="X48" s="1">
        <f t="shared" si="32"/>
        <v>8744.76</v>
      </c>
      <c r="Y48" s="1"/>
      <c r="Z48" s="5">
        <f t="shared" si="33"/>
        <v>0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8">
        <v>11905.2</v>
      </c>
      <c r="E49" s="3"/>
      <c r="F49" s="7">
        <f t="shared" si="26"/>
        <v>2.4557589209281603</v>
      </c>
      <c r="G49" s="3"/>
      <c r="H49" s="8"/>
      <c r="I49" s="3"/>
      <c r="J49" s="7">
        <f t="shared" si="27"/>
        <v>0</v>
      </c>
      <c r="K49" s="3"/>
      <c r="L49" s="8">
        <f t="shared" si="28"/>
        <v>11905.2</v>
      </c>
      <c r="M49" s="3"/>
      <c r="N49" s="7">
        <f t="shared" si="29"/>
        <v>0</v>
      </c>
      <c r="O49" s="11"/>
      <c r="P49" s="8">
        <v>11905.2</v>
      </c>
      <c r="Q49" s="3"/>
      <c r="R49" s="7">
        <f t="shared" si="30"/>
        <v>2.4557589209281603</v>
      </c>
      <c r="S49" s="3"/>
      <c r="T49" s="8"/>
      <c r="U49" s="3"/>
      <c r="V49" s="7">
        <f t="shared" si="31"/>
        <v>0</v>
      </c>
      <c r="W49" s="3"/>
      <c r="X49" s="8">
        <f t="shared" si="32"/>
        <v>11905.2</v>
      </c>
      <c r="Y49" s="3"/>
      <c r="Z49" s="7">
        <f t="shared" si="33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8">
        <v>-3160.44</v>
      </c>
      <c r="E50" s="3"/>
      <c r="F50" s="7">
        <f t="shared" si="26"/>
        <v>-0.65192342203895737</v>
      </c>
      <c r="G50" s="3"/>
      <c r="H50" s="8"/>
      <c r="I50" s="3"/>
      <c r="J50" s="7">
        <f t="shared" si="27"/>
        <v>0</v>
      </c>
      <c r="K50" s="3"/>
      <c r="L50" s="8">
        <f t="shared" si="28"/>
        <v>-3160.44</v>
      </c>
      <c r="M50" s="3"/>
      <c r="N50" s="7">
        <f t="shared" si="29"/>
        <v>0</v>
      </c>
      <c r="O50" s="11"/>
      <c r="P50" s="8">
        <v>-3160.44</v>
      </c>
      <c r="Q50" s="3"/>
      <c r="R50" s="7">
        <f t="shared" si="30"/>
        <v>-0.65192342203895737</v>
      </c>
      <c r="S50" s="3"/>
      <c r="T50" s="8"/>
      <c r="U50" s="3"/>
      <c r="V50" s="7">
        <f t="shared" si="31"/>
        <v>0</v>
      </c>
      <c r="W50" s="3"/>
      <c r="X50" s="8">
        <f t="shared" si="32"/>
        <v>-3160.44</v>
      </c>
      <c r="Y50" s="3"/>
      <c r="Z50" s="7">
        <f t="shared" si="33"/>
        <v>0</v>
      </c>
    </row>
    <row r="51" spans="1:26" s="27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6378.1</v>
      </c>
      <c r="E51" s="1"/>
      <c r="F51" s="5">
        <f t="shared" ref="F51:F60" si="34">IF(D$12=0,0,D51/D$12)</f>
        <v>1.3156499658612959</v>
      </c>
      <c r="G51" s="1"/>
      <c r="H51" s="1">
        <f>SUM(OSRRefH22_6x_0)</f>
        <v>5942.4</v>
      </c>
      <c r="I51" s="1"/>
      <c r="J51" s="5">
        <f t="shared" ref="J51:J60" si="35">IF(H$12=0,0,H51/H$12)</f>
        <v>0.87973387694917815</v>
      </c>
      <c r="K51" s="1"/>
      <c r="L51" s="1">
        <f t="shared" ref="L51:L60" si="36">+D51-H51</f>
        <v>435.70000000000073</v>
      </c>
      <c r="M51" s="1"/>
      <c r="N51" s="5">
        <f t="shared" ref="N51:N60" si="37">IF(H51=0,0,L51/H51)</f>
        <v>7.3320543887991516E-2</v>
      </c>
      <c r="O51" s="14"/>
      <c r="P51" s="1">
        <f>SUM(OSRRefP22_6x_0)</f>
        <v>6378.1</v>
      </c>
      <c r="Q51" s="1"/>
      <c r="R51" s="5">
        <f t="shared" ref="R51:R60" si="38">IF(P$12=0,0,P51/P$12)</f>
        <v>1.3156499658612959</v>
      </c>
      <c r="S51" s="1"/>
      <c r="T51" s="1">
        <f>SUM(OSRRefT22_6x_0)</f>
        <v>5942.4</v>
      </c>
      <c r="U51" s="1"/>
      <c r="V51" s="5">
        <f t="shared" ref="V51:V60" si="39">IF(T$12=0,0,T51/T$12)</f>
        <v>0.87973387694917815</v>
      </c>
      <c r="W51" s="1"/>
      <c r="X51" s="1">
        <f t="shared" ref="X51:X60" si="40">+P51-T51</f>
        <v>435.70000000000073</v>
      </c>
      <c r="Y51" s="1"/>
      <c r="Z51" s="5">
        <f t="shared" ref="Z51:Z60" si="41">IF(T51=0,0,X51/T51)</f>
        <v>7.3320543887991516E-2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8">
        <v>6378.1</v>
      </c>
      <c r="E52" s="3"/>
      <c r="F52" s="7">
        <f t="shared" si="34"/>
        <v>1.3156499658612959</v>
      </c>
      <c r="G52" s="3"/>
      <c r="H52" s="8">
        <v>5942.4</v>
      </c>
      <c r="I52" s="3"/>
      <c r="J52" s="7">
        <f t="shared" si="35"/>
        <v>0.87973387694917815</v>
      </c>
      <c r="K52" s="3"/>
      <c r="L52" s="8">
        <f t="shared" si="36"/>
        <v>435.70000000000073</v>
      </c>
      <c r="M52" s="3"/>
      <c r="N52" s="7">
        <f t="shared" si="37"/>
        <v>7.3320543887991516E-2</v>
      </c>
      <c r="O52" s="11"/>
      <c r="P52" s="8">
        <v>6378.1</v>
      </c>
      <c r="Q52" s="3"/>
      <c r="R52" s="7">
        <f t="shared" si="38"/>
        <v>1.3156499658612959</v>
      </c>
      <c r="S52" s="3"/>
      <c r="T52" s="8">
        <v>5942.4</v>
      </c>
      <c r="U52" s="3"/>
      <c r="V52" s="7">
        <f t="shared" si="39"/>
        <v>0.87973387694917815</v>
      </c>
      <c r="W52" s="3"/>
      <c r="X52" s="8">
        <f t="shared" si="40"/>
        <v>435.70000000000073</v>
      </c>
      <c r="Y52" s="3"/>
      <c r="Z52" s="7">
        <f t="shared" si="41"/>
        <v>7.3320543887991516E-2</v>
      </c>
    </row>
    <row r="53" spans="1:26" s="27" customFormat="1" outlineLevel="1" collapsed="1" x14ac:dyDescent="0.25">
      <c r="A53" s="28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SUM(OSRRefD22_7x_0)</f>
        <v>5317.55</v>
      </c>
      <c r="E53" s="1"/>
      <c r="F53" s="5">
        <f t="shared" si="34"/>
        <v>1.0968837860751217</v>
      </c>
      <c r="G53" s="1"/>
      <c r="H53" s="1">
        <f>SUM(OSRRefH22_7x_0)</f>
        <v>605.01</v>
      </c>
      <c r="I53" s="1"/>
      <c r="J53" s="5">
        <f t="shared" si="35"/>
        <v>8.9567816520769769E-2</v>
      </c>
      <c r="K53" s="1"/>
      <c r="L53" s="1">
        <f t="shared" si="36"/>
        <v>4712.54</v>
      </c>
      <c r="M53" s="1"/>
      <c r="N53" s="5">
        <f t="shared" si="37"/>
        <v>7.7891935670484784</v>
      </c>
      <c r="O53" s="14"/>
      <c r="P53" s="1">
        <f>SUM(OSRRefP22_7x_0)</f>
        <v>5317.55</v>
      </c>
      <c r="Q53" s="1"/>
      <c r="R53" s="5">
        <f t="shared" si="38"/>
        <v>1.0968837860751217</v>
      </c>
      <c r="S53" s="1"/>
      <c r="T53" s="1">
        <f>SUM(OSRRefT22_7x_0)</f>
        <v>605.01</v>
      </c>
      <c r="U53" s="1"/>
      <c r="V53" s="5">
        <f t="shared" si="39"/>
        <v>8.9567816520769769E-2</v>
      </c>
      <c r="W53" s="1"/>
      <c r="X53" s="1">
        <f t="shared" si="40"/>
        <v>4712.54</v>
      </c>
      <c r="Y53" s="1"/>
      <c r="Z53" s="5">
        <f t="shared" si="41"/>
        <v>7.7891935670484784</v>
      </c>
    </row>
    <row r="54" spans="1:26" s="24" customFormat="1" hidden="1" outlineLevel="2" x14ac:dyDescent="0.25">
      <c r="A54" s="29"/>
      <c r="B54" s="11" t="str">
        <f>CONCATENATE("          ", "6259", " - ", "ROYALTY &amp; COMMISSIONS")</f>
        <v xml:space="preserve">          6259 - ROYALTY &amp; COMMISSIONS</v>
      </c>
      <c r="C54" s="11"/>
      <c r="D54" s="8">
        <v>5317.55</v>
      </c>
      <c r="E54" s="3"/>
      <c r="F54" s="7">
        <f t="shared" si="34"/>
        <v>1.0968837860751217</v>
      </c>
      <c r="G54" s="3"/>
      <c r="H54" s="8">
        <v>605.01</v>
      </c>
      <c r="I54" s="3"/>
      <c r="J54" s="7">
        <f t="shared" si="35"/>
        <v>8.9567816520769769E-2</v>
      </c>
      <c r="K54" s="3"/>
      <c r="L54" s="8">
        <f t="shared" si="36"/>
        <v>4712.54</v>
      </c>
      <c r="M54" s="3"/>
      <c r="N54" s="7">
        <f t="shared" si="37"/>
        <v>7.7891935670484784</v>
      </c>
      <c r="O54" s="11"/>
      <c r="P54" s="8">
        <v>5317.55</v>
      </c>
      <c r="Q54" s="3"/>
      <c r="R54" s="7">
        <f t="shared" si="38"/>
        <v>1.0968837860751217</v>
      </c>
      <c r="S54" s="3"/>
      <c r="T54" s="8">
        <v>605.01</v>
      </c>
      <c r="U54" s="3"/>
      <c r="V54" s="7">
        <f t="shared" si="39"/>
        <v>8.9567816520769769E-2</v>
      </c>
      <c r="W54" s="3"/>
      <c r="X54" s="8">
        <f t="shared" si="40"/>
        <v>4712.54</v>
      </c>
      <c r="Y54" s="3"/>
      <c r="Z54" s="7">
        <f t="shared" si="41"/>
        <v>7.7891935670484784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4147.8</v>
      </c>
      <c r="E55" s="1"/>
      <c r="F55" s="5">
        <f t="shared" si="34"/>
        <v>0.85559224979217685</v>
      </c>
      <c r="G55" s="1"/>
      <c r="H55" s="1">
        <f>SUM(OSRRefH22_8x_0)</f>
        <v>1910.37</v>
      </c>
      <c r="I55" s="1"/>
      <c r="J55" s="5">
        <f t="shared" si="35"/>
        <v>0.28281791978113247</v>
      </c>
      <c r="K55" s="1"/>
      <c r="L55" s="1">
        <f t="shared" si="36"/>
        <v>2237.4300000000003</v>
      </c>
      <c r="M55" s="1"/>
      <c r="N55" s="5">
        <f t="shared" si="37"/>
        <v>1.1712024372242029</v>
      </c>
      <c r="O55" s="14"/>
      <c r="P55" s="1">
        <f>SUM(OSRRefP22_8x_0)</f>
        <v>4147.8</v>
      </c>
      <c r="Q55" s="1"/>
      <c r="R55" s="5">
        <f t="shared" si="38"/>
        <v>0.85559224979217685</v>
      </c>
      <c r="S55" s="1"/>
      <c r="T55" s="1">
        <f>SUM(OSRRefT22_8x_0)</f>
        <v>1910.37</v>
      </c>
      <c r="U55" s="1"/>
      <c r="V55" s="5">
        <f t="shared" si="39"/>
        <v>0.28281791978113247</v>
      </c>
      <c r="W55" s="1"/>
      <c r="X55" s="1">
        <f t="shared" si="40"/>
        <v>2237.4300000000003</v>
      </c>
      <c r="Y55" s="1"/>
      <c r="Z55" s="5">
        <f t="shared" si="41"/>
        <v>1.1712024372242029</v>
      </c>
    </row>
    <row r="56" spans="1:26" s="24" customFormat="1" hidden="1" outlineLevel="2" x14ac:dyDescent="0.25">
      <c r="A56" s="29"/>
      <c r="B56" s="11" t="str">
        <f>CONCATENATE("          ", "6234", " - ", "EXPENDABLE SUPPLIES &amp; EQUIPMEN")</f>
        <v xml:space="preserve">          6234 - EXPENDABLE SUPPLIES &amp; EQUIPMEN</v>
      </c>
      <c r="C56" s="11"/>
      <c r="D56" s="8"/>
      <c r="E56" s="3"/>
      <c r="F56" s="7">
        <f t="shared" si="34"/>
        <v>0</v>
      </c>
      <c r="G56" s="3"/>
      <c r="H56" s="8">
        <v>17.27</v>
      </c>
      <c r="I56" s="3"/>
      <c r="J56" s="7">
        <f t="shared" si="35"/>
        <v>2.5567117755304772E-3</v>
      </c>
      <c r="K56" s="3"/>
      <c r="L56" s="8">
        <f t="shared" si="36"/>
        <v>-17.27</v>
      </c>
      <c r="M56" s="3"/>
      <c r="N56" s="7">
        <f t="shared" si="37"/>
        <v>-1</v>
      </c>
      <c r="O56" s="11"/>
      <c r="P56" s="8"/>
      <c r="Q56" s="3"/>
      <c r="R56" s="7">
        <f t="shared" si="38"/>
        <v>0</v>
      </c>
      <c r="S56" s="3"/>
      <c r="T56" s="8">
        <v>17.27</v>
      </c>
      <c r="U56" s="3"/>
      <c r="V56" s="7">
        <f t="shared" si="39"/>
        <v>2.5567117755304772E-3</v>
      </c>
      <c r="W56" s="3"/>
      <c r="X56" s="8">
        <f t="shared" si="40"/>
        <v>-17.27</v>
      </c>
      <c r="Y56" s="3"/>
      <c r="Z56" s="7">
        <f t="shared" si="41"/>
        <v>-1</v>
      </c>
    </row>
    <row r="57" spans="1:26" s="24" customFormat="1" hidden="1" outlineLevel="2" x14ac:dyDescent="0.25">
      <c r="A57" s="29"/>
      <c r="B57" s="11" t="str">
        <f>CONCATENATE("          ", "6235", " - ", "COVID-19 EXPENSES")</f>
        <v xml:space="preserve">          6235 - COVID-19 EXPENSES</v>
      </c>
      <c r="C57" s="11"/>
      <c r="D57" s="8">
        <v>310.91000000000003</v>
      </c>
      <c r="E57" s="3"/>
      <c r="F57" s="7">
        <f t="shared" si="34"/>
        <v>6.4133320406694075E-2</v>
      </c>
      <c r="G57" s="3"/>
      <c r="H57" s="8"/>
      <c r="I57" s="3"/>
      <c r="J57" s="7">
        <f t="shared" si="35"/>
        <v>0</v>
      </c>
      <c r="K57" s="3"/>
      <c r="L57" s="8">
        <f t="shared" si="36"/>
        <v>310.91000000000003</v>
      </c>
      <c r="M57" s="3"/>
      <c r="N57" s="7">
        <f t="shared" si="37"/>
        <v>0</v>
      </c>
      <c r="O57" s="11"/>
      <c r="P57" s="8">
        <v>310.91000000000003</v>
      </c>
      <c r="Q57" s="3"/>
      <c r="R57" s="7">
        <f t="shared" si="38"/>
        <v>6.4133320406694075E-2</v>
      </c>
      <c r="S57" s="3"/>
      <c r="T57" s="8"/>
      <c r="U57" s="3"/>
      <c r="V57" s="7">
        <f t="shared" si="39"/>
        <v>0</v>
      </c>
      <c r="W57" s="3"/>
      <c r="X57" s="8">
        <f t="shared" si="40"/>
        <v>310.91000000000003</v>
      </c>
      <c r="Y57" s="3"/>
      <c r="Z57" s="7">
        <f t="shared" si="41"/>
        <v>0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8">
        <v>1080</v>
      </c>
      <c r="E58" s="3"/>
      <c r="F58" s="7">
        <f t="shared" si="34"/>
        <v>0.22277825106696345</v>
      </c>
      <c r="G58" s="3"/>
      <c r="H58" s="8">
        <v>1161.3399999999999</v>
      </c>
      <c r="I58" s="3"/>
      <c r="J58" s="7">
        <f t="shared" si="35"/>
        <v>0.17192887396610099</v>
      </c>
      <c r="K58" s="3"/>
      <c r="L58" s="8">
        <f t="shared" si="36"/>
        <v>-81.339999999999918</v>
      </c>
      <c r="M58" s="3"/>
      <c r="N58" s="7">
        <f t="shared" si="37"/>
        <v>-7.0039781631563477E-2</v>
      </c>
      <c r="O58" s="11"/>
      <c r="P58" s="8">
        <v>1080</v>
      </c>
      <c r="Q58" s="3"/>
      <c r="R58" s="7">
        <f t="shared" si="38"/>
        <v>0.22277825106696345</v>
      </c>
      <c r="S58" s="3"/>
      <c r="T58" s="8">
        <v>1161.3399999999999</v>
      </c>
      <c r="U58" s="3"/>
      <c r="V58" s="7">
        <f t="shared" si="39"/>
        <v>0.17192887396610099</v>
      </c>
      <c r="W58" s="3"/>
      <c r="X58" s="8">
        <f t="shared" si="40"/>
        <v>-81.339999999999918</v>
      </c>
      <c r="Y58" s="3"/>
      <c r="Z58" s="7">
        <f t="shared" si="41"/>
        <v>-7.0039781631563477E-2</v>
      </c>
    </row>
    <row r="59" spans="1:26" s="24" customFormat="1" hidden="1" outlineLevel="2" x14ac:dyDescent="0.25">
      <c r="A59" s="29"/>
      <c r="B59" s="11" t="str">
        <f>CONCATENATE("          ", "6245", " - ", "PRINTING")</f>
        <v xml:space="preserve">          6245 - PRINTING</v>
      </c>
      <c r="C59" s="11"/>
      <c r="D59" s="8">
        <v>-1543.5</v>
      </c>
      <c r="E59" s="3"/>
      <c r="F59" s="7">
        <f t="shared" si="34"/>
        <v>-0.31838725048320193</v>
      </c>
      <c r="G59" s="3"/>
      <c r="H59" s="8"/>
      <c r="I59" s="3"/>
      <c r="J59" s="7">
        <f t="shared" si="35"/>
        <v>0</v>
      </c>
      <c r="K59" s="3"/>
      <c r="L59" s="8">
        <f t="shared" si="36"/>
        <v>-1543.5</v>
      </c>
      <c r="M59" s="3"/>
      <c r="N59" s="7">
        <f t="shared" si="37"/>
        <v>0</v>
      </c>
      <c r="O59" s="11"/>
      <c r="P59" s="8">
        <v>-1543.5</v>
      </c>
      <c r="Q59" s="3"/>
      <c r="R59" s="7">
        <f t="shared" si="38"/>
        <v>-0.31838725048320193</v>
      </c>
      <c r="S59" s="3"/>
      <c r="T59" s="8"/>
      <c r="U59" s="3"/>
      <c r="V59" s="7">
        <f t="shared" si="39"/>
        <v>0</v>
      </c>
      <c r="W59" s="3"/>
      <c r="X59" s="8">
        <f t="shared" si="40"/>
        <v>-1543.5</v>
      </c>
      <c r="Y59" s="3"/>
      <c r="Z59" s="7">
        <f t="shared" si="41"/>
        <v>0</v>
      </c>
    </row>
    <row r="60" spans="1:26" s="24" customFormat="1" hidden="1" outlineLevel="2" x14ac:dyDescent="0.25">
      <c r="A60" s="29"/>
      <c r="B60" s="11" t="str">
        <f>CONCATENATE("          ", "6247", " - ", "STORE SUPPLIES")</f>
        <v xml:space="preserve">          6247 - STORE SUPPLIES</v>
      </c>
      <c r="C60" s="11"/>
      <c r="D60" s="8">
        <v>4300.3900000000003</v>
      </c>
      <c r="E60" s="3"/>
      <c r="F60" s="7">
        <f t="shared" si="34"/>
        <v>0.88706792880172125</v>
      </c>
      <c r="G60" s="3"/>
      <c r="H60" s="8">
        <v>731.76</v>
      </c>
      <c r="I60" s="3"/>
      <c r="J60" s="7">
        <f t="shared" si="35"/>
        <v>0.10833233403950097</v>
      </c>
      <c r="K60" s="3"/>
      <c r="L60" s="8">
        <f t="shared" si="36"/>
        <v>3568.63</v>
      </c>
      <c r="M60" s="3"/>
      <c r="N60" s="7">
        <f t="shared" si="37"/>
        <v>4.8767765387558768</v>
      </c>
      <c r="O60" s="11"/>
      <c r="P60" s="8">
        <v>4300.3900000000003</v>
      </c>
      <c r="Q60" s="3"/>
      <c r="R60" s="7">
        <f t="shared" si="38"/>
        <v>0.88706792880172125</v>
      </c>
      <c r="S60" s="3"/>
      <c r="T60" s="8">
        <v>731.76</v>
      </c>
      <c r="U60" s="3"/>
      <c r="V60" s="7">
        <f t="shared" si="39"/>
        <v>0.10833233403950097</v>
      </c>
      <c r="W60" s="3"/>
      <c r="X60" s="8">
        <f t="shared" si="40"/>
        <v>3568.63</v>
      </c>
      <c r="Y60" s="3"/>
      <c r="Z60" s="7">
        <f t="shared" si="41"/>
        <v>4.8767765387558768</v>
      </c>
    </row>
    <row r="61" spans="1:26" s="27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SUM(OSRRefD22_9x_0)</f>
        <v>200</v>
      </c>
      <c r="E61" s="1"/>
      <c r="F61" s="5">
        <f t="shared" ref="F61:F62" si="42">IF(D$12=0,0,D61/D$12)</f>
        <v>4.1255231679067306E-2</v>
      </c>
      <c r="G61" s="1"/>
      <c r="H61" s="1">
        <f>SUM(OSRRefH22_9x_0)</f>
        <v>88.65</v>
      </c>
      <c r="I61" s="1"/>
      <c r="J61" s="5">
        <f t="shared" ref="J61:J62" si="43">IF(H$12=0,0,H61/H$12)</f>
        <v>1.3124058998307864E-2</v>
      </c>
      <c r="K61" s="1"/>
      <c r="L61" s="1">
        <f t="shared" ref="L61:L62" si="44">+D61-H61</f>
        <v>111.35</v>
      </c>
      <c r="M61" s="1"/>
      <c r="N61" s="5">
        <f t="shared" ref="N61:N62" si="45">IF(H61=0,0,L61/H61)</f>
        <v>1.2560631697687534</v>
      </c>
      <c r="O61" s="14"/>
      <c r="P61" s="1">
        <f>SUM(OSRRefP22_9x_0)</f>
        <v>200</v>
      </c>
      <c r="Q61" s="1"/>
      <c r="R61" s="5">
        <f t="shared" ref="R61:R62" si="46">IF(P$12=0,0,P61/P$12)</f>
        <v>4.1255231679067306E-2</v>
      </c>
      <c r="S61" s="1"/>
      <c r="T61" s="1">
        <f>SUM(OSRRefT22_9x_0)</f>
        <v>88.65</v>
      </c>
      <c r="U61" s="1"/>
      <c r="V61" s="5">
        <f t="shared" ref="V61:V62" si="47">IF(T$12=0,0,T61/T$12)</f>
        <v>1.3124058998307864E-2</v>
      </c>
      <c r="W61" s="1"/>
      <c r="X61" s="1">
        <f t="shared" ref="X61:X62" si="48">+P61-T61</f>
        <v>111.35</v>
      </c>
      <c r="Y61" s="1"/>
      <c r="Z61" s="5">
        <f t="shared" ref="Z61:Z62" si="49">IF(T61=0,0,X61/T61)</f>
        <v>1.2560631697687534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8">
        <v>200</v>
      </c>
      <c r="E62" s="3"/>
      <c r="F62" s="7">
        <f t="shared" si="42"/>
        <v>4.1255231679067306E-2</v>
      </c>
      <c r="G62" s="3"/>
      <c r="H62" s="8">
        <v>88.65</v>
      </c>
      <c r="I62" s="3"/>
      <c r="J62" s="7">
        <f t="shared" si="43"/>
        <v>1.3124058998307864E-2</v>
      </c>
      <c r="K62" s="3"/>
      <c r="L62" s="8">
        <f t="shared" si="44"/>
        <v>111.35</v>
      </c>
      <c r="M62" s="3"/>
      <c r="N62" s="7">
        <f t="shared" si="45"/>
        <v>1.2560631697687534</v>
      </c>
      <c r="O62" s="11"/>
      <c r="P62" s="8">
        <v>200</v>
      </c>
      <c r="Q62" s="3"/>
      <c r="R62" s="7">
        <f t="shared" si="46"/>
        <v>4.1255231679067306E-2</v>
      </c>
      <c r="S62" s="3"/>
      <c r="T62" s="8">
        <v>88.65</v>
      </c>
      <c r="U62" s="3"/>
      <c r="V62" s="7">
        <f t="shared" si="47"/>
        <v>1.3124058998307864E-2</v>
      </c>
      <c r="W62" s="3"/>
      <c r="X62" s="8">
        <f t="shared" si="48"/>
        <v>111.35</v>
      </c>
      <c r="Y62" s="3"/>
      <c r="Z62" s="7">
        <f t="shared" si="49"/>
        <v>1.2560631697687534</v>
      </c>
    </row>
    <row r="63" spans="1:26" s="61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5" t="s">
        <v>0</v>
      </c>
      <c r="C64" s="10"/>
      <c r="D64" s="4">
        <f>SUM(OSRRefD25x_0)</f>
        <v>6782</v>
      </c>
      <c r="E64" s="4"/>
      <c r="F64" s="12">
        <f t="shared" ref="F64:F65" si="50">IF(D$12=0,0,D64/D$12)</f>
        <v>1.3989649062371723</v>
      </c>
      <c r="G64" s="4"/>
      <c r="H64" s="4">
        <f>SUM(OSRRefH25x_0)</f>
        <v>13269</v>
      </c>
      <c r="I64" s="4"/>
      <c r="J64" s="12">
        <f t="shared" ref="J64:J65" si="51">IF(H$12=0,0,H64/H$12)</f>
        <v>1.9643896091206661</v>
      </c>
      <c r="K64" s="4"/>
      <c r="L64" s="4">
        <f t="shared" ref="L64:L65" si="52">+D64-H64</f>
        <v>-6487</v>
      </c>
      <c r="M64" s="4"/>
      <c r="N64" s="12">
        <f t="shared" ref="N64:N65" si="53">IF(H64=0,0,L64/H64)</f>
        <v>-0.48888386464692141</v>
      </c>
      <c r="O64" s="10"/>
      <c r="P64" s="4">
        <f>SUM(OSRRefP25x_0)</f>
        <v>6782</v>
      </c>
      <c r="Q64" s="4"/>
      <c r="R64" s="12">
        <f t="shared" ref="R64:R65" si="54">IF(P$12=0,0,P64/P$12)</f>
        <v>1.3989649062371723</v>
      </c>
      <c r="S64" s="4"/>
      <c r="T64" s="4">
        <f>SUM(OSRRefT25x_0)</f>
        <v>13269</v>
      </c>
      <c r="U64" s="4"/>
      <c r="V64" s="12">
        <f t="shared" ref="V64:V65" si="55">IF(T$12=0,0,T64/T$12)</f>
        <v>1.9643896091206661</v>
      </c>
      <c r="W64" s="4"/>
      <c r="X64" s="4">
        <f t="shared" ref="X64:X65" si="56">+P64-T64</f>
        <v>-6487</v>
      </c>
      <c r="Y64" s="4"/>
      <c r="Z64" s="12">
        <f t="shared" ref="Z64:Z65" si="57">IF(T64=0,0,X64/T64)</f>
        <v>-0.48888386464692141</v>
      </c>
    </row>
    <row r="65" spans="1:26" s="24" customFormat="1" hidden="1" outlineLevel="1" x14ac:dyDescent="0.25">
      <c r="A65" s="50"/>
      <c r="B65" s="11" t="str">
        <f>CONCATENATE("          ", "9150", " - ", "MISC. INCOME")</f>
        <v xml:space="preserve">          9150 - MISC. INCOME</v>
      </c>
      <c r="C65" s="11"/>
      <c r="D65" s="3">
        <f>--6782</f>
        <v>6782</v>
      </c>
      <c r="E65" s="3"/>
      <c r="F65" s="22">
        <f t="shared" si="50"/>
        <v>1.3989649062371723</v>
      </c>
      <c r="G65" s="3"/>
      <c r="H65" s="3">
        <f>--13269</f>
        <v>13269</v>
      </c>
      <c r="I65" s="3"/>
      <c r="J65" s="22">
        <f t="shared" si="51"/>
        <v>1.9643896091206661</v>
      </c>
      <c r="K65" s="3"/>
      <c r="L65" s="3">
        <f t="shared" si="52"/>
        <v>-6487</v>
      </c>
      <c r="M65" s="3"/>
      <c r="N65" s="22">
        <f t="shared" si="53"/>
        <v>-0.48888386464692141</v>
      </c>
      <c r="O65" s="11"/>
      <c r="P65" s="3">
        <f>--6782</f>
        <v>6782</v>
      </c>
      <c r="Q65" s="3"/>
      <c r="R65" s="22">
        <f t="shared" si="54"/>
        <v>1.3989649062371723</v>
      </c>
      <c r="S65" s="3"/>
      <c r="T65" s="3">
        <f>--13269</f>
        <v>13269</v>
      </c>
      <c r="U65" s="3"/>
      <c r="V65" s="22">
        <f t="shared" si="55"/>
        <v>1.9643896091206661</v>
      </c>
      <c r="W65" s="3"/>
      <c r="X65" s="3">
        <f t="shared" si="56"/>
        <v>-6487</v>
      </c>
      <c r="Y65" s="3"/>
      <c r="Z65" s="22">
        <f t="shared" si="57"/>
        <v>-0.48888386464692141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25">
      <c r="A67" s="10"/>
      <c r="B67" s="26" t="s">
        <v>3</v>
      </c>
      <c r="C67" s="26"/>
      <c r="D67" s="19">
        <f>+D26-D28+D64</f>
        <v>-37524.080000000002</v>
      </c>
      <c r="E67" s="13"/>
      <c r="F67" s="20">
        <f>IF(D$12=0,0,D67/D$12)</f>
        <v>-7.7403230697192793</v>
      </c>
      <c r="G67" s="13"/>
      <c r="H67" s="19">
        <f>+H26-H28+H64</f>
        <v>-13893.170000000002</v>
      </c>
      <c r="I67" s="13"/>
      <c r="J67" s="20">
        <f>IF(H$12=0,0,H67/H$12)</f>
        <v>-2.056793939690027</v>
      </c>
      <c r="K67" s="16"/>
      <c r="L67" s="19">
        <f>+D67-H67</f>
        <v>-23630.91</v>
      </c>
      <c r="M67" s="16"/>
      <c r="N67" s="20">
        <f>IF(H67=0,0,L67/H67)</f>
        <v>1.7009012342035688</v>
      </c>
      <c r="O67" s="25"/>
      <c r="P67" s="19">
        <f>+P26-P28+P64</f>
        <v>-37524.080000000002</v>
      </c>
      <c r="Q67" s="13"/>
      <c r="R67" s="20">
        <f>IF(P$12=0,0,P67/P$12)</f>
        <v>-7.7403230697192793</v>
      </c>
      <c r="S67" s="13"/>
      <c r="T67" s="19">
        <f>+T26-T28+T64</f>
        <v>-13893.170000000002</v>
      </c>
      <c r="U67" s="13"/>
      <c r="V67" s="20">
        <f>IF(T$12=0,0,T67/T$12)</f>
        <v>-2.056793939690027</v>
      </c>
      <c r="W67" s="16"/>
      <c r="X67" s="19">
        <f>+P67-T67</f>
        <v>-23630.91</v>
      </c>
      <c r="Y67" s="16"/>
      <c r="Z67" s="20">
        <f>IF(T67=0,0,X67/T67)</f>
        <v>1.7009012342035688</v>
      </c>
    </row>
    <row r="68" spans="1:26" x14ac:dyDescent="0.25">
      <c r="A68" s="9"/>
      <c r="B68" s="10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25">
      <c r="A69" s="51"/>
      <c r="B69" s="10" t="s">
        <v>13</v>
      </c>
      <c r="C69" s="10"/>
      <c r="D69" s="4">
        <v>2331.5700000000002</v>
      </c>
      <c r="E69" s="4"/>
      <c r="F69" s="12">
        <f>IF(D$12=0,0,D69/D$12)</f>
        <v>0.48094730262981478</v>
      </c>
      <c r="G69" s="4"/>
      <c r="H69" s="4">
        <v>1404.52</v>
      </c>
      <c r="I69" s="4"/>
      <c r="J69" s="12">
        <f>IF(H$12=0,0,H69/H$12)</f>
        <v>0.20793009976653537</v>
      </c>
      <c r="K69" s="4"/>
      <c r="L69" s="4">
        <f>+D69-H69</f>
        <v>927.05000000000018</v>
      </c>
      <c r="M69" s="4"/>
      <c r="N69" s="12">
        <f>IF(H69=0,0,L69/H69)</f>
        <v>0.66004756073249238</v>
      </c>
      <c r="O69" s="10"/>
      <c r="P69" s="4">
        <v>2331.5700000000002</v>
      </c>
      <c r="Q69" s="4"/>
      <c r="R69" s="12">
        <f>IF(P$12=0,0,P69/P$12)</f>
        <v>0.48094730262981478</v>
      </c>
      <c r="S69" s="4"/>
      <c r="T69" s="4">
        <v>1404.52</v>
      </c>
      <c r="U69" s="4"/>
      <c r="V69" s="12">
        <f>IF(T$12=0,0,T69/T$12)</f>
        <v>0.20793009976653537</v>
      </c>
      <c r="W69" s="4"/>
      <c r="X69" s="4">
        <f>+P69-T69</f>
        <v>927.05000000000018</v>
      </c>
      <c r="Y69" s="4"/>
      <c r="Z69" s="12">
        <f>IF(T69=0,0,X69/T69)</f>
        <v>0.66004756073249238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ht="15.75" thickBot="1" x14ac:dyDescent="0.3">
      <c r="A71" s="10"/>
      <c r="B71" s="26" t="s">
        <v>4</v>
      </c>
      <c r="C71" s="26"/>
      <c r="D71" s="35">
        <f>+D67-D69</f>
        <v>-39855.65</v>
      </c>
      <c r="E71" s="13"/>
      <c r="F71" s="30">
        <f>IF(D$12=0,0,D71/D$12)</f>
        <v>-8.2212703723490943</v>
      </c>
      <c r="G71" s="13"/>
      <c r="H71" s="35">
        <f>+H67-H69</f>
        <v>-15297.690000000002</v>
      </c>
      <c r="I71" s="13"/>
      <c r="J71" s="30">
        <f>IF(H$12=0,0,H71/H$12)</f>
        <v>-2.2647240394565622</v>
      </c>
      <c r="K71" s="16"/>
      <c r="L71" s="35">
        <f>D71-H71</f>
        <v>-24557.96</v>
      </c>
      <c r="M71" s="16"/>
      <c r="N71" s="30">
        <f>IF(H71=0,0,L71/H71)</f>
        <v>1.6053377993670936</v>
      </c>
      <c r="O71" s="25"/>
      <c r="P71" s="35">
        <f>+P67-P69</f>
        <v>-39855.65</v>
      </c>
      <c r="Q71" s="13"/>
      <c r="R71" s="30">
        <f>IF(P$12=0,0,P71/P$12)</f>
        <v>-8.2212703723490943</v>
      </c>
      <c r="S71" s="13"/>
      <c r="T71" s="35">
        <f>+T67-T69</f>
        <v>-15297.690000000002</v>
      </c>
      <c r="U71" s="13"/>
      <c r="V71" s="30">
        <f>IF(T$12=0,0,T71/T$12)</f>
        <v>-2.2647240394565622</v>
      </c>
      <c r="W71" s="16"/>
      <c r="X71" s="35">
        <f>P71-T71</f>
        <v>-24557.96</v>
      </c>
      <c r="Y71" s="16"/>
      <c r="Z71" s="30">
        <f>IF(T71=0,0,X71/T71)</f>
        <v>1.6053377993670936</v>
      </c>
    </row>
    <row r="72" spans="1:26" ht="15.75" thickTop="1" x14ac:dyDescent="0.25">
      <c r="A72" s="9"/>
      <c r="B72" s="9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ht="15.75" thickBot="1" x14ac:dyDescent="0.3">
      <c r="A74" s="10"/>
      <c r="B74" s="26" t="s">
        <v>5</v>
      </c>
      <c r="C74" s="26"/>
      <c r="D74" s="31">
        <f>SUM(D71:D73)</f>
        <v>-39855.65</v>
      </c>
      <c r="E74" s="13"/>
      <c r="F74" s="32">
        <f>IF(D$12=0,0,D74/D$12)</f>
        <v>-8.2212703723490943</v>
      </c>
      <c r="G74" s="13"/>
      <c r="H74" s="31">
        <f>SUM(H71:H73)</f>
        <v>-15297.690000000002</v>
      </c>
      <c r="I74" s="13"/>
      <c r="J74" s="32">
        <f>IF(H$12=0,0,H74/H$12)</f>
        <v>-2.2647240394565622</v>
      </c>
      <c r="K74" s="16"/>
      <c r="L74" s="31">
        <f>+D74-H74</f>
        <v>-24557.96</v>
      </c>
      <c r="M74" s="16"/>
      <c r="N74" s="32">
        <f>IF(H74=0,0,L74/H74)</f>
        <v>1.6053377993670936</v>
      </c>
      <c r="O74" s="25"/>
      <c r="P74" s="31">
        <f>SUM(P71:P73)</f>
        <v>-39855.65</v>
      </c>
      <c r="Q74" s="13"/>
      <c r="R74" s="32">
        <f>IF(P$12=0,0,P74/P$12)</f>
        <v>-8.2212703723490943</v>
      </c>
      <c r="S74" s="13"/>
      <c r="T74" s="31">
        <f>SUM(T71:T73)</f>
        <v>-15297.690000000002</v>
      </c>
      <c r="U74" s="13"/>
      <c r="V74" s="32">
        <f>IF(T$12=0,0,T74/T$12)</f>
        <v>-2.2647240394565622</v>
      </c>
      <c r="W74" s="16"/>
      <c r="X74" s="31">
        <f>+P74-T74</f>
        <v>-24557.96</v>
      </c>
      <c r="Y74" s="16"/>
      <c r="Z74" s="32">
        <f>IF(T74=0,0,X74/T74)</f>
        <v>1.6053377993670936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9">
        <v>44109.414285879633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62" t="s">
        <v>313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207967.07</v>
      </c>
      <c r="E12" s="4"/>
      <c r="F12" s="12"/>
      <c r="G12" s="4"/>
      <c r="H12" s="4">
        <f>SUM(OSRRefH13x_0)</f>
        <v>370337.37</v>
      </c>
      <c r="I12" s="4"/>
      <c r="J12" s="12"/>
      <c r="K12" s="4"/>
      <c r="L12" s="4">
        <f t="shared" ref="L12:L32" si="0">+D12-H12</f>
        <v>-162370.29999999999</v>
      </c>
      <c r="M12" s="4"/>
      <c r="N12" s="12">
        <f t="shared" ref="N12:N32" si="1">IF(H12=0,0,L12/H12)</f>
        <v>-0.43843887534223186</v>
      </c>
      <c r="O12" s="10"/>
      <c r="P12" s="4">
        <f>SUM(OSRRefP13x_0)</f>
        <v>207967.07</v>
      </c>
      <c r="Q12" s="4"/>
      <c r="R12" s="12"/>
      <c r="S12" s="4"/>
      <c r="T12" s="4">
        <f>SUM(OSRRefT13x_0)</f>
        <v>370337.37</v>
      </c>
      <c r="U12" s="4"/>
      <c r="V12" s="12"/>
      <c r="W12" s="4"/>
      <c r="X12" s="4">
        <f t="shared" ref="X12:X32" si="2">+P12-T12</f>
        <v>-162370.29999999999</v>
      </c>
      <c r="Y12" s="4"/>
      <c r="Z12" s="12">
        <f t="shared" ref="Z12:Z32" si="3">IF(T12=0,0,X12/T12)</f>
        <v>-0.43843887534223186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-370.91</f>
        <v>-370.91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-370.91</v>
      </c>
      <c r="M13" s="3"/>
      <c r="N13" s="22">
        <f t="shared" si="1"/>
        <v>0</v>
      </c>
      <c r="O13" s="11"/>
      <c r="P13" s="3">
        <f>-370.91</f>
        <v>-370.91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-370.91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"4081", " - ", "TAXABLE SALES-ELECTRONICS")</f>
        <v xml:space="preserve">          4081 - TAXABLE SALES-ELECTRONICS</v>
      </c>
      <c r="C14" s="11"/>
      <c r="D14" s="3">
        <f>--21557.16</f>
        <v>21557.16</v>
      </c>
      <c r="E14" s="3"/>
      <c r="F14" s="22"/>
      <c r="G14" s="3"/>
      <c r="H14" s="3">
        <f>--20944.59</f>
        <v>20944.59</v>
      </c>
      <c r="I14" s="3"/>
      <c r="J14" s="22"/>
      <c r="K14" s="3"/>
      <c r="L14" s="3">
        <f t="shared" si="0"/>
        <v>612.56999999999971</v>
      </c>
      <c r="M14" s="3"/>
      <c r="N14" s="22">
        <f t="shared" si="1"/>
        <v>2.9247170749105125E-2</v>
      </c>
      <c r="O14" s="11"/>
      <c r="P14" s="3">
        <f>--21557.16</f>
        <v>21557.16</v>
      </c>
      <c r="Q14" s="3"/>
      <c r="R14" s="22"/>
      <c r="S14" s="3"/>
      <c r="T14" s="3">
        <f>--20944.59</f>
        <v>20944.59</v>
      </c>
      <c r="U14" s="3"/>
      <c r="V14" s="22"/>
      <c r="W14" s="3"/>
      <c r="X14" s="3">
        <f t="shared" si="2"/>
        <v>612.56999999999971</v>
      </c>
      <c r="Y14" s="3"/>
      <c r="Z14" s="22">
        <f t="shared" si="3"/>
        <v>2.9247170749105125E-2</v>
      </c>
    </row>
    <row r="15" spans="1:26" s="24" customFormat="1" hidden="1" outlineLevel="1" x14ac:dyDescent="0.25">
      <c r="A15" s="50"/>
      <c r="B15" s="11" t="str">
        <f>CONCATENATE("          ", "4082", " - ", "TAXABLE SALES-COMPUTER HARDWAR")</f>
        <v xml:space="preserve">          4082 - TAXABLE SALES-COMPUTER HARDWAR</v>
      </c>
      <c r="C15" s="11"/>
      <c r="D15" s="3">
        <f>--137228.87</f>
        <v>137228.87</v>
      </c>
      <c r="E15" s="3"/>
      <c r="F15" s="22"/>
      <c r="G15" s="3"/>
      <c r="H15" s="3">
        <f>--398769.74</f>
        <v>398769.74</v>
      </c>
      <c r="I15" s="3"/>
      <c r="J15" s="22"/>
      <c r="K15" s="3"/>
      <c r="L15" s="3">
        <f t="shared" si="0"/>
        <v>-261540.87</v>
      </c>
      <c r="M15" s="3"/>
      <c r="N15" s="22">
        <f t="shared" si="1"/>
        <v>-0.65586939971924652</v>
      </c>
      <c r="O15" s="11"/>
      <c r="P15" s="3">
        <f>--137228.87</f>
        <v>137228.87</v>
      </c>
      <c r="Q15" s="3"/>
      <c r="R15" s="22"/>
      <c r="S15" s="3"/>
      <c r="T15" s="3">
        <f>--398769.74</f>
        <v>398769.74</v>
      </c>
      <c r="U15" s="3"/>
      <c r="V15" s="22"/>
      <c r="W15" s="3"/>
      <c r="X15" s="3">
        <f t="shared" si="2"/>
        <v>-261540.87</v>
      </c>
      <c r="Y15" s="3"/>
      <c r="Z15" s="22">
        <f t="shared" si="3"/>
        <v>-0.65586939971924652</v>
      </c>
    </row>
    <row r="16" spans="1:26" s="24" customFormat="1" hidden="1" outlineLevel="1" x14ac:dyDescent="0.25">
      <c r="A16" s="50"/>
      <c r="B16" s="11" t="str">
        <f>CONCATENATE("          ", "4083", " - ", "TAXABLE SALES-COMPUTER EQUIPME")</f>
        <v xml:space="preserve">          4083 - TAXABLE SALES-COMPUTER EQUIPME</v>
      </c>
      <c r="C16" s="11"/>
      <c r="D16" s="3">
        <f>--6790.15</f>
        <v>6790.15</v>
      </c>
      <c r="E16" s="3"/>
      <c r="F16" s="22"/>
      <c r="G16" s="3"/>
      <c r="H16" s="3">
        <f>--7906.1</f>
        <v>7906.1</v>
      </c>
      <c r="I16" s="3"/>
      <c r="J16" s="22"/>
      <c r="K16" s="3"/>
      <c r="L16" s="3">
        <f t="shared" si="0"/>
        <v>-1115.9500000000007</v>
      </c>
      <c r="M16" s="3"/>
      <c r="N16" s="22">
        <f t="shared" si="1"/>
        <v>-0.14115050404118348</v>
      </c>
      <c r="O16" s="11"/>
      <c r="P16" s="3">
        <f>--6790.15</f>
        <v>6790.15</v>
      </c>
      <c r="Q16" s="3"/>
      <c r="R16" s="22"/>
      <c r="S16" s="3"/>
      <c r="T16" s="3">
        <f>--7906.1</f>
        <v>7906.1</v>
      </c>
      <c r="U16" s="3"/>
      <c r="V16" s="22"/>
      <c r="W16" s="3"/>
      <c r="X16" s="3">
        <f t="shared" si="2"/>
        <v>-1115.9500000000007</v>
      </c>
      <c r="Y16" s="3"/>
      <c r="Z16" s="22">
        <f t="shared" si="3"/>
        <v>-0.14115050404118348</v>
      </c>
    </row>
    <row r="17" spans="1:26" s="24" customFormat="1" hidden="1" outlineLevel="1" x14ac:dyDescent="0.25">
      <c r="A17" s="50"/>
      <c r="B17" s="11" t="str">
        <f>CONCATENATE("          ", "4084", " - ", "TAXABLE SALES-SOFTWARE LICENSE")</f>
        <v xml:space="preserve">          4084 - TAXABLE SALES-SOFTWARE LICENSE</v>
      </c>
      <c r="C17" s="11"/>
      <c r="D17" s="3">
        <f t="shared" ref="D17:D18" si="4">0</f>
        <v>0</v>
      </c>
      <c r="E17" s="3"/>
      <c r="F17" s="22"/>
      <c r="G17" s="3"/>
      <c r="H17" s="3">
        <f>--129</f>
        <v>129</v>
      </c>
      <c r="I17" s="3"/>
      <c r="J17" s="22"/>
      <c r="K17" s="3"/>
      <c r="L17" s="3">
        <f t="shared" si="0"/>
        <v>-129</v>
      </c>
      <c r="M17" s="3"/>
      <c r="N17" s="22">
        <f t="shared" si="1"/>
        <v>-1</v>
      </c>
      <c r="O17" s="11"/>
      <c r="P17" s="3">
        <f t="shared" ref="P17:P18" si="5">0</f>
        <v>0</v>
      </c>
      <c r="Q17" s="3"/>
      <c r="R17" s="22"/>
      <c r="S17" s="3"/>
      <c r="T17" s="3">
        <f>--129</f>
        <v>129</v>
      </c>
      <c r="U17" s="3"/>
      <c r="V17" s="22"/>
      <c r="W17" s="3"/>
      <c r="X17" s="3">
        <f t="shared" si="2"/>
        <v>-129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"4085", " - ", "TAXABLE SALES-SOFTWARE")</f>
        <v xml:space="preserve">          4085 - TAXABLE SALES-SOFTWARE</v>
      </c>
      <c r="C18" s="11"/>
      <c r="D18" s="3">
        <f t="shared" si="4"/>
        <v>0</v>
      </c>
      <c r="E18" s="3"/>
      <c r="F18" s="22"/>
      <c r="G18" s="3"/>
      <c r="H18" s="3">
        <f>--493.95</f>
        <v>493.95</v>
      </c>
      <c r="I18" s="3"/>
      <c r="J18" s="22"/>
      <c r="K18" s="3"/>
      <c r="L18" s="3">
        <f t="shared" si="0"/>
        <v>-493.95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--493.95</f>
        <v>493.95</v>
      </c>
      <c r="U18" s="3"/>
      <c r="V18" s="22"/>
      <c r="W18" s="3"/>
      <c r="X18" s="3">
        <f t="shared" si="2"/>
        <v>-493.95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"4086", " - ", "TAXABLE SALES-COMPUTER SUPPLIE")</f>
        <v xml:space="preserve">          4086 - TAXABLE SALES-COMPUTER SUPPLIE</v>
      </c>
      <c r="C19" s="11"/>
      <c r="D19" s="3">
        <f>--25959.21</f>
        <v>25959.21</v>
      </c>
      <c r="E19" s="3"/>
      <c r="F19" s="22"/>
      <c r="G19" s="3"/>
      <c r="H19" s="3">
        <f>--1980.33</f>
        <v>1980.33</v>
      </c>
      <c r="I19" s="3"/>
      <c r="J19" s="22"/>
      <c r="K19" s="3"/>
      <c r="L19" s="3">
        <f t="shared" si="0"/>
        <v>23978.879999999997</v>
      </c>
      <c r="M19" s="3"/>
      <c r="N19" s="22">
        <f t="shared" si="1"/>
        <v>12.108527366651012</v>
      </c>
      <c r="O19" s="11"/>
      <c r="P19" s="3">
        <f>--25959.21</f>
        <v>25959.21</v>
      </c>
      <c r="Q19" s="3"/>
      <c r="R19" s="22"/>
      <c r="S19" s="3"/>
      <c r="T19" s="3">
        <f>--1980.33</f>
        <v>1980.33</v>
      </c>
      <c r="U19" s="3"/>
      <c r="V19" s="22"/>
      <c r="W19" s="3"/>
      <c r="X19" s="3">
        <f t="shared" si="2"/>
        <v>23978.879999999997</v>
      </c>
      <c r="Y19" s="3"/>
      <c r="Z19" s="22">
        <f t="shared" si="3"/>
        <v>12.108527366651012</v>
      </c>
    </row>
    <row r="20" spans="1:26" s="24" customFormat="1" hidden="1" outlineLevel="1" x14ac:dyDescent="0.25">
      <c r="A20" s="50"/>
      <c r="B20" s="11" t="str">
        <f>CONCATENATE("          ", "4088", " - ", "TAXABLE SALES-MUSIC")</f>
        <v xml:space="preserve">          4088 - TAXABLE SALES-MUSIC</v>
      </c>
      <c r="C20" s="11"/>
      <c r="D20" s="3">
        <f>0</f>
        <v>0</v>
      </c>
      <c r="E20" s="3"/>
      <c r="F20" s="22"/>
      <c r="G20" s="3"/>
      <c r="H20" s="3">
        <f>--258.99</f>
        <v>258.99</v>
      </c>
      <c r="I20" s="3"/>
      <c r="J20" s="22"/>
      <c r="K20" s="3"/>
      <c r="L20" s="3">
        <f t="shared" si="0"/>
        <v>-258.99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--258.99</f>
        <v>258.99</v>
      </c>
      <c r="U20" s="3"/>
      <c r="V20" s="22"/>
      <c r="W20" s="3"/>
      <c r="X20" s="3">
        <f t="shared" si="2"/>
        <v>-258.99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"4181", " - ", "NON-TAXABLE SALES-ELECTRONICS")</f>
        <v xml:space="preserve">          4181 - NON-TAXABLE SALES-ELECTRONICS</v>
      </c>
      <c r="C21" s="11"/>
      <c r="D21" s="3">
        <f>--289.98</f>
        <v>289.98</v>
      </c>
      <c r="E21" s="3"/>
      <c r="F21" s="22"/>
      <c r="G21" s="3"/>
      <c r="H21" s="3">
        <f>--1302.61</f>
        <v>1302.6099999999999</v>
      </c>
      <c r="I21" s="3"/>
      <c r="J21" s="22"/>
      <c r="K21" s="3"/>
      <c r="L21" s="3">
        <f t="shared" si="0"/>
        <v>-1012.6299999999999</v>
      </c>
      <c r="M21" s="3"/>
      <c r="N21" s="22">
        <f t="shared" si="1"/>
        <v>-0.777385403152133</v>
      </c>
      <c r="O21" s="11"/>
      <c r="P21" s="3">
        <f>--289.98</f>
        <v>289.98</v>
      </c>
      <c r="Q21" s="3"/>
      <c r="R21" s="22"/>
      <c r="S21" s="3"/>
      <c r="T21" s="3">
        <f>--1302.61</f>
        <v>1302.6099999999999</v>
      </c>
      <c r="U21" s="3"/>
      <c r="V21" s="22"/>
      <c r="W21" s="3"/>
      <c r="X21" s="3">
        <f t="shared" si="2"/>
        <v>-1012.6299999999999</v>
      </c>
      <c r="Y21" s="3"/>
      <c r="Z21" s="22">
        <f t="shared" si="3"/>
        <v>-0.777385403152133</v>
      </c>
    </row>
    <row r="22" spans="1:26" s="24" customFormat="1" hidden="1" outlineLevel="1" x14ac:dyDescent="0.25">
      <c r="A22" s="50"/>
      <c r="B22" s="11" t="str">
        <f>CONCATENATE("          ", "4182", " - ", "NON-TAXABLE SALES-COMPUTER HAR")</f>
        <v xml:space="preserve">          4182 - NON-TAXABLE SALES-COMPUTER HAR</v>
      </c>
      <c r="C22" s="11"/>
      <c r="D22" s="3">
        <f>--35876.99</f>
        <v>35876.99</v>
      </c>
      <c r="E22" s="3"/>
      <c r="F22" s="22"/>
      <c r="G22" s="3"/>
      <c r="H22" s="3">
        <f>--10618</f>
        <v>10618</v>
      </c>
      <c r="I22" s="3"/>
      <c r="J22" s="22"/>
      <c r="K22" s="3"/>
      <c r="L22" s="3">
        <f t="shared" si="0"/>
        <v>25258.989999999998</v>
      </c>
      <c r="M22" s="3"/>
      <c r="N22" s="22">
        <f t="shared" si="1"/>
        <v>2.3788839706159348</v>
      </c>
      <c r="O22" s="11"/>
      <c r="P22" s="3">
        <f>--35876.99</f>
        <v>35876.99</v>
      </c>
      <c r="Q22" s="3"/>
      <c r="R22" s="22"/>
      <c r="S22" s="3"/>
      <c r="T22" s="3">
        <f>--10618</f>
        <v>10618</v>
      </c>
      <c r="U22" s="3"/>
      <c r="V22" s="22"/>
      <c r="W22" s="3"/>
      <c r="X22" s="3">
        <f t="shared" si="2"/>
        <v>25258.989999999998</v>
      </c>
      <c r="Y22" s="3"/>
      <c r="Z22" s="22">
        <f t="shared" si="3"/>
        <v>2.3788839706159348</v>
      </c>
    </row>
    <row r="23" spans="1:26" s="24" customFormat="1" hidden="1" outlineLevel="1" x14ac:dyDescent="0.25">
      <c r="A23" s="50"/>
      <c r="B23" s="11" t="str">
        <f>CONCATENATE("          ", "4183", " - ", "NON-TAXABLE SALES-COMPUTER EQU")</f>
        <v xml:space="preserve">          4183 - NON-TAXABLE SALES-COMPUTER EQU</v>
      </c>
      <c r="C23" s="11"/>
      <c r="D23" s="3">
        <f>--1359.85</f>
        <v>1359.85</v>
      </c>
      <c r="E23" s="3"/>
      <c r="F23" s="22"/>
      <c r="G23" s="3"/>
      <c r="H23" s="3">
        <f>--181.9</f>
        <v>181.9</v>
      </c>
      <c r="I23" s="3"/>
      <c r="J23" s="22"/>
      <c r="K23" s="3"/>
      <c r="L23" s="3">
        <f t="shared" si="0"/>
        <v>1177.9499999999998</v>
      </c>
      <c r="M23" s="3"/>
      <c r="N23" s="22">
        <f t="shared" si="1"/>
        <v>6.4758108851017031</v>
      </c>
      <c r="O23" s="11"/>
      <c r="P23" s="3">
        <f>--1359.85</f>
        <v>1359.85</v>
      </c>
      <c r="Q23" s="3"/>
      <c r="R23" s="22"/>
      <c r="S23" s="3"/>
      <c r="T23" s="3">
        <f>--181.9</f>
        <v>181.9</v>
      </c>
      <c r="U23" s="3"/>
      <c r="V23" s="22"/>
      <c r="W23" s="3"/>
      <c r="X23" s="3">
        <f t="shared" si="2"/>
        <v>1177.9499999999998</v>
      </c>
      <c r="Y23" s="3"/>
      <c r="Z23" s="22">
        <f t="shared" si="3"/>
        <v>6.4758108851017031</v>
      </c>
    </row>
    <row r="24" spans="1:26" s="24" customFormat="1" hidden="1" outlineLevel="1" x14ac:dyDescent="0.25">
      <c r="A24" s="50"/>
      <c r="B24" s="11" t="str">
        <f>CONCATENATE("          ", "4185", " - ", "NON-TAXABLE SALES-SOFTWARE")</f>
        <v xml:space="preserve">          4185 - NON-TAXABLE SALES-SOFTWARE</v>
      </c>
      <c r="C24" s="11"/>
      <c r="D24" s="3">
        <f>--6187.74</f>
        <v>6187.74</v>
      </c>
      <c r="E24" s="3"/>
      <c r="F24" s="22"/>
      <c r="G24" s="3"/>
      <c r="H24" s="3">
        <f>--752</f>
        <v>752</v>
      </c>
      <c r="I24" s="3"/>
      <c r="J24" s="22"/>
      <c r="K24" s="3"/>
      <c r="L24" s="3">
        <f t="shared" si="0"/>
        <v>5435.74</v>
      </c>
      <c r="M24" s="3"/>
      <c r="N24" s="22">
        <f t="shared" si="1"/>
        <v>7.228377659574468</v>
      </c>
      <c r="O24" s="11"/>
      <c r="P24" s="3">
        <f>--6187.74</f>
        <v>6187.74</v>
      </c>
      <c r="Q24" s="3"/>
      <c r="R24" s="22"/>
      <c r="S24" s="3"/>
      <c r="T24" s="3">
        <f>--752</f>
        <v>752</v>
      </c>
      <c r="U24" s="3"/>
      <c r="V24" s="22"/>
      <c r="W24" s="3"/>
      <c r="X24" s="3">
        <f t="shared" si="2"/>
        <v>5435.74</v>
      </c>
      <c r="Y24" s="3"/>
      <c r="Z24" s="22">
        <f t="shared" si="3"/>
        <v>7.228377659574468</v>
      </c>
    </row>
    <row r="25" spans="1:26" s="24" customFormat="1" hidden="1" outlineLevel="1" x14ac:dyDescent="0.25">
      <c r="A25" s="50"/>
      <c r="B25" s="11" t="str">
        <f>CONCATENATE("          ", "4186", " - ", "NON-TAXABLE SALES-COMPUTER SUP")</f>
        <v xml:space="preserve">          4186 - NON-TAXABLE SALES-COMPUTER SUP</v>
      </c>
      <c r="C25" s="11"/>
      <c r="D25" s="3">
        <f>--154.95</f>
        <v>154.94999999999999</v>
      </c>
      <c r="E25" s="3"/>
      <c r="F25" s="22"/>
      <c r="G25" s="3"/>
      <c r="H25" s="3">
        <f>--79.97</f>
        <v>79.97</v>
      </c>
      <c r="I25" s="3"/>
      <c r="J25" s="22"/>
      <c r="K25" s="3"/>
      <c r="L25" s="3">
        <f t="shared" si="0"/>
        <v>74.97999999999999</v>
      </c>
      <c r="M25" s="3"/>
      <c r="N25" s="22">
        <f t="shared" si="1"/>
        <v>0.93760160060022502</v>
      </c>
      <c r="O25" s="11"/>
      <c r="P25" s="3">
        <f>--154.95</f>
        <v>154.94999999999999</v>
      </c>
      <c r="Q25" s="3"/>
      <c r="R25" s="22"/>
      <c r="S25" s="3"/>
      <c r="T25" s="3">
        <f>--79.97</f>
        <v>79.97</v>
      </c>
      <c r="U25" s="3"/>
      <c r="V25" s="22"/>
      <c r="W25" s="3"/>
      <c r="X25" s="3">
        <f t="shared" si="2"/>
        <v>74.97999999999999</v>
      </c>
      <c r="Y25" s="3"/>
      <c r="Z25" s="22">
        <f t="shared" si="3"/>
        <v>0.93760160060022502</v>
      </c>
    </row>
    <row r="26" spans="1:26" s="24" customFormat="1" hidden="1" outlineLevel="1" x14ac:dyDescent="0.25">
      <c r="A26" s="50"/>
      <c r="B26" s="11" t="str">
        <f>CONCATENATE("          ", "4188", " - ", "NON-TAXABLE SALES-MUSIC")</f>
        <v xml:space="preserve">          4188 - NON-TAXABLE SALES-MUSIC</v>
      </c>
      <c r="C26" s="11"/>
      <c r="D26" s="3">
        <f>0</f>
        <v>0</v>
      </c>
      <c r="E26" s="3"/>
      <c r="F26" s="22"/>
      <c r="G26" s="3"/>
      <c r="H26" s="3">
        <f>--99.98</f>
        <v>99.98</v>
      </c>
      <c r="I26" s="3"/>
      <c r="J26" s="22"/>
      <c r="K26" s="3"/>
      <c r="L26" s="3">
        <f t="shared" si="0"/>
        <v>-99.98</v>
      </c>
      <c r="M26" s="3"/>
      <c r="N26" s="22">
        <f t="shared" si="1"/>
        <v>-1</v>
      </c>
      <c r="O26" s="11"/>
      <c r="P26" s="3">
        <f>0</f>
        <v>0</v>
      </c>
      <c r="Q26" s="3"/>
      <c r="R26" s="22"/>
      <c r="S26" s="3"/>
      <c r="T26" s="3">
        <f>--99.98</f>
        <v>99.98</v>
      </c>
      <c r="U26" s="3"/>
      <c r="V26" s="22"/>
      <c r="W26" s="3"/>
      <c r="X26" s="3">
        <f t="shared" si="2"/>
        <v>-99.98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"4281", " - ", "SALES RETURN TAXABLE-ELECTRONI")</f>
        <v xml:space="preserve">          4281 - SALES RETURN TAXABLE-ELECTRONI</v>
      </c>
      <c r="C27" s="11"/>
      <c r="D27" s="3">
        <f>-6291.99</f>
        <v>-6291.99</v>
      </c>
      <c r="E27" s="3"/>
      <c r="F27" s="22"/>
      <c r="G27" s="3"/>
      <c r="H27" s="3">
        <f>-1658.99</f>
        <v>-1658.99</v>
      </c>
      <c r="I27" s="3"/>
      <c r="J27" s="22"/>
      <c r="K27" s="3"/>
      <c r="L27" s="3">
        <f t="shared" si="0"/>
        <v>-4633</v>
      </c>
      <c r="M27" s="3"/>
      <c r="N27" s="22">
        <f t="shared" si="1"/>
        <v>2.7926630058047368</v>
      </c>
      <c r="O27" s="11"/>
      <c r="P27" s="3">
        <f>-6291.99</f>
        <v>-6291.99</v>
      </c>
      <c r="Q27" s="3"/>
      <c r="R27" s="22"/>
      <c r="S27" s="3"/>
      <c r="T27" s="3">
        <f>-1658.99</f>
        <v>-1658.99</v>
      </c>
      <c r="U27" s="3"/>
      <c r="V27" s="22"/>
      <c r="W27" s="3"/>
      <c r="X27" s="3">
        <f t="shared" si="2"/>
        <v>-4633</v>
      </c>
      <c r="Y27" s="3"/>
      <c r="Z27" s="22">
        <f t="shared" si="3"/>
        <v>2.7926630058047368</v>
      </c>
    </row>
    <row r="28" spans="1:26" s="24" customFormat="1" hidden="1" outlineLevel="1" x14ac:dyDescent="0.25">
      <c r="A28" s="50"/>
      <c r="B28" s="11" t="str">
        <f>CONCATENATE("          ", "4282", " - ", "SALES RETURN TAXABLE-COMPUTER")</f>
        <v xml:space="preserve">          4282 - SALES RETURN TAXABLE-COMPUTER</v>
      </c>
      <c r="C28" s="11"/>
      <c r="D28" s="3">
        <f>-18207</f>
        <v>-18207</v>
      </c>
      <c r="E28" s="3"/>
      <c r="F28" s="22"/>
      <c r="G28" s="3"/>
      <c r="H28" s="3">
        <f>-70341.06</f>
        <v>-70341.06</v>
      </c>
      <c r="I28" s="3"/>
      <c r="J28" s="22"/>
      <c r="K28" s="3"/>
      <c r="L28" s="3">
        <f t="shared" si="0"/>
        <v>52134.06</v>
      </c>
      <c r="M28" s="3"/>
      <c r="N28" s="22">
        <f t="shared" si="1"/>
        <v>-0.7411611368950084</v>
      </c>
      <c r="O28" s="11"/>
      <c r="P28" s="3">
        <f>-18207</f>
        <v>-18207</v>
      </c>
      <c r="Q28" s="3"/>
      <c r="R28" s="22"/>
      <c r="S28" s="3"/>
      <c r="T28" s="3">
        <f>-70341.06</f>
        <v>-70341.06</v>
      </c>
      <c r="U28" s="3"/>
      <c r="V28" s="22"/>
      <c r="W28" s="3"/>
      <c r="X28" s="3">
        <f t="shared" si="2"/>
        <v>52134.06</v>
      </c>
      <c r="Y28" s="3"/>
      <c r="Z28" s="22">
        <f t="shared" si="3"/>
        <v>-0.7411611368950084</v>
      </c>
    </row>
    <row r="29" spans="1:26" s="24" customFormat="1" hidden="1" outlineLevel="1" x14ac:dyDescent="0.25">
      <c r="A29" s="50"/>
      <c r="B29" s="11" t="str">
        <f>CONCATENATE("          ", "4283", " - ", "SALES RETURN TAXABLE-COMPUTER")</f>
        <v xml:space="preserve">          4283 - SALES RETURN TAXABLE-COMPUTER</v>
      </c>
      <c r="C29" s="11"/>
      <c r="D29" s="3">
        <f>-818.93</f>
        <v>-818.93</v>
      </c>
      <c r="E29" s="3"/>
      <c r="F29" s="22"/>
      <c r="G29" s="3"/>
      <c r="H29" s="3">
        <f>-226.8</f>
        <v>-226.8</v>
      </c>
      <c r="I29" s="3"/>
      <c r="J29" s="22"/>
      <c r="K29" s="3"/>
      <c r="L29" s="3">
        <f t="shared" si="0"/>
        <v>-592.12999999999988</v>
      </c>
      <c r="M29" s="3"/>
      <c r="N29" s="22">
        <f t="shared" si="1"/>
        <v>2.6108024691358018</v>
      </c>
      <c r="O29" s="11"/>
      <c r="P29" s="3">
        <f>-818.93</f>
        <v>-818.93</v>
      </c>
      <c r="Q29" s="3"/>
      <c r="R29" s="22"/>
      <c r="S29" s="3"/>
      <c r="T29" s="3">
        <f>-226.8</f>
        <v>-226.8</v>
      </c>
      <c r="U29" s="3"/>
      <c r="V29" s="22"/>
      <c r="W29" s="3"/>
      <c r="X29" s="3">
        <f t="shared" si="2"/>
        <v>-592.12999999999988</v>
      </c>
      <c r="Y29" s="3"/>
      <c r="Z29" s="22">
        <f t="shared" si="3"/>
        <v>2.6108024691358018</v>
      </c>
    </row>
    <row r="30" spans="1:26" s="24" customFormat="1" hidden="1" outlineLevel="1" x14ac:dyDescent="0.25">
      <c r="A30" s="50"/>
      <c r="B30" s="11" t="str">
        <f>CONCATENATE("          ", "4285", " - ", "SALES RETURN TAXABLE-SOFTWARE")</f>
        <v xml:space="preserve">          4285 - SALES RETURN TAXABLE-SOFTWARE</v>
      </c>
      <c r="C30" s="11"/>
      <c r="D30" s="3">
        <f t="shared" ref="D30:D31" si="6">0</f>
        <v>0</v>
      </c>
      <c r="E30" s="3"/>
      <c r="F30" s="22"/>
      <c r="G30" s="3"/>
      <c r="H30" s="3">
        <f>-406.99</f>
        <v>-406.99</v>
      </c>
      <c r="I30" s="3"/>
      <c r="J30" s="22"/>
      <c r="K30" s="3"/>
      <c r="L30" s="3">
        <f t="shared" si="0"/>
        <v>406.99</v>
      </c>
      <c r="M30" s="3"/>
      <c r="N30" s="22">
        <f t="shared" si="1"/>
        <v>-1</v>
      </c>
      <c r="O30" s="11"/>
      <c r="P30" s="3">
        <f t="shared" ref="P30:P31" si="7">0</f>
        <v>0</v>
      </c>
      <c r="Q30" s="3"/>
      <c r="R30" s="22"/>
      <c r="S30" s="3"/>
      <c r="T30" s="3">
        <f>-406.99</f>
        <v>-406.99</v>
      </c>
      <c r="U30" s="3"/>
      <c r="V30" s="22"/>
      <c r="W30" s="3"/>
      <c r="X30" s="3">
        <f t="shared" si="2"/>
        <v>406.99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"4286", " - ", "SALES RETURN TAXABLE-COMPUTER")</f>
        <v xml:space="preserve">          4286 - SALES RETURN TAXABLE-COMPUTER</v>
      </c>
      <c r="C31" s="11"/>
      <c r="D31" s="3">
        <f t="shared" si="6"/>
        <v>0</v>
      </c>
      <c r="E31" s="3"/>
      <c r="F31" s="22"/>
      <c r="G31" s="3"/>
      <c r="H31" s="3">
        <f>-545.95</f>
        <v>-545.95000000000005</v>
      </c>
      <c r="I31" s="3"/>
      <c r="J31" s="22"/>
      <c r="K31" s="3"/>
      <c r="L31" s="3">
        <f t="shared" si="0"/>
        <v>545.95000000000005</v>
      </c>
      <c r="M31" s="3"/>
      <c r="N31" s="22">
        <f t="shared" si="1"/>
        <v>-1</v>
      </c>
      <c r="O31" s="11"/>
      <c r="P31" s="3">
        <f t="shared" si="7"/>
        <v>0</v>
      </c>
      <c r="Q31" s="3"/>
      <c r="R31" s="22"/>
      <c r="S31" s="3"/>
      <c r="T31" s="3">
        <f>-545.95</f>
        <v>-545.95000000000005</v>
      </c>
      <c r="U31" s="3"/>
      <c r="V31" s="22"/>
      <c r="W31" s="3"/>
      <c r="X31" s="3">
        <f t="shared" si="2"/>
        <v>545.95000000000005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"4381", " - ", "SALES RETURN NON TAXABLE-ELECT")</f>
        <v xml:space="preserve">          4381 - SALES RETURN NON TAXABLE-ELECT</v>
      </c>
      <c r="C32" s="11"/>
      <c r="D32" s="3">
        <f>-1749</f>
        <v>-1749</v>
      </c>
      <c r="E32" s="3"/>
      <c r="F32" s="22"/>
      <c r="G32" s="3"/>
      <c r="H32" s="3">
        <f>0</f>
        <v>0</v>
      </c>
      <c r="I32" s="3"/>
      <c r="J32" s="22"/>
      <c r="K32" s="3"/>
      <c r="L32" s="3">
        <f t="shared" si="0"/>
        <v>-1749</v>
      </c>
      <c r="M32" s="3"/>
      <c r="N32" s="22">
        <f t="shared" si="1"/>
        <v>0</v>
      </c>
      <c r="O32" s="11"/>
      <c r="P32" s="3">
        <f>-1749</f>
        <v>-1749</v>
      </c>
      <c r="Q32" s="3"/>
      <c r="R32" s="22"/>
      <c r="S32" s="3"/>
      <c r="T32" s="3">
        <f>0</f>
        <v>0</v>
      </c>
      <c r="U32" s="3"/>
      <c r="V32" s="22"/>
      <c r="W32" s="3"/>
      <c r="X32" s="3">
        <f t="shared" si="2"/>
        <v>-1749</v>
      </c>
      <c r="Y32" s="3"/>
      <c r="Z32" s="22">
        <f t="shared" si="3"/>
        <v>0</v>
      </c>
    </row>
    <row r="33" spans="1:26" x14ac:dyDescent="0.25">
      <c r="A33" s="9"/>
      <c r="B33" s="10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183956.00000000006</v>
      </c>
      <c r="E34" s="4"/>
      <c r="F34" s="12">
        <f t="shared" ref="F34:F44" si="8">IF(D$12=0,0,D34/D$12)</f>
        <v>0.88454388476021739</v>
      </c>
      <c r="G34" s="4"/>
      <c r="H34" s="4">
        <f>SUM(OSRRefH16x_0)</f>
        <v>342320.18999999994</v>
      </c>
      <c r="I34" s="4"/>
      <c r="J34" s="12">
        <f t="shared" ref="J34:J44" si="9">IF(H$12=0,0,H34/H$12)</f>
        <v>0.9243468732307516</v>
      </c>
      <c r="K34" s="4"/>
      <c r="L34" s="4">
        <f t="shared" ref="L34:L44" si="10">+D34-H34</f>
        <v>-158364.18999999989</v>
      </c>
      <c r="M34" s="4"/>
      <c r="N34" s="12">
        <f t="shared" ref="N34:N44" si="11">IF(H34=0,0,L34/H34)</f>
        <v>-0.46262006923985383</v>
      </c>
      <c r="O34" s="10"/>
      <c r="P34" s="4">
        <f>SUM(OSRRefP16x_0)</f>
        <v>183956.00000000006</v>
      </c>
      <c r="Q34" s="4"/>
      <c r="R34" s="12">
        <f t="shared" ref="R34:R44" si="12">IF(P$12=0,0,P34/P$12)</f>
        <v>0.88454388476021739</v>
      </c>
      <c r="S34" s="4"/>
      <c r="T34" s="4">
        <f>SUM(OSRRefT16x_0)</f>
        <v>342320.18999999994</v>
      </c>
      <c r="U34" s="4"/>
      <c r="V34" s="12">
        <f t="shared" ref="V34:V44" si="13">IF(T$12=0,0,T34/T$12)</f>
        <v>0.9243468732307516</v>
      </c>
      <c r="W34" s="4"/>
      <c r="X34" s="4">
        <f t="shared" ref="X34:X44" si="14">+P34-T34</f>
        <v>-158364.18999999989</v>
      </c>
      <c r="Y34" s="4"/>
      <c r="Z34" s="12">
        <f t="shared" ref="Z34:Z44" si="15">IF(T34=0,0,X34/T34)</f>
        <v>-0.46262006923985383</v>
      </c>
    </row>
    <row r="35" spans="1:26" s="24" customFormat="1" hidden="1" outlineLevel="1" x14ac:dyDescent="0.25">
      <c r="A35" s="50"/>
      <c r="B35" s="11" t="str">
        <f>CONCATENATE("          ", "5081", " - ", "PURCHASES @ COST-ELECTRONICS")</f>
        <v xml:space="preserve">          5081 - PURCHASES @ COST-ELECTRONICS</v>
      </c>
      <c r="C35" s="11"/>
      <c r="D35" s="3">
        <v>6676.92</v>
      </c>
      <c r="E35" s="3"/>
      <c r="F35" s="22">
        <f t="shared" si="8"/>
        <v>3.2105659804698886E-2</v>
      </c>
      <c r="G35" s="3"/>
      <c r="H35" s="3">
        <v>66058.349999999991</v>
      </c>
      <c r="I35" s="3"/>
      <c r="J35" s="22">
        <f t="shared" si="9"/>
        <v>0.17837343825172164</v>
      </c>
      <c r="K35" s="3"/>
      <c r="L35" s="3">
        <f t="shared" si="10"/>
        <v>-59381.429999999993</v>
      </c>
      <c r="M35" s="3"/>
      <c r="N35" s="22">
        <f t="shared" si="11"/>
        <v>-0.89892390591045646</v>
      </c>
      <c r="O35" s="11"/>
      <c r="P35" s="3">
        <v>6676.92</v>
      </c>
      <c r="Q35" s="3"/>
      <c r="R35" s="22">
        <f t="shared" si="12"/>
        <v>3.2105659804698886E-2</v>
      </c>
      <c r="S35" s="3"/>
      <c r="T35" s="3">
        <v>66058.349999999991</v>
      </c>
      <c r="U35" s="3"/>
      <c r="V35" s="22">
        <f t="shared" si="13"/>
        <v>0.17837343825172164</v>
      </c>
      <c r="W35" s="3"/>
      <c r="X35" s="3">
        <f t="shared" si="14"/>
        <v>-59381.429999999993</v>
      </c>
      <c r="Y35" s="3"/>
      <c r="Z35" s="22">
        <f t="shared" si="15"/>
        <v>-0.89892390591045646</v>
      </c>
    </row>
    <row r="36" spans="1:26" s="24" customFormat="1" hidden="1" outlineLevel="1" x14ac:dyDescent="0.25">
      <c r="A36" s="50"/>
      <c r="B36" s="11" t="str">
        <f>CONCATENATE("          ", "5082", " - ", "PURCHASES @ COST-COMPUTER HARD")</f>
        <v xml:space="preserve">          5082 - PURCHASES @ COST-COMPUTER HARD</v>
      </c>
      <c r="C36" s="11"/>
      <c r="D36" s="3">
        <v>186472.57</v>
      </c>
      <c r="E36" s="3"/>
      <c r="F36" s="22">
        <f t="shared" si="8"/>
        <v>0.89664469475864617</v>
      </c>
      <c r="G36" s="3"/>
      <c r="H36" s="3">
        <v>356559.97</v>
      </c>
      <c r="I36" s="3"/>
      <c r="J36" s="22">
        <f t="shared" si="9"/>
        <v>0.96279770523833441</v>
      </c>
      <c r="K36" s="3"/>
      <c r="L36" s="3">
        <f t="shared" si="10"/>
        <v>-170087.39999999997</v>
      </c>
      <c r="M36" s="3"/>
      <c r="N36" s="22">
        <f t="shared" si="11"/>
        <v>-0.4770232620335928</v>
      </c>
      <c r="O36" s="11"/>
      <c r="P36" s="3">
        <v>186472.57</v>
      </c>
      <c r="Q36" s="3"/>
      <c r="R36" s="22">
        <f t="shared" si="12"/>
        <v>0.89664469475864617</v>
      </c>
      <c r="S36" s="3"/>
      <c r="T36" s="3">
        <v>356559.97</v>
      </c>
      <c r="U36" s="3"/>
      <c r="V36" s="22">
        <f t="shared" si="13"/>
        <v>0.96279770523833441</v>
      </c>
      <c r="W36" s="3"/>
      <c r="X36" s="3">
        <f t="shared" si="14"/>
        <v>-170087.39999999997</v>
      </c>
      <c r="Y36" s="3"/>
      <c r="Z36" s="22">
        <f t="shared" si="15"/>
        <v>-0.4770232620335928</v>
      </c>
    </row>
    <row r="37" spans="1:26" s="24" customFormat="1" hidden="1" outlineLevel="1" x14ac:dyDescent="0.25">
      <c r="A37" s="50"/>
      <c r="B37" s="11" t="str">
        <f>CONCATENATE("          ", "5083", " - ", "PURCHASES @ COST-COMPUTER EQUI")</f>
        <v xml:space="preserve">          5083 - PURCHASES @ COST-COMPUTER EQUI</v>
      </c>
      <c r="C37" s="11"/>
      <c r="D37" s="3">
        <v>29938.300000000003</v>
      </c>
      <c r="E37" s="3"/>
      <c r="F37" s="22">
        <f t="shared" si="8"/>
        <v>0.14395692548825159</v>
      </c>
      <c r="G37" s="3"/>
      <c r="H37" s="3">
        <v>7276.14</v>
      </c>
      <c r="I37" s="3"/>
      <c r="J37" s="22">
        <f t="shared" si="9"/>
        <v>1.9647328596625289E-2</v>
      </c>
      <c r="K37" s="3"/>
      <c r="L37" s="3">
        <f t="shared" si="10"/>
        <v>22662.160000000003</v>
      </c>
      <c r="M37" s="3"/>
      <c r="N37" s="22">
        <f t="shared" si="11"/>
        <v>3.1145854807631523</v>
      </c>
      <c r="O37" s="11"/>
      <c r="P37" s="3">
        <v>29938.300000000003</v>
      </c>
      <c r="Q37" s="3"/>
      <c r="R37" s="22">
        <f t="shared" si="12"/>
        <v>0.14395692548825159</v>
      </c>
      <c r="S37" s="3"/>
      <c r="T37" s="3">
        <v>7276.14</v>
      </c>
      <c r="U37" s="3"/>
      <c r="V37" s="22">
        <f t="shared" si="13"/>
        <v>1.9647328596625289E-2</v>
      </c>
      <c r="W37" s="3"/>
      <c r="X37" s="3">
        <f t="shared" si="14"/>
        <v>22662.160000000003</v>
      </c>
      <c r="Y37" s="3"/>
      <c r="Z37" s="22">
        <f t="shared" si="15"/>
        <v>3.1145854807631523</v>
      </c>
    </row>
    <row r="38" spans="1:26" s="24" customFormat="1" hidden="1" outlineLevel="1" x14ac:dyDescent="0.25">
      <c r="A38" s="50"/>
      <c r="B38" s="11" t="str">
        <f>CONCATENATE("          ", "5085", " - ", "PURCHASES @ COST-SOFTWARE")</f>
        <v xml:space="preserve">          5085 - PURCHASES @ COST-SOFTWARE</v>
      </c>
      <c r="C38" s="11"/>
      <c r="D38" s="3">
        <v>3864.34</v>
      </c>
      <c r="E38" s="3"/>
      <c r="F38" s="22">
        <f t="shared" si="8"/>
        <v>1.858149946527592E-2</v>
      </c>
      <c r="G38" s="3"/>
      <c r="H38" s="3"/>
      <c r="I38" s="3"/>
      <c r="J38" s="22">
        <f t="shared" si="9"/>
        <v>0</v>
      </c>
      <c r="K38" s="3"/>
      <c r="L38" s="3">
        <f t="shared" si="10"/>
        <v>3864.34</v>
      </c>
      <c r="M38" s="3"/>
      <c r="N38" s="22">
        <f t="shared" si="11"/>
        <v>0</v>
      </c>
      <c r="O38" s="11"/>
      <c r="P38" s="3">
        <v>3864.34</v>
      </c>
      <c r="Q38" s="3"/>
      <c r="R38" s="22">
        <f t="shared" si="12"/>
        <v>1.858149946527592E-2</v>
      </c>
      <c r="S38" s="3"/>
      <c r="T38" s="3"/>
      <c r="U38" s="3"/>
      <c r="V38" s="22">
        <f t="shared" si="13"/>
        <v>0</v>
      </c>
      <c r="W38" s="3"/>
      <c r="X38" s="3">
        <f t="shared" si="14"/>
        <v>3864.34</v>
      </c>
      <c r="Y38" s="3"/>
      <c r="Z38" s="22">
        <f t="shared" si="15"/>
        <v>0</v>
      </c>
    </row>
    <row r="39" spans="1:26" s="24" customFormat="1" hidden="1" outlineLevel="1" x14ac:dyDescent="0.25">
      <c r="A39" s="50"/>
      <c r="B39" s="11" t="str">
        <f>CONCATENATE("          ", "5086", " - ", "PURCHASES @ COST-COMPUTER SUPP")</f>
        <v xml:space="preserve">          5086 - PURCHASES @ COST-COMPUTER SUPP</v>
      </c>
      <c r="C39" s="11"/>
      <c r="D39" s="3">
        <v>87.25</v>
      </c>
      <c r="E39" s="3"/>
      <c r="F39" s="22">
        <f t="shared" si="8"/>
        <v>4.1953757390533026E-4</v>
      </c>
      <c r="G39" s="3"/>
      <c r="H39" s="3">
        <v>3427.07</v>
      </c>
      <c r="I39" s="3"/>
      <c r="J39" s="22">
        <f t="shared" si="9"/>
        <v>9.2539135329497008E-3</v>
      </c>
      <c r="K39" s="3"/>
      <c r="L39" s="3">
        <f t="shared" si="10"/>
        <v>-3339.82</v>
      </c>
      <c r="M39" s="3"/>
      <c r="N39" s="22">
        <f t="shared" si="11"/>
        <v>-0.97454093438418243</v>
      </c>
      <c r="O39" s="11"/>
      <c r="P39" s="3">
        <v>87.25</v>
      </c>
      <c r="Q39" s="3"/>
      <c r="R39" s="22">
        <f t="shared" si="12"/>
        <v>4.1953757390533026E-4</v>
      </c>
      <c r="S39" s="3"/>
      <c r="T39" s="3">
        <v>3427.07</v>
      </c>
      <c r="U39" s="3"/>
      <c r="V39" s="22">
        <f t="shared" si="13"/>
        <v>9.2539135329497008E-3</v>
      </c>
      <c r="W39" s="3"/>
      <c r="X39" s="3">
        <f t="shared" si="14"/>
        <v>-3339.82</v>
      </c>
      <c r="Y39" s="3"/>
      <c r="Z39" s="22">
        <f t="shared" si="15"/>
        <v>-0.97454093438418243</v>
      </c>
    </row>
    <row r="40" spans="1:26" s="24" customFormat="1" hidden="1" outlineLevel="1" x14ac:dyDescent="0.25">
      <c r="A40" s="50"/>
      <c r="B40" s="11" t="str">
        <f>CONCATENATE("          ", "5088", " - ", "PURCHASES @ COST-MUSIC")</f>
        <v xml:space="preserve">          5088 - PURCHASES @ COST-MUSIC</v>
      </c>
      <c r="C40" s="11"/>
      <c r="D40" s="3"/>
      <c r="E40" s="3"/>
      <c r="F40" s="22">
        <f t="shared" si="8"/>
        <v>0</v>
      </c>
      <c r="G40" s="3"/>
      <c r="H40" s="3">
        <v>82</v>
      </c>
      <c r="I40" s="3"/>
      <c r="J40" s="22">
        <f t="shared" si="9"/>
        <v>2.2141972871924862E-4</v>
      </c>
      <c r="K40" s="3"/>
      <c r="L40" s="3">
        <f t="shared" si="10"/>
        <v>-82</v>
      </c>
      <c r="M40" s="3"/>
      <c r="N40" s="22">
        <f t="shared" si="11"/>
        <v>-1</v>
      </c>
      <c r="O40" s="11"/>
      <c r="P40" s="3"/>
      <c r="Q40" s="3"/>
      <c r="R40" s="22">
        <f t="shared" si="12"/>
        <v>0</v>
      </c>
      <c r="S40" s="3"/>
      <c r="T40" s="3">
        <v>82</v>
      </c>
      <c r="U40" s="3"/>
      <c r="V40" s="22">
        <f t="shared" si="13"/>
        <v>2.2141972871924862E-4</v>
      </c>
      <c r="W40" s="3"/>
      <c r="X40" s="3">
        <f t="shared" si="14"/>
        <v>-82</v>
      </c>
      <c r="Y40" s="3"/>
      <c r="Z40" s="22">
        <f t="shared" si="15"/>
        <v>-1</v>
      </c>
    </row>
    <row r="41" spans="1:26" s="24" customFormat="1" hidden="1" outlineLevel="1" x14ac:dyDescent="0.25">
      <c r="A41" s="50"/>
      <c r="B41" s="11" t="str">
        <f>CONCATENATE("          ", "5200", " - ", "PURCHASES OFFSET")</f>
        <v xml:space="preserve">          5200 - PURCHASES OFFSET</v>
      </c>
      <c r="C41" s="11"/>
      <c r="D41" s="3">
        <v>-227056.77</v>
      </c>
      <c r="E41" s="3"/>
      <c r="F41" s="22">
        <f t="shared" si="8"/>
        <v>-1.0917919360983448</v>
      </c>
      <c r="G41" s="3"/>
      <c r="H41" s="3">
        <v>-433440</v>
      </c>
      <c r="I41" s="3"/>
      <c r="J41" s="22">
        <f t="shared" si="9"/>
        <v>-1.1703922831228186</v>
      </c>
      <c r="K41" s="3"/>
      <c r="L41" s="3">
        <f t="shared" si="10"/>
        <v>206383.23</v>
      </c>
      <c r="M41" s="3"/>
      <c r="N41" s="22">
        <f t="shared" si="11"/>
        <v>-0.47615178571428574</v>
      </c>
      <c r="O41" s="11"/>
      <c r="P41" s="3">
        <v>-227056.77</v>
      </c>
      <c r="Q41" s="3"/>
      <c r="R41" s="22">
        <f t="shared" si="12"/>
        <v>-1.0917919360983448</v>
      </c>
      <c r="S41" s="3"/>
      <c r="T41" s="3">
        <v>-433440</v>
      </c>
      <c r="U41" s="3"/>
      <c r="V41" s="22">
        <f t="shared" si="13"/>
        <v>-1.1703922831228186</v>
      </c>
      <c r="W41" s="3"/>
      <c r="X41" s="3">
        <f t="shared" si="14"/>
        <v>206383.23</v>
      </c>
      <c r="Y41" s="3"/>
      <c r="Z41" s="22">
        <f t="shared" si="15"/>
        <v>-0.47615178571428574</v>
      </c>
    </row>
    <row r="42" spans="1:26" s="24" customFormat="1" hidden="1" outlineLevel="1" x14ac:dyDescent="0.25">
      <c r="A42" s="50"/>
      <c r="B42" s="11" t="str">
        <f>CONCATENATE("          ", "5300", " - ", "COG$ OFFSET")</f>
        <v xml:space="preserve">          5300 - COG$ OFFSET</v>
      </c>
      <c r="C42" s="11"/>
      <c r="D42" s="3">
        <v>183956</v>
      </c>
      <c r="E42" s="3"/>
      <c r="F42" s="22">
        <f t="shared" si="8"/>
        <v>0.88454388476021706</v>
      </c>
      <c r="G42" s="3"/>
      <c r="H42" s="3">
        <v>342320</v>
      </c>
      <c r="I42" s="3"/>
      <c r="J42" s="22">
        <f t="shared" si="9"/>
        <v>0.92434636018503891</v>
      </c>
      <c r="K42" s="3"/>
      <c r="L42" s="3">
        <f t="shared" si="10"/>
        <v>-158364</v>
      </c>
      <c r="M42" s="3"/>
      <c r="N42" s="22">
        <f t="shared" si="11"/>
        <v>-0.46261977097452678</v>
      </c>
      <c r="O42" s="11"/>
      <c r="P42" s="3">
        <v>183956</v>
      </c>
      <c r="Q42" s="3"/>
      <c r="R42" s="22">
        <f t="shared" si="12"/>
        <v>0.88454388476021706</v>
      </c>
      <c r="S42" s="3"/>
      <c r="T42" s="3">
        <v>342320</v>
      </c>
      <c r="U42" s="3"/>
      <c r="V42" s="22">
        <f t="shared" si="13"/>
        <v>0.92434636018503891</v>
      </c>
      <c r="W42" s="3"/>
      <c r="X42" s="3">
        <f t="shared" si="14"/>
        <v>-158364</v>
      </c>
      <c r="Y42" s="3"/>
      <c r="Z42" s="22">
        <f t="shared" si="15"/>
        <v>-0.46261977097452678</v>
      </c>
    </row>
    <row r="43" spans="1:26" s="24" customFormat="1" hidden="1" outlineLevel="1" x14ac:dyDescent="0.25">
      <c r="A43" s="50"/>
      <c r="B43" s="11" t="str">
        <f>CONCATENATE("          ", "5583", " - ", "FREIGHT-IN-COMPUTER EQUIPMENT")</f>
        <v xml:space="preserve">          5583 - FREIGHT-IN-COMPUTER EQUIPMENT</v>
      </c>
      <c r="C43" s="11"/>
      <c r="D43" s="3">
        <v>17.39</v>
      </c>
      <c r="E43" s="3"/>
      <c r="F43" s="22">
        <f t="shared" si="8"/>
        <v>8.3619007566919124E-5</v>
      </c>
      <c r="G43" s="3"/>
      <c r="H43" s="3">
        <v>6.99</v>
      </c>
      <c r="I43" s="3"/>
      <c r="J43" s="22">
        <f t="shared" si="9"/>
        <v>1.8874681753018875E-5</v>
      </c>
      <c r="K43" s="3"/>
      <c r="L43" s="3">
        <f t="shared" si="10"/>
        <v>10.4</v>
      </c>
      <c r="M43" s="3"/>
      <c r="N43" s="22">
        <f t="shared" si="11"/>
        <v>1.4878397711015736</v>
      </c>
      <c r="O43" s="11"/>
      <c r="P43" s="3">
        <v>17.39</v>
      </c>
      <c r="Q43" s="3"/>
      <c r="R43" s="22">
        <f t="shared" si="12"/>
        <v>8.3619007566919124E-5</v>
      </c>
      <c r="S43" s="3"/>
      <c r="T43" s="3">
        <v>6.99</v>
      </c>
      <c r="U43" s="3"/>
      <c r="V43" s="22">
        <f t="shared" si="13"/>
        <v>1.8874681753018875E-5</v>
      </c>
      <c r="W43" s="3"/>
      <c r="X43" s="3">
        <f t="shared" si="14"/>
        <v>10.4</v>
      </c>
      <c r="Y43" s="3"/>
      <c r="Z43" s="22">
        <f t="shared" si="15"/>
        <v>1.4878397711015736</v>
      </c>
    </row>
    <row r="44" spans="1:26" s="24" customFormat="1" hidden="1" outlineLevel="1" x14ac:dyDescent="0.25">
      <c r="A44" s="50"/>
      <c r="B44" s="11" t="str">
        <f>CONCATENATE("          ", "5586", " - ", "FREIGHT-IN-COMPUTER SUPPLIES")</f>
        <v xml:space="preserve">          5586 - FREIGHT-IN-COMPUTER SUPPLIES</v>
      </c>
      <c r="C44" s="11"/>
      <c r="D44" s="3"/>
      <c r="E44" s="3"/>
      <c r="F44" s="22">
        <f t="shared" si="8"/>
        <v>0</v>
      </c>
      <c r="G44" s="3"/>
      <c r="H44" s="3">
        <v>29.67</v>
      </c>
      <c r="I44" s="3"/>
      <c r="J44" s="22">
        <f t="shared" si="9"/>
        <v>8.0116138428050086E-5</v>
      </c>
      <c r="K44" s="3"/>
      <c r="L44" s="3">
        <f t="shared" si="10"/>
        <v>-29.67</v>
      </c>
      <c r="M44" s="3"/>
      <c r="N44" s="22">
        <f t="shared" si="11"/>
        <v>-1</v>
      </c>
      <c r="O44" s="11"/>
      <c r="P44" s="3"/>
      <c r="Q44" s="3"/>
      <c r="R44" s="22">
        <f t="shared" si="12"/>
        <v>0</v>
      </c>
      <c r="S44" s="3"/>
      <c r="T44" s="3">
        <v>29.67</v>
      </c>
      <c r="U44" s="3"/>
      <c r="V44" s="22">
        <f t="shared" si="13"/>
        <v>8.0116138428050086E-5</v>
      </c>
      <c r="W44" s="3"/>
      <c r="X44" s="3">
        <f t="shared" si="14"/>
        <v>-29.67</v>
      </c>
      <c r="Y44" s="3"/>
      <c r="Z44" s="22">
        <f t="shared" si="15"/>
        <v>-1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25">
      <c r="A46" s="10"/>
      <c r="B46" s="26" t="s">
        <v>6</v>
      </c>
      <c r="C46" s="26"/>
      <c r="D46" s="19">
        <f>D12-D34</f>
        <v>24011.069999999949</v>
      </c>
      <c r="E46" s="13"/>
      <c r="F46" s="20">
        <f>IF(D$12=0,0,D46/D$12)</f>
        <v>0.11545611523978266</v>
      </c>
      <c r="G46" s="13"/>
      <c r="H46" s="19">
        <f>H12-H34</f>
        <v>28017.180000000051</v>
      </c>
      <c r="I46" s="13"/>
      <c r="J46" s="20">
        <f>IF(H$12=0,0,H46/H$12)</f>
        <v>7.5653126769248402E-2</v>
      </c>
      <c r="K46" s="16"/>
      <c r="L46" s="19">
        <f>+D46-H46</f>
        <v>-4006.1100000001024</v>
      </c>
      <c r="M46" s="16"/>
      <c r="N46" s="20">
        <f>IF(H46=0,0,L46/H46)</f>
        <v>-0.14298762402212126</v>
      </c>
      <c r="O46" s="25"/>
      <c r="P46" s="19">
        <f>P12-P34</f>
        <v>24011.069999999949</v>
      </c>
      <c r="Q46" s="13"/>
      <c r="R46" s="20">
        <f>IF(P$12=0,0,P46/P$12)</f>
        <v>0.11545611523978266</v>
      </c>
      <c r="S46" s="13"/>
      <c r="T46" s="19">
        <f>T12-T34</f>
        <v>28017.180000000051</v>
      </c>
      <c r="U46" s="13"/>
      <c r="V46" s="20">
        <f>IF(T$12=0,0,T46/T$12)</f>
        <v>7.5653126769248402E-2</v>
      </c>
      <c r="W46" s="16"/>
      <c r="X46" s="19">
        <f>+P46-T46</f>
        <v>-4006.1100000001024</v>
      </c>
      <c r="Y46" s="16"/>
      <c r="Z46" s="20">
        <f>IF(T46=0,0,X46/T46)</f>
        <v>-0.14298762402212126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1">
        <f>SUM(OSRRefD22x_0)</f>
        <v>11779.660000000002</v>
      </c>
      <c r="E48" s="21"/>
      <c r="F48" s="34">
        <f t="shared" ref="F48:F58" si="16">IF(D$12=0,0,D48/D$12)</f>
        <v>5.6641948169967489E-2</v>
      </c>
      <c r="G48" s="21"/>
      <c r="H48" s="21">
        <f>SUM(OSRRefH22x_0)</f>
        <v>25028.93</v>
      </c>
      <c r="I48" s="21"/>
      <c r="J48" s="34">
        <f t="shared" ref="J48:J58" si="17">IF(H$12=0,0,H48/H$12)</f>
        <v>6.7584132813817852E-2</v>
      </c>
      <c r="K48" s="4"/>
      <c r="L48" s="21">
        <f t="shared" ref="L48:L58" si="18">+D48-H48</f>
        <v>-13249.269999999999</v>
      </c>
      <c r="M48" s="4"/>
      <c r="N48" s="34">
        <f t="shared" ref="N48:N58" si="19">IF(H48=0,0,L48/H48)</f>
        <v>-0.5293582266601089</v>
      </c>
      <c r="O48" s="10"/>
      <c r="P48" s="21">
        <f>SUM(OSRRefP22x_0)</f>
        <v>11779.660000000002</v>
      </c>
      <c r="Q48" s="21"/>
      <c r="R48" s="34">
        <f t="shared" ref="R48:R58" si="20">IF(P$12=0,0,P48/P$12)</f>
        <v>5.6641948169967489E-2</v>
      </c>
      <c r="S48" s="21"/>
      <c r="T48" s="21">
        <f>SUM(OSRRefT22x_0)</f>
        <v>25028.93</v>
      </c>
      <c r="U48" s="21"/>
      <c r="V48" s="34">
        <f t="shared" ref="V48:V58" si="21">IF(T$12=0,0,T48/T$12)</f>
        <v>6.7584132813817852E-2</v>
      </c>
      <c r="W48" s="4"/>
      <c r="X48" s="21">
        <f t="shared" ref="X48:X58" si="22">+P48-T48</f>
        <v>-13249.269999999999</v>
      </c>
      <c r="Y48" s="4"/>
      <c r="Z48" s="34">
        <f t="shared" ref="Z48:Z58" si="23">IF(T48=0,0,X48/T48)</f>
        <v>-0.5293582266601089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2728.3700000000003</v>
      </c>
      <c r="E49" s="1"/>
      <c r="F49" s="5">
        <f t="shared" si="16"/>
        <v>1.311924046436775E-2</v>
      </c>
      <c r="G49" s="1"/>
      <c r="H49" s="1">
        <f>SUM(OSRRefH22_0x_0)</f>
        <v>2718.76</v>
      </c>
      <c r="I49" s="1"/>
      <c r="J49" s="5">
        <f t="shared" si="17"/>
        <v>7.3413061177163954E-3</v>
      </c>
      <c r="K49" s="1"/>
      <c r="L49" s="1">
        <f t="shared" si="18"/>
        <v>9.6100000000001273</v>
      </c>
      <c r="M49" s="1"/>
      <c r="N49" s="5">
        <f t="shared" si="19"/>
        <v>3.5346996424841202E-3</v>
      </c>
      <c r="O49" s="14"/>
      <c r="P49" s="1">
        <f>SUM(OSRRefP22_0x_0)</f>
        <v>2728.3700000000003</v>
      </c>
      <c r="Q49" s="1"/>
      <c r="R49" s="5">
        <f t="shared" si="20"/>
        <v>1.311924046436775E-2</v>
      </c>
      <c r="S49" s="1"/>
      <c r="T49" s="1">
        <f>SUM(OSRRefT22_0x_0)</f>
        <v>2718.76</v>
      </c>
      <c r="U49" s="1"/>
      <c r="V49" s="5">
        <f t="shared" si="21"/>
        <v>7.3413061177163954E-3</v>
      </c>
      <c r="W49" s="1"/>
      <c r="X49" s="1">
        <f t="shared" si="22"/>
        <v>9.6100000000001273</v>
      </c>
      <c r="Y49" s="1"/>
      <c r="Z49" s="5">
        <f t="shared" si="23"/>
        <v>3.5346996424841202E-3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8">
        <v>419.8</v>
      </c>
      <c r="E50" s="3"/>
      <c r="F50" s="7">
        <f t="shared" si="16"/>
        <v>2.0185888083147012E-3</v>
      </c>
      <c r="G50" s="3"/>
      <c r="H50" s="8">
        <v>497.85</v>
      </c>
      <c r="I50" s="3"/>
      <c r="J50" s="7">
        <f t="shared" si="17"/>
        <v>1.3443147797911942E-3</v>
      </c>
      <c r="K50" s="3"/>
      <c r="L50" s="8">
        <f t="shared" si="18"/>
        <v>-78.050000000000011</v>
      </c>
      <c r="M50" s="3"/>
      <c r="N50" s="7">
        <f t="shared" si="19"/>
        <v>-0.15677412875364066</v>
      </c>
      <c r="O50" s="11"/>
      <c r="P50" s="8">
        <v>419.8</v>
      </c>
      <c r="Q50" s="3"/>
      <c r="R50" s="7">
        <f t="shared" si="20"/>
        <v>2.0185888083147012E-3</v>
      </c>
      <c r="S50" s="3"/>
      <c r="T50" s="8">
        <v>497.85</v>
      </c>
      <c r="U50" s="3"/>
      <c r="V50" s="7">
        <f t="shared" si="21"/>
        <v>1.3443147797911942E-3</v>
      </c>
      <c r="W50" s="3"/>
      <c r="X50" s="8">
        <f t="shared" si="22"/>
        <v>-78.050000000000011</v>
      </c>
      <c r="Y50" s="3"/>
      <c r="Z50" s="7">
        <f t="shared" si="23"/>
        <v>-0.15677412875364066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8">
        <v>53.05</v>
      </c>
      <c r="E51" s="3"/>
      <c r="F51" s="7">
        <f t="shared" si="16"/>
        <v>2.5508846184157903E-4</v>
      </c>
      <c r="G51" s="3"/>
      <c r="H51" s="8">
        <v>123.65</v>
      </c>
      <c r="I51" s="3"/>
      <c r="J51" s="7">
        <f t="shared" si="17"/>
        <v>3.3388474946506212E-4</v>
      </c>
      <c r="K51" s="3"/>
      <c r="L51" s="8">
        <f t="shared" si="18"/>
        <v>-70.600000000000009</v>
      </c>
      <c r="M51" s="3"/>
      <c r="N51" s="7">
        <f t="shared" si="19"/>
        <v>-0.57096643752527299</v>
      </c>
      <c r="O51" s="11"/>
      <c r="P51" s="8">
        <v>53.05</v>
      </c>
      <c r="Q51" s="3"/>
      <c r="R51" s="7">
        <f t="shared" si="20"/>
        <v>2.5508846184157903E-4</v>
      </c>
      <c r="S51" s="3"/>
      <c r="T51" s="8">
        <v>123.65</v>
      </c>
      <c r="U51" s="3"/>
      <c r="V51" s="7">
        <f t="shared" si="21"/>
        <v>3.3388474946506212E-4</v>
      </c>
      <c r="W51" s="3"/>
      <c r="X51" s="8">
        <f t="shared" si="22"/>
        <v>-70.600000000000009</v>
      </c>
      <c r="Y51" s="3"/>
      <c r="Z51" s="7">
        <f t="shared" si="23"/>
        <v>-0.57096643752527299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8">
        <v>1035.69</v>
      </c>
      <c r="E52" s="3"/>
      <c r="F52" s="7">
        <f t="shared" si="16"/>
        <v>4.9800672769972666E-3</v>
      </c>
      <c r="G52" s="3"/>
      <c r="H52" s="8">
        <v>964.88</v>
      </c>
      <c r="I52" s="3"/>
      <c r="J52" s="7">
        <f t="shared" si="17"/>
        <v>2.6054081444710805E-3</v>
      </c>
      <c r="K52" s="3"/>
      <c r="L52" s="8">
        <f t="shared" si="18"/>
        <v>70.810000000000059</v>
      </c>
      <c r="M52" s="3"/>
      <c r="N52" s="7">
        <f t="shared" si="19"/>
        <v>7.3387364231821642E-2</v>
      </c>
      <c r="O52" s="11"/>
      <c r="P52" s="8">
        <v>1035.69</v>
      </c>
      <c r="Q52" s="3"/>
      <c r="R52" s="7">
        <f t="shared" si="20"/>
        <v>4.9800672769972666E-3</v>
      </c>
      <c r="S52" s="3"/>
      <c r="T52" s="8">
        <v>964.88</v>
      </c>
      <c r="U52" s="3"/>
      <c r="V52" s="7">
        <f t="shared" si="21"/>
        <v>2.6054081444710805E-3</v>
      </c>
      <c r="W52" s="3"/>
      <c r="X52" s="8">
        <f t="shared" si="22"/>
        <v>70.810000000000059</v>
      </c>
      <c r="Y52" s="3"/>
      <c r="Z52" s="7">
        <f t="shared" si="23"/>
        <v>7.3387364231821642E-2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8">
        <v>14.46</v>
      </c>
      <c r="E53" s="3"/>
      <c r="F53" s="7">
        <f t="shared" si="16"/>
        <v>6.9530238609410611E-5</v>
      </c>
      <c r="G53" s="3"/>
      <c r="H53" s="8">
        <v>16.920000000000002</v>
      </c>
      <c r="I53" s="3"/>
      <c r="J53" s="7">
        <f t="shared" si="17"/>
        <v>4.5688070852801064E-5</v>
      </c>
      <c r="K53" s="3"/>
      <c r="L53" s="8">
        <f t="shared" si="18"/>
        <v>-2.4600000000000009</v>
      </c>
      <c r="M53" s="3"/>
      <c r="N53" s="7">
        <f t="shared" si="19"/>
        <v>-0.14539007092198586</v>
      </c>
      <c r="O53" s="11"/>
      <c r="P53" s="8">
        <v>14.46</v>
      </c>
      <c r="Q53" s="3"/>
      <c r="R53" s="7">
        <f t="shared" si="20"/>
        <v>6.9530238609410611E-5</v>
      </c>
      <c r="S53" s="3"/>
      <c r="T53" s="8">
        <v>16.920000000000002</v>
      </c>
      <c r="U53" s="3"/>
      <c r="V53" s="7">
        <f t="shared" si="21"/>
        <v>4.5688070852801064E-5</v>
      </c>
      <c r="W53" s="3"/>
      <c r="X53" s="8">
        <f t="shared" si="22"/>
        <v>-2.4600000000000009</v>
      </c>
      <c r="Y53" s="3"/>
      <c r="Z53" s="7">
        <f t="shared" si="23"/>
        <v>-0.14539007092198586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8">
        <v>264.63</v>
      </c>
      <c r="E54" s="3"/>
      <c r="F54" s="7">
        <f t="shared" si="16"/>
        <v>1.2724610679950435E-3</v>
      </c>
      <c r="G54" s="3"/>
      <c r="H54" s="8">
        <v>183.4</v>
      </c>
      <c r="I54" s="3"/>
      <c r="J54" s="7">
        <f t="shared" si="17"/>
        <v>4.9522412496475854E-4</v>
      </c>
      <c r="K54" s="3"/>
      <c r="L54" s="8">
        <f t="shared" si="18"/>
        <v>81.22999999999999</v>
      </c>
      <c r="M54" s="3"/>
      <c r="N54" s="7">
        <f t="shared" si="19"/>
        <v>0.4429116684841875</v>
      </c>
      <c r="O54" s="11"/>
      <c r="P54" s="8">
        <v>264.63</v>
      </c>
      <c r="Q54" s="3"/>
      <c r="R54" s="7">
        <f t="shared" si="20"/>
        <v>1.2724610679950435E-3</v>
      </c>
      <c r="S54" s="3"/>
      <c r="T54" s="8">
        <v>183.4</v>
      </c>
      <c r="U54" s="3"/>
      <c r="V54" s="7">
        <f t="shared" si="21"/>
        <v>4.9522412496475854E-4</v>
      </c>
      <c r="W54" s="3"/>
      <c r="X54" s="8">
        <f t="shared" si="22"/>
        <v>81.22999999999999</v>
      </c>
      <c r="Y54" s="3"/>
      <c r="Z54" s="7">
        <f t="shared" si="23"/>
        <v>0.4429116684841875</v>
      </c>
    </row>
    <row r="55" spans="1:26" s="24" customFormat="1" hidden="1" outlineLevel="2" x14ac:dyDescent="0.25">
      <c r="A55" s="29"/>
      <c r="B55" s="11" t="str">
        <f>CONCATENATE("          ", "6117", " - ", "RETIREMENT STAFF HOURLY")</f>
        <v xml:space="preserve">          6117 - RETIREMENT STAFF HOURLY</v>
      </c>
      <c r="C55" s="11"/>
      <c r="D55" s="8">
        <v>247.54</v>
      </c>
      <c r="E55" s="3"/>
      <c r="F55" s="7">
        <f t="shared" si="16"/>
        <v>1.190284596498859E-3</v>
      </c>
      <c r="G55" s="3"/>
      <c r="H55" s="8">
        <v>140.12</v>
      </c>
      <c r="I55" s="3"/>
      <c r="J55" s="7">
        <f t="shared" si="17"/>
        <v>3.7835771205050142E-4</v>
      </c>
      <c r="K55" s="3"/>
      <c r="L55" s="8">
        <f t="shared" si="18"/>
        <v>107.41999999999999</v>
      </c>
      <c r="M55" s="3"/>
      <c r="N55" s="7">
        <f t="shared" si="19"/>
        <v>0.76662860405366817</v>
      </c>
      <c r="O55" s="11"/>
      <c r="P55" s="8">
        <v>247.54</v>
      </c>
      <c r="Q55" s="3"/>
      <c r="R55" s="7">
        <f t="shared" si="20"/>
        <v>1.190284596498859E-3</v>
      </c>
      <c r="S55" s="3"/>
      <c r="T55" s="8">
        <v>140.12</v>
      </c>
      <c r="U55" s="3"/>
      <c r="V55" s="7">
        <f t="shared" si="21"/>
        <v>3.7835771205050142E-4</v>
      </c>
      <c r="W55" s="3"/>
      <c r="X55" s="8">
        <f t="shared" si="22"/>
        <v>107.41999999999999</v>
      </c>
      <c r="Y55" s="3"/>
      <c r="Z55" s="7">
        <f t="shared" si="23"/>
        <v>0.76662860405366817</v>
      </c>
    </row>
    <row r="56" spans="1:26" s="24" customFormat="1" hidden="1" outlineLevel="2" x14ac:dyDescent="0.25">
      <c r="A56" s="29"/>
      <c r="B56" s="11" t="str">
        <f>CONCATENATE("          ", "6118", " - ", "VACATION")</f>
        <v xml:space="preserve">          6118 - VACATION</v>
      </c>
      <c r="C56" s="11"/>
      <c r="D56" s="8">
        <v>257.8</v>
      </c>
      <c r="E56" s="3"/>
      <c r="F56" s="7">
        <f t="shared" si="16"/>
        <v>1.2396193301179846E-3</v>
      </c>
      <c r="G56" s="3"/>
      <c r="H56" s="8">
        <v>313.32</v>
      </c>
      <c r="I56" s="3"/>
      <c r="J56" s="7">
        <f t="shared" si="17"/>
        <v>8.4603938295506071E-4</v>
      </c>
      <c r="K56" s="3"/>
      <c r="L56" s="8">
        <f t="shared" si="18"/>
        <v>-55.519999999999982</v>
      </c>
      <c r="M56" s="3"/>
      <c r="N56" s="7">
        <f t="shared" si="19"/>
        <v>-0.17719902974594659</v>
      </c>
      <c r="O56" s="11"/>
      <c r="P56" s="8">
        <v>257.8</v>
      </c>
      <c r="Q56" s="3"/>
      <c r="R56" s="7">
        <f t="shared" si="20"/>
        <v>1.2396193301179846E-3</v>
      </c>
      <c r="S56" s="3"/>
      <c r="T56" s="8">
        <v>313.32</v>
      </c>
      <c r="U56" s="3"/>
      <c r="V56" s="7">
        <f t="shared" si="21"/>
        <v>8.4603938295506071E-4</v>
      </c>
      <c r="W56" s="3"/>
      <c r="X56" s="8">
        <f t="shared" si="22"/>
        <v>-55.519999999999982</v>
      </c>
      <c r="Y56" s="3"/>
      <c r="Z56" s="7">
        <f t="shared" si="23"/>
        <v>-0.17719902974594659</v>
      </c>
    </row>
    <row r="57" spans="1:26" s="24" customFormat="1" hidden="1" outlineLevel="2" x14ac:dyDescent="0.25">
      <c r="A57" s="29"/>
      <c r="B57" s="11" t="str">
        <f>CONCATENATE("          ", "6119", " - ", "SICK LEAVE")</f>
        <v xml:space="preserve">          6119 - SICK LEAVE</v>
      </c>
      <c r="C57" s="11"/>
      <c r="D57" s="8">
        <v>256.57</v>
      </c>
      <c r="E57" s="3"/>
      <c r="F57" s="7">
        <f t="shared" si="16"/>
        <v>1.2337049322279723E-3</v>
      </c>
      <c r="G57" s="3"/>
      <c r="H57" s="8">
        <v>328.62</v>
      </c>
      <c r="I57" s="3"/>
      <c r="J57" s="7">
        <f t="shared" si="17"/>
        <v>8.8735306404535952E-4</v>
      </c>
      <c r="K57" s="3"/>
      <c r="L57" s="8">
        <f t="shared" si="18"/>
        <v>-72.050000000000011</v>
      </c>
      <c r="M57" s="3"/>
      <c r="N57" s="7">
        <f t="shared" si="19"/>
        <v>-0.21925019779684746</v>
      </c>
      <c r="O57" s="11"/>
      <c r="P57" s="8">
        <v>256.57</v>
      </c>
      <c r="Q57" s="3"/>
      <c r="R57" s="7">
        <f t="shared" si="20"/>
        <v>1.2337049322279723E-3</v>
      </c>
      <c r="S57" s="3"/>
      <c r="T57" s="8">
        <v>328.62</v>
      </c>
      <c r="U57" s="3"/>
      <c r="V57" s="7">
        <f t="shared" si="21"/>
        <v>8.8735306404535952E-4</v>
      </c>
      <c r="W57" s="3"/>
      <c r="X57" s="8">
        <f t="shared" si="22"/>
        <v>-72.050000000000011</v>
      </c>
      <c r="Y57" s="3"/>
      <c r="Z57" s="7">
        <f t="shared" si="23"/>
        <v>-0.21925019779684746</v>
      </c>
    </row>
    <row r="58" spans="1:26" s="24" customFormat="1" hidden="1" outlineLevel="2" x14ac:dyDescent="0.25">
      <c r="A58" s="29"/>
      <c r="B58" s="11" t="str">
        <f>CONCATENATE("          ", "6156", " - ", "EMPLOYEE MEALS")</f>
        <v xml:space="preserve">          6156 - EMPLOYEE MEALS</v>
      </c>
      <c r="C58" s="11"/>
      <c r="D58" s="8">
        <v>178.83</v>
      </c>
      <c r="E58" s="3"/>
      <c r="F58" s="7">
        <f t="shared" si="16"/>
        <v>8.5989575176493086E-4</v>
      </c>
      <c r="G58" s="3"/>
      <c r="H58" s="8">
        <v>150</v>
      </c>
      <c r="I58" s="3"/>
      <c r="J58" s="7">
        <f t="shared" si="17"/>
        <v>4.0503608912057675E-4</v>
      </c>
      <c r="K58" s="3"/>
      <c r="L58" s="8">
        <f t="shared" si="18"/>
        <v>28.830000000000013</v>
      </c>
      <c r="M58" s="3"/>
      <c r="N58" s="7">
        <f t="shared" si="19"/>
        <v>0.19220000000000009</v>
      </c>
      <c r="O58" s="11"/>
      <c r="P58" s="8">
        <v>178.83</v>
      </c>
      <c r="Q58" s="3"/>
      <c r="R58" s="7">
        <f t="shared" si="20"/>
        <v>8.5989575176493086E-4</v>
      </c>
      <c r="S58" s="3"/>
      <c r="T58" s="8">
        <v>150</v>
      </c>
      <c r="U58" s="3"/>
      <c r="V58" s="7">
        <f t="shared" si="21"/>
        <v>4.0503608912057675E-4</v>
      </c>
      <c r="W58" s="3"/>
      <c r="X58" s="8">
        <f t="shared" si="22"/>
        <v>28.830000000000013</v>
      </c>
      <c r="Y58" s="3"/>
      <c r="Z58" s="7">
        <f t="shared" si="23"/>
        <v>0.19220000000000009</v>
      </c>
    </row>
    <row r="59" spans="1:26" s="27" customFormat="1" outlineLevel="1" collapsed="1" x14ac:dyDescent="0.25">
      <c r="A59" s="28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6417.82</v>
      </c>
      <c r="E59" s="1"/>
      <c r="F59" s="5">
        <f t="shared" ref="F59:F64" si="24">IF(D$12=0,0,D59/D$12)</f>
        <v>3.0859789484941051E-2</v>
      </c>
      <c r="G59" s="1"/>
      <c r="H59" s="1">
        <f>SUM(OSRRefH22_1x_0)</f>
        <v>7913.5400000000009</v>
      </c>
      <c r="I59" s="1"/>
      <c r="J59" s="5">
        <f t="shared" ref="J59:J64" si="25">IF(H$12=0,0,H59/H$12)</f>
        <v>2.1368461951328327E-2</v>
      </c>
      <c r="K59" s="1"/>
      <c r="L59" s="1">
        <f t="shared" ref="L59:L64" si="26">+D59-H59</f>
        <v>-1495.7200000000012</v>
      </c>
      <c r="M59" s="1"/>
      <c r="N59" s="5">
        <f t="shared" ref="N59:N64" si="27">IF(H59=0,0,L59/H59)</f>
        <v>-0.18900770072559195</v>
      </c>
      <c r="O59" s="14"/>
      <c r="P59" s="1">
        <f>SUM(OSRRefP22_1x_0)</f>
        <v>6417.82</v>
      </c>
      <c r="Q59" s="1"/>
      <c r="R59" s="5">
        <f t="shared" ref="R59:R64" si="28">IF(P$12=0,0,P59/P$12)</f>
        <v>3.0859789484941051E-2</v>
      </c>
      <c r="S59" s="1"/>
      <c r="T59" s="1">
        <f>SUM(OSRRefT22_1x_0)</f>
        <v>7913.5400000000009</v>
      </c>
      <c r="U59" s="1"/>
      <c r="V59" s="5">
        <f t="shared" ref="V59:V64" si="29">IF(T$12=0,0,T59/T$12)</f>
        <v>2.1368461951328327E-2</v>
      </c>
      <c r="W59" s="1"/>
      <c r="X59" s="1">
        <f t="shared" ref="X59:X64" si="30">+P59-T59</f>
        <v>-1495.7200000000012</v>
      </c>
      <c r="Y59" s="1"/>
      <c r="Z59" s="5">
        <f t="shared" ref="Z59:Z64" si="31">IF(T59=0,0,X59/T59)</f>
        <v>-0.18900770072559195</v>
      </c>
    </row>
    <row r="60" spans="1:26" s="24" customFormat="1" hidden="1" outlineLevel="2" x14ac:dyDescent="0.25">
      <c r="A60" s="29"/>
      <c r="B60" s="11" t="str">
        <f>CONCATENATE("          ", "6002", " - ", "STAFF SALARIES")</f>
        <v xml:space="preserve">          6002 - STAFF SALARIES</v>
      </c>
      <c r="C60" s="11"/>
      <c r="D60" s="8">
        <v>2625.07</v>
      </c>
      <c r="E60" s="3"/>
      <c r="F60" s="7">
        <f t="shared" si="24"/>
        <v>1.2622527210678114E-2</v>
      </c>
      <c r="G60" s="3"/>
      <c r="H60" s="8">
        <v>3151.4</v>
      </c>
      <c r="I60" s="3"/>
      <c r="J60" s="7">
        <f t="shared" si="25"/>
        <v>8.509538208363903E-3</v>
      </c>
      <c r="K60" s="3"/>
      <c r="L60" s="8">
        <f t="shared" si="26"/>
        <v>-526.32999999999993</v>
      </c>
      <c r="M60" s="3"/>
      <c r="N60" s="7">
        <f t="shared" si="27"/>
        <v>-0.16701466015104396</v>
      </c>
      <c r="O60" s="11"/>
      <c r="P60" s="8">
        <v>2625.07</v>
      </c>
      <c r="Q60" s="3"/>
      <c r="R60" s="7">
        <f t="shared" si="28"/>
        <v>1.2622527210678114E-2</v>
      </c>
      <c r="S60" s="3"/>
      <c r="T60" s="8">
        <v>3151.4</v>
      </c>
      <c r="U60" s="3"/>
      <c r="V60" s="7">
        <f t="shared" si="29"/>
        <v>8.509538208363903E-3</v>
      </c>
      <c r="W60" s="3"/>
      <c r="X60" s="8">
        <f t="shared" si="30"/>
        <v>-526.32999999999993</v>
      </c>
      <c r="Y60" s="3"/>
      <c r="Z60" s="7">
        <f t="shared" si="31"/>
        <v>-0.16701466015104396</v>
      </c>
    </row>
    <row r="61" spans="1:26" s="24" customFormat="1" hidden="1" outlineLevel="2" x14ac:dyDescent="0.25">
      <c r="A61" s="29"/>
      <c r="B61" s="11" t="str">
        <f>CONCATENATE("          ", "6004", " - ", "STAFF HOURLY")</f>
        <v xml:space="preserve">          6004 - STAFF HOURLY</v>
      </c>
      <c r="C61" s="11"/>
      <c r="D61" s="8">
        <v>3023.75</v>
      </c>
      <c r="E61" s="3"/>
      <c r="F61" s="7">
        <f t="shared" si="24"/>
        <v>1.4539561479613093E-2</v>
      </c>
      <c r="G61" s="3"/>
      <c r="H61" s="8"/>
      <c r="I61" s="3"/>
      <c r="J61" s="7">
        <f t="shared" si="25"/>
        <v>0</v>
      </c>
      <c r="K61" s="3"/>
      <c r="L61" s="8">
        <f t="shared" si="26"/>
        <v>3023.75</v>
      </c>
      <c r="M61" s="3"/>
      <c r="N61" s="7">
        <f t="shared" si="27"/>
        <v>0</v>
      </c>
      <c r="O61" s="11"/>
      <c r="P61" s="8">
        <v>3023.75</v>
      </c>
      <c r="Q61" s="3"/>
      <c r="R61" s="7">
        <f t="shared" si="28"/>
        <v>1.4539561479613093E-2</v>
      </c>
      <c r="S61" s="3"/>
      <c r="T61" s="8"/>
      <c r="U61" s="3"/>
      <c r="V61" s="7">
        <f t="shared" si="29"/>
        <v>0</v>
      </c>
      <c r="W61" s="3"/>
      <c r="X61" s="8">
        <f t="shared" si="30"/>
        <v>3023.75</v>
      </c>
      <c r="Y61" s="3"/>
      <c r="Z61" s="7">
        <f t="shared" si="31"/>
        <v>0</v>
      </c>
    </row>
    <row r="62" spans="1:26" s="24" customFormat="1" hidden="1" outlineLevel="2" x14ac:dyDescent="0.25">
      <c r="A62" s="29"/>
      <c r="B62" s="11" t="str">
        <f>CONCATENATE("          ", "6005", " - ", "TEMPORARY WAGES-HOURLY")</f>
        <v xml:space="preserve">          6005 - TEMPORARY WAGES-HOURLY</v>
      </c>
      <c r="C62" s="11"/>
      <c r="D62" s="8"/>
      <c r="E62" s="3"/>
      <c r="F62" s="7">
        <f t="shared" si="24"/>
        <v>0</v>
      </c>
      <c r="G62" s="3"/>
      <c r="H62" s="8">
        <v>2433.6999999999998</v>
      </c>
      <c r="I62" s="3"/>
      <c r="J62" s="7">
        <f t="shared" si="25"/>
        <v>6.5715755339516499E-3</v>
      </c>
      <c r="K62" s="3"/>
      <c r="L62" s="8">
        <f t="shared" si="26"/>
        <v>-2433.6999999999998</v>
      </c>
      <c r="M62" s="3"/>
      <c r="N62" s="7">
        <f t="shared" si="27"/>
        <v>-1</v>
      </c>
      <c r="O62" s="11"/>
      <c r="P62" s="8"/>
      <c r="Q62" s="3"/>
      <c r="R62" s="7">
        <f t="shared" si="28"/>
        <v>0</v>
      </c>
      <c r="S62" s="3"/>
      <c r="T62" s="8">
        <v>2433.6999999999998</v>
      </c>
      <c r="U62" s="3"/>
      <c r="V62" s="7">
        <f t="shared" si="29"/>
        <v>6.5715755339516499E-3</v>
      </c>
      <c r="W62" s="3"/>
      <c r="X62" s="8">
        <f t="shared" si="30"/>
        <v>-2433.6999999999998</v>
      </c>
      <c r="Y62" s="3"/>
      <c r="Z62" s="7">
        <f t="shared" si="31"/>
        <v>-1</v>
      </c>
    </row>
    <row r="63" spans="1:26" s="24" customFormat="1" hidden="1" outlineLevel="2" x14ac:dyDescent="0.25">
      <c r="A63" s="29"/>
      <c r="B63" s="11" t="str">
        <f>CONCATENATE("          ", "6006", " - ", "TEMPORARY PART TIME")</f>
        <v xml:space="preserve">          6006 - TEMPORARY PART TIME</v>
      </c>
      <c r="C63" s="11"/>
      <c r="D63" s="8"/>
      <c r="E63" s="3"/>
      <c r="F63" s="7">
        <f t="shared" si="24"/>
        <v>0</v>
      </c>
      <c r="G63" s="3"/>
      <c r="H63" s="8">
        <v>1448.44</v>
      </c>
      <c r="I63" s="3"/>
      <c r="J63" s="7">
        <f t="shared" si="25"/>
        <v>3.9111364861720548E-3</v>
      </c>
      <c r="K63" s="3"/>
      <c r="L63" s="8">
        <f t="shared" si="26"/>
        <v>-1448.44</v>
      </c>
      <c r="M63" s="3"/>
      <c r="N63" s="7">
        <f t="shared" si="27"/>
        <v>-1</v>
      </c>
      <c r="O63" s="11"/>
      <c r="P63" s="8"/>
      <c r="Q63" s="3"/>
      <c r="R63" s="7">
        <f t="shared" si="28"/>
        <v>0</v>
      </c>
      <c r="S63" s="3"/>
      <c r="T63" s="8">
        <v>1448.44</v>
      </c>
      <c r="U63" s="3"/>
      <c r="V63" s="7">
        <f t="shared" si="29"/>
        <v>3.9111364861720548E-3</v>
      </c>
      <c r="W63" s="3"/>
      <c r="X63" s="8">
        <f t="shared" si="30"/>
        <v>-1448.44</v>
      </c>
      <c r="Y63" s="3"/>
      <c r="Z63" s="7">
        <f t="shared" si="31"/>
        <v>-1</v>
      </c>
    </row>
    <row r="64" spans="1:26" s="24" customFormat="1" hidden="1" outlineLevel="2" x14ac:dyDescent="0.25">
      <c r="A64" s="29"/>
      <c r="B64" s="11" t="str">
        <f>CONCATENATE("          ", "6007", " - ", "STUDENT HOURLY")</f>
        <v xml:space="preserve">          6007 - STUDENT HOURLY</v>
      </c>
      <c r="C64" s="11"/>
      <c r="D64" s="8">
        <v>769</v>
      </c>
      <c r="E64" s="3"/>
      <c r="F64" s="7">
        <f t="shared" si="24"/>
        <v>3.697700794649845E-3</v>
      </c>
      <c r="G64" s="3"/>
      <c r="H64" s="8">
        <v>880</v>
      </c>
      <c r="I64" s="3"/>
      <c r="J64" s="7">
        <f t="shared" si="25"/>
        <v>2.376211722840717E-3</v>
      </c>
      <c r="K64" s="3"/>
      <c r="L64" s="8">
        <f t="shared" si="26"/>
        <v>-111</v>
      </c>
      <c r="M64" s="3"/>
      <c r="N64" s="7">
        <f t="shared" si="27"/>
        <v>-0.12613636363636363</v>
      </c>
      <c r="O64" s="11"/>
      <c r="P64" s="8">
        <v>769</v>
      </c>
      <c r="Q64" s="3"/>
      <c r="R64" s="7">
        <f t="shared" si="28"/>
        <v>3.697700794649845E-3</v>
      </c>
      <c r="S64" s="3"/>
      <c r="T64" s="8">
        <v>880</v>
      </c>
      <c r="U64" s="3"/>
      <c r="V64" s="7">
        <f t="shared" si="29"/>
        <v>2.376211722840717E-3</v>
      </c>
      <c r="W64" s="3"/>
      <c r="X64" s="8">
        <f t="shared" si="30"/>
        <v>-111</v>
      </c>
      <c r="Y64" s="3"/>
      <c r="Z64" s="7">
        <f t="shared" si="31"/>
        <v>-0.12613636363636363</v>
      </c>
    </row>
    <row r="65" spans="1:26" s="27" customFormat="1" outlineLevel="1" collapsed="1" x14ac:dyDescent="0.25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149.65</v>
      </c>
      <c r="E65" s="1"/>
      <c r="F65" s="5">
        <f t="shared" ref="F65:F73" si="32">IF(D$12=0,0,D65/D$12)</f>
        <v>7.1958507661813958E-4</v>
      </c>
      <c r="G65" s="1"/>
      <c r="H65" s="1">
        <f>SUM(OSRRefH22_2x_0)</f>
        <v>359.07</v>
      </c>
      <c r="I65" s="1"/>
      <c r="J65" s="5">
        <f t="shared" ref="J65:J73" si="33">IF(H$12=0,0,H65/H$12)</f>
        <v>9.6957539013683655E-4</v>
      </c>
      <c r="K65" s="1"/>
      <c r="L65" s="1">
        <f t="shared" ref="L65:L73" si="34">+D65-H65</f>
        <v>-209.42</v>
      </c>
      <c r="M65" s="1"/>
      <c r="N65" s="5">
        <f t="shared" ref="N65:N73" si="35">IF(H65=0,0,L65/H65)</f>
        <v>-0.58322889687247614</v>
      </c>
      <c r="O65" s="14"/>
      <c r="P65" s="1">
        <f>SUM(OSRRefP22_2x_0)</f>
        <v>149.65</v>
      </c>
      <c r="Q65" s="1"/>
      <c r="R65" s="5">
        <f t="shared" ref="R65:R73" si="36">IF(P$12=0,0,P65/P$12)</f>
        <v>7.1958507661813958E-4</v>
      </c>
      <c r="S65" s="1"/>
      <c r="T65" s="1">
        <f>SUM(OSRRefT22_2x_0)</f>
        <v>359.07</v>
      </c>
      <c r="U65" s="1"/>
      <c r="V65" s="5">
        <f t="shared" ref="V65:V73" si="37">IF(T$12=0,0,T65/T$12)</f>
        <v>9.6957539013683655E-4</v>
      </c>
      <c r="W65" s="1"/>
      <c r="X65" s="1">
        <f t="shared" ref="X65:X73" si="38">+P65-T65</f>
        <v>-209.42</v>
      </c>
      <c r="Y65" s="1"/>
      <c r="Z65" s="5">
        <f t="shared" ref="Z65:Z73" si="39">IF(T65=0,0,X65/T65)</f>
        <v>-0.58322889687247614</v>
      </c>
    </row>
    <row r="66" spans="1:26" s="24" customFormat="1" hidden="1" outlineLevel="2" x14ac:dyDescent="0.25">
      <c r="A66" s="29"/>
      <c r="B66" s="11" t="str">
        <f>CONCATENATE("          ", "6362", " - ", "ADVERTISING EXPENSE")</f>
        <v xml:space="preserve">          6362 - ADVERTISING EXPENSE</v>
      </c>
      <c r="C66" s="11"/>
      <c r="D66" s="8">
        <v>149.65</v>
      </c>
      <c r="E66" s="3"/>
      <c r="F66" s="7">
        <f t="shared" si="32"/>
        <v>7.1958507661813958E-4</v>
      </c>
      <c r="G66" s="3"/>
      <c r="H66" s="8">
        <v>359.07</v>
      </c>
      <c r="I66" s="3"/>
      <c r="J66" s="7">
        <f t="shared" si="33"/>
        <v>9.6957539013683655E-4</v>
      </c>
      <c r="K66" s="3"/>
      <c r="L66" s="8">
        <f t="shared" si="34"/>
        <v>-209.42</v>
      </c>
      <c r="M66" s="3"/>
      <c r="N66" s="7">
        <f t="shared" si="35"/>
        <v>-0.58322889687247614</v>
      </c>
      <c r="O66" s="11"/>
      <c r="P66" s="8">
        <v>149.65</v>
      </c>
      <c r="Q66" s="3"/>
      <c r="R66" s="7">
        <f t="shared" si="36"/>
        <v>7.1958507661813958E-4</v>
      </c>
      <c r="S66" s="3"/>
      <c r="T66" s="8">
        <v>359.07</v>
      </c>
      <c r="U66" s="3"/>
      <c r="V66" s="7">
        <f t="shared" si="37"/>
        <v>9.6957539013683655E-4</v>
      </c>
      <c r="W66" s="3"/>
      <c r="X66" s="8">
        <f t="shared" si="38"/>
        <v>-209.42</v>
      </c>
      <c r="Y66" s="3"/>
      <c r="Z66" s="7">
        <f t="shared" si="39"/>
        <v>-0.58322889687247614</v>
      </c>
    </row>
    <row r="67" spans="1:26" s="27" customFormat="1" outlineLevel="1" collapsed="1" x14ac:dyDescent="0.25">
      <c r="A67" s="28"/>
      <c r="B67" s="14" t="str">
        <f>CONCATENATE("     ","Depreciation                                      ")</f>
        <v xml:space="preserve">     Depreciation                                      </v>
      </c>
      <c r="C67" s="14"/>
      <c r="D67" s="1">
        <f>SUM(OSRRefD22_3x_0)</f>
        <v>280.44</v>
      </c>
      <c r="E67" s="1"/>
      <c r="F67" s="5">
        <f t="shared" si="32"/>
        <v>1.3484827189227601E-3</v>
      </c>
      <c r="G67" s="1"/>
      <c r="H67" s="1">
        <f>SUM(OSRRefH22_3x_0)</f>
        <v>280.44</v>
      </c>
      <c r="I67" s="1"/>
      <c r="J67" s="5">
        <f t="shared" si="33"/>
        <v>7.5725547221983027E-4</v>
      </c>
      <c r="K67" s="1"/>
      <c r="L67" s="1">
        <f t="shared" si="34"/>
        <v>0</v>
      </c>
      <c r="M67" s="1"/>
      <c r="N67" s="5">
        <f t="shared" si="35"/>
        <v>0</v>
      </c>
      <c r="O67" s="14"/>
      <c r="P67" s="1">
        <f>SUM(OSRRefP22_3x_0)</f>
        <v>280.44</v>
      </c>
      <c r="Q67" s="1"/>
      <c r="R67" s="5">
        <f t="shared" si="36"/>
        <v>1.3484827189227601E-3</v>
      </c>
      <c r="S67" s="1"/>
      <c r="T67" s="1">
        <f>SUM(OSRRefT22_3x_0)</f>
        <v>280.44</v>
      </c>
      <c r="U67" s="1"/>
      <c r="V67" s="5">
        <f t="shared" si="37"/>
        <v>7.5725547221983027E-4</v>
      </c>
      <c r="W67" s="1"/>
      <c r="X67" s="1">
        <f t="shared" si="38"/>
        <v>0</v>
      </c>
      <c r="Y67" s="1"/>
      <c r="Z67" s="5">
        <f t="shared" si="39"/>
        <v>0</v>
      </c>
    </row>
    <row r="68" spans="1:26" s="24" customFormat="1" hidden="1" outlineLevel="2" x14ac:dyDescent="0.25">
      <c r="A68" s="29"/>
      <c r="B68" s="11" t="str">
        <f>CONCATENATE("          ", "6322", " - ", "EQUIPMENT DEPRECIATION EXPENSE")</f>
        <v xml:space="preserve">          6322 - EQUIPMENT DEPRECIATION EXPENSE</v>
      </c>
      <c r="C68" s="11"/>
      <c r="D68" s="8">
        <v>280.44</v>
      </c>
      <c r="E68" s="3"/>
      <c r="F68" s="7">
        <f t="shared" si="32"/>
        <v>1.3484827189227601E-3</v>
      </c>
      <c r="G68" s="3"/>
      <c r="H68" s="8">
        <v>280.44</v>
      </c>
      <c r="I68" s="3"/>
      <c r="J68" s="7">
        <f t="shared" si="33"/>
        <v>7.5725547221983027E-4</v>
      </c>
      <c r="K68" s="3"/>
      <c r="L68" s="8">
        <f t="shared" si="34"/>
        <v>0</v>
      </c>
      <c r="M68" s="3"/>
      <c r="N68" s="7">
        <f t="shared" si="35"/>
        <v>0</v>
      </c>
      <c r="O68" s="11"/>
      <c r="P68" s="8">
        <v>280.44</v>
      </c>
      <c r="Q68" s="3"/>
      <c r="R68" s="7">
        <f t="shared" si="36"/>
        <v>1.3484827189227601E-3</v>
      </c>
      <c r="S68" s="3"/>
      <c r="T68" s="8">
        <v>280.44</v>
      </c>
      <c r="U68" s="3"/>
      <c r="V68" s="7">
        <f t="shared" si="37"/>
        <v>7.5725547221983027E-4</v>
      </c>
      <c r="W68" s="3"/>
      <c r="X68" s="8">
        <f t="shared" si="38"/>
        <v>0</v>
      </c>
      <c r="Y68" s="3"/>
      <c r="Z68" s="7">
        <f t="shared" si="39"/>
        <v>0</v>
      </c>
    </row>
    <row r="69" spans="1:26" s="27" customFormat="1" outlineLevel="1" collapsed="1" x14ac:dyDescent="0.25">
      <c r="A69" s="28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SUM(OSRRefD22_4x_0)</f>
        <v>0</v>
      </c>
      <c r="E69" s="1"/>
      <c r="F69" s="5">
        <f t="shared" si="32"/>
        <v>0</v>
      </c>
      <c r="G69" s="1"/>
      <c r="H69" s="1">
        <f>SUM(OSRRefH22_4x_0)</f>
        <v>12904.81</v>
      </c>
      <c r="I69" s="1"/>
      <c r="J69" s="5">
        <f t="shared" si="33"/>
        <v>3.4846091821627401E-2</v>
      </c>
      <c r="K69" s="1"/>
      <c r="L69" s="1">
        <f t="shared" si="34"/>
        <v>-12904.81</v>
      </c>
      <c r="M69" s="1"/>
      <c r="N69" s="5">
        <f t="shared" si="35"/>
        <v>-1</v>
      </c>
      <c r="O69" s="14"/>
      <c r="P69" s="1">
        <f>SUM(OSRRefP22_4x_0)</f>
        <v>0</v>
      </c>
      <c r="Q69" s="1"/>
      <c r="R69" s="5">
        <f t="shared" si="36"/>
        <v>0</v>
      </c>
      <c r="S69" s="1"/>
      <c r="T69" s="1">
        <f>SUM(OSRRefT22_4x_0)</f>
        <v>12904.81</v>
      </c>
      <c r="U69" s="1"/>
      <c r="V69" s="5">
        <f t="shared" si="37"/>
        <v>3.4846091821627401E-2</v>
      </c>
      <c r="W69" s="1"/>
      <c r="X69" s="1">
        <f t="shared" si="38"/>
        <v>-12904.81</v>
      </c>
      <c r="Y69" s="1"/>
      <c r="Z69" s="5">
        <f t="shared" si="39"/>
        <v>-1</v>
      </c>
    </row>
    <row r="70" spans="1:26" s="24" customFormat="1" hidden="1" outlineLevel="2" x14ac:dyDescent="0.25">
      <c r="A70" s="29"/>
      <c r="B70" s="11" t="str">
        <f>CONCATENATE("          ", "6382", " - ", "DISCOUNTS/MARK DOWNS")</f>
        <v xml:space="preserve">          6382 - DISCOUNTS/MARK DOWNS</v>
      </c>
      <c r="C70" s="11"/>
      <c r="D70" s="8"/>
      <c r="E70" s="3"/>
      <c r="F70" s="7">
        <f t="shared" si="32"/>
        <v>0</v>
      </c>
      <c r="G70" s="3"/>
      <c r="H70" s="8">
        <v>12904.81</v>
      </c>
      <c r="I70" s="3"/>
      <c r="J70" s="7">
        <f t="shared" si="33"/>
        <v>3.4846091821627401E-2</v>
      </c>
      <c r="K70" s="3"/>
      <c r="L70" s="8">
        <f t="shared" si="34"/>
        <v>-12904.81</v>
      </c>
      <c r="M70" s="3"/>
      <c r="N70" s="7">
        <f t="shared" si="35"/>
        <v>-1</v>
      </c>
      <c r="O70" s="11"/>
      <c r="P70" s="8"/>
      <c r="Q70" s="3"/>
      <c r="R70" s="7">
        <f t="shared" si="36"/>
        <v>0</v>
      </c>
      <c r="S70" s="3"/>
      <c r="T70" s="8">
        <v>12904.81</v>
      </c>
      <c r="U70" s="3"/>
      <c r="V70" s="7">
        <f t="shared" si="37"/>
        <v>3.4846091821627401E-2</v>
      </c>
      <c r="W70" s="3"/>
      <c r="X70" s="8">
        <f t="shared" si="38"/>
        <v>-12904.81</v>
      </c>
      <c r="Y70" s="3"/>
      <c r="Z70" s="7">
        <f t="shared" si="39"/>
        <v>-1</v>
      </c>
    </row>
    <row r="71" spans="1:26" s="27" customFormat="1" outlineLevel="1" collapsed="1" x14ac:dyDescent="0.25">
      <c r="A71" s="28"/>
      <c r="B71" s="14" t="str">
        <f>CONCATENATE("     ","Freight out/Postage                               ")</f>
        <v xml:space="preserve">     Freight out/Postage                               </v>
      </c>
      <c r="C71" s="14"/>
      <c r="D71" s="1">
        <f>SUM(OSRRefD22_5x_0)</f>
        <v>10.61</v>
      </c>
      <c r="E71" s="1"/>
      <c r="F71" s="5">
        <f t="shared" si="32"/>
        <v>5.1017692368315807E-5</v>
      </c>
      <c r="G71" s="1"/>
      <c r="H71" s="1">
        <f>SUM(OSRRefH22_5x_0)</f>
        <v>0</v>
      </c>
      <c r="I71" s="1"/>
      <c r="J71" s="5">
        <f t="shared" si="33"/>
        <v>0</v>
      </c>
      <c r="K71" s="1"/>
      <c r="L71" s="1">
        <f t="shared" si="34"/>
        <v>10.61</v>
      </c>
      <c r="M71" s="1"/>
      <c r="N71" s="5">
        <f t="shared" si="35"/>
        <v>0</v>
      </c>
      <c r="O71" s="14"/>
      <c r="P71" s="1">
        <f>SUM(OSRRefP22_5x_0)</f>
        <v>10.61</v>
      </c>
      <c r="Q71" s="1"/>
      <c r="R71" s="5">
        <f t="shared" si="36"/>
        <v>5.1017692368315807E-5</v>
      </c>
      <c r="S71" s="1"/>
      <c r="T71" s="1">
        <f>SUM(OSRRefT22_5x_0)</f>
        <v>0</v>
      </c>
      <c r="U71" s="1"/>
      <c r="V71" s="5">
        <f t="shared" si="37"/>
        <v>0</v>
      </c>
      <c r="W71" s="1"/>
      <c r="X71" s="1">
        <f t="shared" si="38"/>
        <v>10.61</v>
      </c>
      <c r="Y71" s="1"/>
      <c r="Z71" s="5">
        <f t="shared" si="39"/>
        <v>0</v>
      </c>
    </row>
    <row r="72" spans="1:26" s="24" customFormat="1" hidden="1" outlineLevel="2" x14ac:dyDescent="0.25">
      <c r="A72" s="29"/>
      <c r="B72" s="11" t="str">
        <f>CONCATENATE("          ", "6305", " - ", "FREIGHT OUT")</f>
        <v xml:space="preserve">          6305 - FREIGHT OUT</v>
      </c>
      <c r="C72" s="11"/>
      <c r="D72" s="8">
        <v>5.61</v>
      </c>
      <c r="E72" s="3"/>
      <c r="F72" s="7">
        <f t="shared" si="32"/>
        <v>2.6975424522738145E-5</v>
      </c>
      <c r="G72" s="3"/>
      <c r="H72" s="8"/>
      <c r="I72" s="3"/>
      <c r="J72" s="7">
        <f t="shared" si="33"/>
        <v>0</v>
      </c>
      <c r="K72" s="3"/>
      <c r="L72" s="8">
        <f t="shared" si="34"/>
        <v>5.61</v>
      </c>
      <c r="M72" s="3"/>
      <c r="N72" s="7">
        <f t="shared" si="35"/>
        <v>0</v>
      </c>
      <c r="O72" s="11"/>
      <c r="P72" s="8">
        <v>5.61</v>
      </c>
      <c r="Q72" s="3"/>
      <c r="R72" s="7">
        <f t="shared" si="36"/>
        <v>2.6975424522738145E-5</v>
      </c>
      <c r="S72" s="3"/>
      <c r="T72" s="8"/>
      <c r="U72" s="3"/>
      <c r="V72" s="7">
        <f t="shared" si="37"/>
        <v>0</v>
      </c>
      <c r="W72" s="3"/>
      <c r="X72" s="8">
        <f t="shared" si="38"/>
        <v>5.61</v>
      </c>
      <c r="Y72" s="3"/>
      <c r="Z72" s="7">
        <f t="shared" si="39"/>
        <v>0</v>
      </c>
    </row>
    <row r="73" spans="1:26" s="24" customFormat="1" hidden="1" outlineLevel="2" x14ac:dyDescent="0.25">
      <c r="A73" s="29"/>
      <c r="B73" s="11" t="str">
        <f>CONCATENATE("          ", "6307", " - ", "POSTAGE")</f>
        <v xml:space="preserve">          6307 - POSTAGE</v>
      </c>
      <c r="C73" s="11"/>
      <c r="D73" s="8">
        <v>5</v>
      </c>
      <c r="E73" s="3"/>
      <c r="F73" s="7">
        <f t="shared" si="32"/>
        <v>2.4042267845577668E-5</v>
      </c>
      <c r="G73" s="3"/>
      <c r="H73" s="8"/>
      <c r="I73" s="3"/>
      <c r="J73" s="7">
        <f t="shared" si="33"/>
        <v>0</v>
      </c>
      <c r="K73" s="3"/>
      <c r="L73" s="8">
        <f t="shared" si="34"/>
        <v>5</v>
      </c>
      <c r="M73" s="3"/>
      <c r="N73" s="7">
        <f t="shared" si="35"/>
        <v>0</v>
      </c>
      <c r="O73" s="11"/>
      <c r="P73" s="8">
        <v>5</v>
      </c>
      <c r="Q73" s="3"/>
      <c r="R73" s="7">
        <f t="shared" si="36"/>
        <v>2.4042267845577668E-5</v>
      </c>
      <c r="S73" s="3"/>
      <c r="T73" s="8"/>
      <c r="U73" s="3"/>
      <c r="V73" s="7">
        <f t="shared" si="37"/>
        <v>0</v>
      </c>
      <c r="W73" s="3"/>
      <c r="X73" s="8">
        <f t="shared" si="38"/>
        <v>5</v>
      </c>
      <c r="Y73" s="3"/>
      <c r="Z73" s="7">
        <f t="shared" si="39"/>
        <v>0</v>
      </c>
    </row>
    <row r="74" spans="1:26" s="27" customFormat="1" outlineLevel="1" collapsed="1" x14ac:dyDescent="0.25">
      <c r="A74" s="28"/>
      <c r="B74" s="14" t="str">
        <f>CONCATENATE("     ","General                                           ")</f>
        <v xml:space="preserve">     General                                           </v>
      </c>
      <c r="C74" s="14"/>
      <c r="D74" s="1">
        <f>SUM(OSRRefD22_6x_0)</f>
        <v>-30.15</v>
      </c>
      <c r="E74" s="1"/>
      <c r="F74" s="5">
        <f t="shared" ref="F74:F81" si="40">IF(D$12=0,0,D74/D$12)</f>
        <v>-1.4497487510883332E-4</v>
      </c>
      <c r="G74" s="1"/>
      <c r="H74" s="1">
        <f>SUM(OSRRefH22_6x_0)</f>
        <v>0</v>
      </c>
      <c r="I74" s="1"/>
      <c r="J74" s="5">
        <f t="shared" ref="J74:J81" si="41">IF(H$12=0,0,H74/H$12)</f>
        <v>0</v>
      </c>
      <c r="K74" s="1"/>
      <c r="L74" s="1">
        <f t="shared" ref="L74:L81" si="42">+D74-H74</f>
        <v>-30.15</v>
      </c>
      <c r="M74" s="1"/>
      <c r="N74" s="5">
        <f t="shared" ref="N74:N81" si="43">IF(H74=0,0,L74/H74)</f>
        <v>0</v>
      </c>
      <c r="O74" s="14"/>
      <c r="P74" s="1">
        <f>SUM(OSRRefP22_6x_0)</f>
        <v>-30.15</v>
      </c>
      <c r="Q74" s="1"/>
      <c r="R74" s="5">
        <f t="shared" ref="R74:R81" si="44">IF(P$12=0,0,P74/P$12)</f>
        <v>-1.4497487510883332E-4</v>
      </c>
      <c r="S74" s="1"/>
      <c r="T74" s="1">
        <f>SUM(OSRRefT22_6x_0)</f>
        <v>0</v>
      </c>
      <c r="U74" s="1"/>
      <c r="V74" s="5">
        <f t="shared" ref="V74:V81" si="45">IF(T$12=0,0,T74/T$12)</f>
        <v>0</v>
      </c>
      <c r="W74" s="1"/>
      <c r="X74" s="1">
        <f t="shared" ref="X74:X81" si="46">+P74-T74</f>
        <v>-30.15</v>
      </c>
      <c r="Y74" s="1"/>
      <c r="Z74" s="5">
        <f t="shared" ref="Z74:Z81" si="47">IF(T74=0,0,X74/T74)</f>
        <v>0</v>
      </c>
    </row>
    <row r="75" spans="1:26" s="24" customFormat="1" hidden="1" outlineLevel="2" x14ac:dyDescent="0.25">
      <c r="A75" s="29"/>
      <c r="B75" s="11" t="str">
        <f>CONCATENATE("          ", "6279", " - ", "GENERAL EXPENSE")</f>
        <v xml:space="preserve">          6279 - GENERAL EXPENSE</v>
      </c>
      <c r="C75" s="11"/>
      <c r="D75" s="8">
        <v>-30.15</v>
      </c>
      <c r="E75" s="3"/>
      <c r="F75" s="7">
        <f t="shared" si="40"/>
        <v>-1.4497487510883332E-4</v>
      </c>
      <c r="G75" s="3"/>
      <c r="H75" s="8"/>
      <c r="I75" s="3"/>
      <c r="J75" s="7">
        <f t="shared" si="41"/>
        <v>0</v>
      </c>
      <c r="K75" s="3"/>
      <c r="L75" s="8">
        <f t="shared" si="42"/>
        <v>-30.15</v>
      </c>
      <c r="M75" s="3"/>
      <c r="N75" s="7">
        <f t="shared" si="43"/>
        <v>0</v>
      </c>
      <c r="O75" s="11"/>
      <c r="P75" s="8">
        <v>-30.15</v>
      </c>
      <c r="Q75" s="3"/>
      <c r="R75" s="7">
        <f t="shared" si="44"/>
        <v>-1.4497487510883332E-4</v>
      </c>
      <c r="S75" s="3"/>
      <c r="T75" s="8"/>
      <c r="U75" s="3"/>
      <c r="V75" s="7">
        <f t="shared" si="45"/>
        <v>0</v>
      </c>
      <c r="W75" s="3"/>
      <c r="X75" s="8">
        <f t="shared" si="46"/>
        <v>-30.15</v>
      </c>
      <c r="Y75" s="3"/>
      <c r="Z75" s="7">
        <f t="shared" si="47"/>
        <v>0</v>
      </c>
    </row>
    <row r="76" spans="1:26" s="27" customFormat="1" outlineLevel="1" collapsed="1" x14ac:dyDescent="0.25">
      <c r="A76" s="28"/>
      <c r="B76" s="14" t="str">
        <f>CONCATENATE("     ","Inventory Adjustment                              ")</f>
        <v xml:space="preserve">     Inventory Adjustment                              </v>
      </c>
      <c r="C76" s="14"/>
      <c r="D76" s="1">
        <f>SUM(OSRRefD22_7x_0)</f>
        <v>1250</v>
      </c>
      <c r="E76" s="1"/>
      <c r="F76" s="5">
        <f t="shared" si="40"/>
        <v>6.0105669613944165E-3</v>
      </c>
      <c r="G76" s="1"/>
      <c r="H76" s="1">
        <f>SUM(OSRRefH22_7x_0)</f>
        <v>0</v>
      </c>
      <c r="I76" s="1"/>
      <c r="J76" s="5">
        <f t="shared" si="41"/>
        <v>0</v>
      </c>
      <c r="K76" s="1"/>
      <c r="L76" s="1">
        <f t="shared" si="42"/>
        <v>1250</v>
      </c>
      <c r="M76" s="1"/>
      <c r="N76" s="5">
        <f t="shared" si="43"/>
        <v>0</v>
      </c>
      <c r="O76" s="14"/>
      <c r="P76" s="1">
        <f>SUM(OSRRefP22_7x_0)</f>
        <v>1250</v>
      </c>
      <c r="Q76" s="1"/>
      <c r="R76" s="5">
        <f t="shared" si="44"/>
        <v>6.0105669613944165E-3</v>
      </c>
      <c r="S76" s="1"/>
      <c r="T76" s="1">
        <f>SUM(OSRRefT22_7x_0)</f>
        <v>0</v>
      </c>
      <c r="U76" s="1"/>
      <c r="V76" s="5">
        <f t="shared" si="45"/>
        <v>0</v>
      </c>
      <c r="W76" s="1"/>
      <c r="X76" s="1">
        <f t="shared" si="46"/>
        <v>1250</v>
      </c>
      <c r="Y76" s="1"/>
      <c r="Z76" s="5">
        <f t="shared" si="47"/>
        <v>0</v>
      </c>
    </row>
    <row r="77" spans="1:26" s="24" customFormat="1" hidden="1" outlineLevel="2" x14ac:dyDescent="0.25">
      <c r="A77" s="29"/>
      <c r="B77" s="11" t="str">
        <f>CONCATENATE("          ", "6408", " - ", "INVENTORY ADJUSTMENT")</f>
        <v xml:space="preserve">          6408 - INVENTORY ADJUSTMENT</v>
      </c>
      <c r="C77" s="11"/>
      <c r="D77" s="8">
        <v>1250</v>
      </c>
      <c r="E77" s="3"/>
      <c r="F77" s="7">
        <f t="shared" si="40"/>
        <v>6.0105669613944165E-3</v>
      </c>
      <c r="G77" s="3"/>
      <c r="H77" s="8"/>
      <c r="I77" s="3"/>
      <c r="J77" s="7">
        <f t="shared" si="41"/>
        <v>0</v>
      </c>
      <c r="K77" s="3"/>
      <c r="L77" s="8">
        <f t="shared" si="42"/>
        <v>1250</v>
      </c>
      <c r="M77" s="3"/>
      <c r="N77" s="7">
        <f t="shared" si="43"/>
        <v>0</v>
      </c>
      <c r="O77" s="11"/>
      <c r="P77" s="8">
        <v>1250</v>
      </c>
      <c r="Q77" s="3"/>
      <c r="R77" s="7">
        <f t="shared" si="44"/>
        <v>6.0105669613944165E-3</v>
      </c>
      <c r="S77" s="3"/>
      <c r="T77" s="8"/>
      <c r="U77" s="3"/>
      <c r="V77" s="7">
        <f t="shared" si="45"/>
        <v>0</v>
      </c>
      <c r="W77" s="3"/>
      <c r="X77" s="8">
        <f t="shared" si="46"/>
        <v>1250</v>
      </c>
      <c r="Y77" s="3"/>
      <c r="Z77" s="7">
        <f t="shared" si="47"/>
        <v>0</v>
      </c>
    </row>
    <row r="78" spans="1:26" s="27" customFormat="1" outlineLevel="1" collapsed="1" x14ac:dyDescent="0.25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SUM(OSRRefD22_8x_0)</f>
        <v>668.12</v>
      </c>
      <c r="E78" s="1"/>
      <c r="F78" s="5">
        <f t="shared" si="40"/>
        <v>3.2126239985974703E-3</v>
      </c>
      <c r="G78" s="1"/>
      <c r="H78" s="1">
        <f>SUM(OSRRefH22_8x_0)</f>
        <v>675.26</v>
      </c>
      <c r="I78" s="1"/>
      <c r="J78" s="5">
        <f t="shared" si="41"/>
        <v>1.8233644635970709E-3</v>
      </c>
      <c r="K78" s="1"/>
      <c r="L78" s="1">
        <f t="shared" si="42"/>
        <v>-7.1399999999999864</v>
      </c>
      <c r="M78" s="1"/>
      <c r="N78" s="5">
        <f t="shared" si="43"/>
        <v>-1.0573704943281087E-2</v>
      </c>
      <c r="O78" s="14"/>
      <c r="P78" s="1">
        <f>SUM(OSRRefP22_8x_0)</f>
        <v>668.12</v>
      </c>
      <c r="Q78" s="1"/>
      <c r="R78" s="5">
        <f t="shared" si="44"/>
        <v>3.2126239985974703E-3</v>
      </c>
      <c r="S78" s="1"/>
      <c r="T78" s="1">
        <f>SUM(OSRRefT22_8x_0)</f>
        <v>675.26</v>
      </c>
      <c r="U78" s="1"/>
      <c r="V78" s="5">
        <f t="shared" si="45"/>
        <v>1.8233644635970709E-3</v>
      </c>
      <c r="W78" s="1"/>
      <c r="X78" s="1">
        <f t="shared" si="46"/>
        <v>-7.1399999999999864</v>
      </c>
      <c r="Y78" s="1"/>
      <c r="Z78" s="5">
        <f t="shared" si="47"/>
        <v>-1.0573704943281087E-2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8">
        <v>668.12</v>
      </c>
      <c r="E79" s="3"/>
      <c r="F79" s="7">
        <f t="shared" si="40"/>
        <v>3.2126239985974703E-3</v>
      </c>
      <c r="G79" s="3"/>
      <c r="H79" s="8"/>
      <c r="I79" s="3"/>
      <c r="J79" s="7">
        <f t="shared" si="41"/>
        <v>0</v>
      </c>
      <c r="K79" s="3"/>
      <c r="L79" s="8">
        <f t="shared" si="42"/>
        <v>668.12</v>
      </c>
      <c r="M79" s="3"/>
      <c r="N79" s="7">
        <f t="shared" si="43"/>
        <v>0</v>
      </c>
      <c r="O79" s="11"/>
      <c r="P79" s="8">
        <v>668.12</v>
      </c>
      <c r="Q79" s="3"/>
      <c r="R79" s="7">
        <f t="shared" si="44"/>
        <v>3.2126239985974703E-3</v>
      </c>
      <c r="S79" s="3"/>
      <c r="T79" s="8"/>
      <c r="U79" s="3"/>
      <c r="V79" s="7">
        <f t="shared" si="45"/>
        <v>0</v>
      </c>
      <c r="W79" s="3"/>
      <c r="X79" s="8">
        <f t="shared" si="46"/>
        <v>668.12</v>
      </c>
      <c r="Y79" s="3"/>
      <c r="Z79" s="7">
        <f t="shared" si="47"/>
        <v>0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8"/>
      <c r="E80" s="3"/>
      <c r="F80" s="7">
        <f t="shared" si="40"/>
        <v>0</v>
      </c>
      <c r="G80" s="3"/>
      <c r="H80" s="8">
        <v>92.82</v>
      </c>
      <c r="I80" s="3"/>
      <c r="J80" s="7">
        <f t="shared" si="41"/>
        <v>2.5063633194781287E-4</v>
      </c>
      <c r="K80" s="3"/>
      <c r="L80" s="8">
        <f t="shared" si="42"/>
        <v>-92.82</v>
      </c>
      <c r="M80" s="3"/>
      <c r="N80" s="7">
        <f t="shared" si="43"/>
        <v>-1</v>
      </c>
      <c r="O80" s="11"/>
      <c r="P80" s="8"/>
      <c r="Q80" s="3"/>
      <c r="R80" s="7">
        <f t="shared" si="44"/>
        <v>0</v>
      </c>
      <c r="S80" s="3"/>
      <c r="T80" s="8">
        <v>92.82</v>
      </c>
      <c r="U80" s="3"/>
      <c r="V80" s="7">
        <f t="shared" si="45"/>
        <v>2.5063633194781287E-4</v>
      </c>
      <c r="W80" s="3"/>
      <c r="X80" s="8">
        <f t="shared" si="46"/>
        <v>-92.82</v>
      </c>
      <c r="Y80" s="3"/>
      <c r="Z80" s="7">
        <f t="shared" si="47"/>
        <v>-1</v>
      </c>
    </row>
    <row r="81" spans="1:26" s="24" customFormat="1" hidden="1" outlineLevel="2" x14ac:dyDescent="0.25">
      <c r="A81" s="29"/>
      <c r="B81" s="11" t="str">
        <f>CONCATENATE("          ", "6247", " - ", "STORE SUPPLIES")</f>
        <v xml:space="preserve">          6247 - STORE SUPPLIES</v>
      </c>
      <c r="C81" s="11"/>
      <c r="D81" s="8"/>
      <c r="E81" s="3"/>
      <c r="F81" s="7">
        <f t="shared" si="40"/>
        <v>0</v>
      </c>
      <c r="G81" s="3"/>
      <c r="H81" s="8">
        <v>582.44000000000005</v>
      </c>
      <c r="I81" s="3"/>
      <c r="J81" s="7">
        <f t="shared" si="41"/>
        <v>1.5727281316492584E-3</v>
      </c>
      <c r="K81" s="3"/>
      <c r="L81" s="8">
        <f t="shared" si="42"/>
        <v>-582.44000000000005</v>
      </c>
      <c r="M81" s="3"/>
      <c r="N81" s="7">
        <f t="shared" si="43"/>
        <v>-1</v>
      </c>
      <c r="O81" s="11"/>
      <c r="P81" s="8"/>
      <c r="Q81" s="3"/>
      <c r="R81" s="7">
        <f t="shared" si="44"/>
        <v>0</v>
      </c>
      <c r="S81" s="3"/>
      <c r="T81" s="8">
        <v>582.44000000000005</v>
      </c>
      <c r="U81" s="3"/>
      <c r="V81" s="7">
        <f t="shared" si="45"/>
        <v>1.5727281316492584E-3</v>
      </c>
      <c r="W81" s="3"/>
      <c r="X81" s="8">
        <f t="shared" si="46"/>
        <v>-582.44000000000005</v>
      </c>
      <c r="Y81" s="3"/>
      <c r="Z81" s="7">
        <f t="shared" si="47"/>
        <v>-1</v>
      </c>
    </row>
    <row r="82" spans="1:26" s="27" customFormat="1" outlineLevel="1" collapsed="1" x14ac:dyDescent="0.25">
      <c r="A82" s="28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SUM(OSRRefD22_9x_0)</f>
        <v>304.8</v>
      </c>
      <c r="E82" s="1"/>
      <c r="F82" s="5">
        <f t="shared" ref="F82:F83" si="48">IF(D$12=0,0,D82/D$12)</f>
        <v>1.4656166478664147E-3</v>
      </c>
      <c r="G82" s="1"/>
      <c r="H82" s="1">
        <f>SUM(OSRRefH22_9x_0)</f>
        <v>177.05</v>
      </c>
      <c r="I82" s="1"/>
      <c r="J82" s="5">
        <f t="shared" ref="J82:J83" si="49">IF(H$12=0,0,H82/H$12)</f>
        <v>4.7807759719198741E-4</v>
      </c>
      <c r="K82" s="1"/>
      <c r="L82" s="1">
        <f t="shared" ref="L82:L83" si="50">+D82-H82</f>
        <v>127.75</v>
      </c>
      <c r="M82" s="1"/>
      <c r="N82" s="5">
        <f t="shared" ref="N82:N83" si="51">IF(H82=0,0,L82/H82)</f>
        <v>0.72154758542784525</v>
      </c>
      <c r="O82" s="14"/>
      <c r="P82" s="1">
        <f>SUM(OSRRefP22_9x_0)</f>
        <v>304.8</v>
      </c>
      <c r="Q82" s="1"/>
      <c r="R82" s="5">
        <f t="shared" ref="R82:R83" si="52">IF(P$12=0,0,P82/P$12)</f>
        <v>1.4656166478664147E-3</v>
      </c>
      <c r="S82" s="1"/>
      <c r="T82" s="1">
        <f>SUM(OSRRefT22_9x_0)</f>
        <v>177.05</v>
      </c>
      <c r="U82" s="1"/>
      <c r="V82" s="5">
        <f t="shared" ref="V82:V83" si="53">IF(T$12=0,0,T82/T$12)</f>
        <v>4.7807759719198741E-4</v>
      </c>
      <c r="W82" s="1"/>
      <c r="X82" s="1">
        <f t="shared" ref="X82:X83" si="54">+P82-T82</f>
        <v>127.75</v>
      </c>
      <c r="Y82" s="1"/>
      <c r="Z82" s="5">
        <f t="shared" ref="Z82:Z83" si="55">IF(T82=0,0,X82/T82)</f>
        <v>0.72154758542784525</v>
      </c>
    </row>
    <row r="83" spans="1:26" s="24" customFormat="1" hidden="1" outlineLevel="2" x14ac:dyDescent="0.25">
      <c r="A83" s="29"/>
      <c r="B83" s="11" t="str">
        <f>CONCATENATE("          ", "6309", " - ", "TELEPHONE")</f>
        <v xml:space="preserve">          6309 - TELEPHONE</v>
      </c>
      <c r="C83" s="11"/>
      <c r="D83" s="8">
        <v>304.8</v>
      </c>
      <c r="E83" s="3"/>
      <c r="F83" s="7">
        <f t="shared" si="48"/>
        <v>1.4656166478664147E-3</v>
      </c>
      <c r="G83" s="3"/>
      <c r="H83" s="8">
        <v>177.05</v>
      </c>
      <c r="I83" s="3"/>
      <c r="J83" s="7">
        <f t="shared" si="49"/>
        <v>4.7807759719198741E-4</v>
      </c>
      <c r="K83" s="3"/>
      <c r="L83" s="8">
        <f t="shared" si="50"/>
        <v>127.75</v>
      </c>
      <c r="M83" s="3"/>
      <c r="N83" s="7">
        <f t="shared" si="51"/>
        <v>0.72154758542784525</v>
      </c>
      <c r="O83" s="11"/>
      <c r="P83" s="8">
        <v>304.8</v>
      </c>
      <c r="Q83" s="3"/>
      <c r="R83" s="7">
        <f t="shared" si="52"/>
        <v>1.4656166478664147E-3</v>
      </c>
      <c r="S83" s="3"/>
      <c r="T83" s="8">
        <v>177.05</v>
      </c>
      <c r="U83" s="3"/>
      <c r="V83" s="7">
        <f t="shared" si="53"/>
        <v>4.7807759719198741E-4</v>
      </c>
      <c r="W83" s="3"/>
      <c r="X83" s="8">
        <f t="shared" si="54"/>
        <v>127.75</v>
      </c>
      <c r="Y83" s="3"/>
      <c r="Z83" s="7">
        <f t="shared" si="55"/>
        <v>0.72154758542784525</v>
      </c>
    </row>
    <row r="84" spans="1:26" s="61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5" t="s">
        <v>0</v>
      </c>
      <c r="C85" s="10"/>
      <c r="D85" s="4">
        <f>SUM(OSRRefD25x_0)</f>
        <v>-375.36</v>
      </c>
      <c r="E85" s="4"/>
      <c r="F85" s="12">
        <f t="shared" ref="F85:F88" si="56">IF(D$12=0,0,D85/D$12)</f>
        <v>-1.8049011317032067E-3</v>
      </c>
      <c r="G85" s="4"/>
      <c r="H85" s="4">
        <f>SUM(OSRRefH25x_0)</f>
        <v>17.80000000000004</v>
      </c>
      <c r="I85" s="4"/>
      <c r="J85" s="12">
        <f t="shared" ref="J85:J88" si="57">IF(H$12=0,0,H85/H$12)</f>
        <v>4.8064282575641881E-5</v>
      </c>
      <c r="K85" s="4"/>
      <c r="L85" s="4">
        <f t="shared" ref="L85:L88" si="58">+D85-H85</f>
        <v>-393.16000000000008</v>
      </c>
      <c r="M85" s="4"/>
      <c r="N85" s="12">
        <f t="shared" ref="N85:N88" si="59">IF(H85=0,0,L85/H85)</f>
        <v>-22.087640449438158</v>
      </c>
      <c r="O85" s="10"/>
      <c r="P85" s="4">
        <f>SUM(OSRRefP25x_0)</f>
        <v>-375.36</v>
      </c>
      <c r="Q85" s="4"/>
      <c r="R85" s="12">
        <f t="shared" ref="R85:R88" si="60">IF(P$12=0,0,P85/P$12)</f>
        <v>-1.8049011317032067E-3</v>
      </c>
      <c r="S85" s="4"/>
      <c r="T85" s="4">
        <f>SUM(OSRRefT25x_0)</f>
        <v>17.80000000000004</v>
      </c>
      <c r="U85" s="4"/>
      <c r="V85" s="12">
        <f t="shared" ref="V85:V88" si="61">IF(T$12=0,0,T85/T$12)</f>
        <v>4.8064282575641881E-5</v>
      </c>
      <c r="W85" s="4"/>
      <c r="X85" s="4">
        <f t="shared" ref="X85:X88" si="62">+P85-T85</f>
        <v>-393.16000000000008</v>
      </c>
      <c r="Y85" s="4"/>
      <c r="Z85" s="12">
        <f t="shared" ref="Z85:Z88" si="63">IF(T85=0,0,X85/T85)</f>
        <v>-22.087640449438158</v>
      </c>
    </row>
    <row r="86" spans="1:26" s="24" customFormat="1" hidden="1" outlineLevel="1" x14ac:dyDescent="0.25">
      <c r="A86" s="50"/>
      <c r="B86" s="11" t="str">
        <f>CONCATENATE("          ", "4187", " - ", "NON-TAXABLE SALES-COMPUTER REP")</f>
        <v xml:space="preserve">          4187 - NON-TAXABLE SALES-COMPUTER REP</v>
      </c>
      <c r="C86" s="11"/>
      <c r="D86" s="3">
        <f>--19.99</f>
        <v>19.989999999999998</v>
      </c>
      <c r="E86" s="3"/>
      <c r="F86" s="22">
        <f t="shared" si="56"/>
        <v>9.6120986846619499E-5</v>
      </c>
      <c r="G86" s="3"/>
      <c r="H86" s="3">
        <f>--781.89</f>
        <v>781.89</v>
      </c>
      <c r="I86" s="3"/>
      <c r="J86" s="22">
        <f t="shared" si="57"/>
        <v>2.1112911181499182E-3</v>
      </c>
      <c r="K86" s="3"/>
      <c r="L86" s="3">
        <f t="shared" si="58"/>
        <v>-761.9</v>
      </c>
      <c r="M86" s="3"/>
      <c r="N86" s="22">
        <f t="shared" si="59"/>
        <v>-0.97443374387701598</v>
      </c>
      <c r="O86" s="11"/>
      <c r="P86" s="3">
        <f>--19.99</f>
        <v>19.989999999999998</v>
      </c>
      <c r="Q86" s="3"/>
      <c r="R86" s="22">
        <f t="shared" si="60"/>
        <v>9.6120986846619499E-5</v>
      </c>
      <c r="S86" s="3"/>
      <c r="T86" s="3">
        <f>--781.89</f>
        <v>781.89</v>
      </c>
      <c r="U86" s="3"/>
      <c r="V86" s="22">
        <f t="shared" si="61"/>
        <v>2.1112911181499182E-3</v>
      </c>
      <c r="W86" s="3"/>
      <c r="X86" s="3">
        <f t="shared" si="62"/>
        <v>-761.9</v>
      </c>
      <c r="Y86" s="3"/>
      <c r="Z86" s="22">
        <f t="shared" si="63"/>
        <v>-0.97443374387701598</v>
      </c>
    </row>
    <row r="87" spans="1:26" s="24" customFormat="1" hidden="1" outlineLevel="1" x14ac:dyDescent="0.25">
      <c r="A87" s="50"/>
      <c r="B87" s="11" t="str">
        <f>CONCATENATE("          ", "4387", " - ", "SALES RETURN NON TAXABLE-COMPU")</f>
        <v xml:space="preserve">          4387 - SALES RETURN NON TAXABLE-COMPU</v>
      </c>
      <c r="C87" s="11"/>
      <c r="D87" s="3">
        <f>0</f>
        <v>0</v>
      </c>
      <c r="E87" s="3"/>
      <c r="F87" s="22">
        <f t="shared" si="56"/>
        <v>0</v>
      </c>
      <c r="G87" s="3"/>
      <c r="H87" s="3">
        <f>-630.8</f>
        <v>-630.79999999999995</v>
      </c>
      <c r="I87" s="3"/>
      <c r="J87" s="22">
        <f t="shared" si="57"/>
        <v>-1.703311766781732E-3</v>
      </c>
      <c r="K87" s="3"/>
      <c r="L87" s="3">
        <f t="shared" si="58"/>
        <v>630.79999999999995</v>
      </c>
      <c r="M87" s="3"/>
      <c r="N87" s="22">
        <f t="shared" si="59"/>
        <v>-1</v>
      </c>
      <c r="O87" s="11"/>
      <c r="P87" s="3">
        <f>0</f>
        <v>0</v>
      </c>
      <c r="Q87" s="3"/>
      <c r="R87" s="22">
        <f t="shared" si="60"/>
        <v>0</v>
      </c>
      <c r="S87" s="3"/>
      <c r="T87" s="3">
        <f>-630.8</f>
        <v>-630.79999999999995</v>
      </c>
      <c r="U87" s="3"/>
      <c r="V87" s="22">
        <f t="shared" si="61"/>
        <v>-1.703311766781732E-3</v>
      </c>
      <c r="W87" s="3"/>
      <c r="X87" s="3">
        <f t="shared" si="62"/>
        <v>630.79999999999995</v>
      </c>
      <c r="Y87" s="3"/>
      <c r="Z87" s="22">
        <f t="shared" si="63"/>
        <v>-1</v>
      </c>
    </row>
    <row r="88" spans="1:26" s="24" customFormat="1" hidden="1" outlineLevel="1" x14ac:dyDescent="0.25">
      <c r="A88" s="50"/>
      <c r="B88" s="11" t="str">
        <f>CONCATENATE("          ", "9150", " - ", "MISC. INCOME")</f>
        <v xml:space="preserve">          9150 - MISC. INCOME</v>
      </c>
      <c r="C88" s="11"/>
      <c r="D88" s="3">
        <f>-395.35</f>
        <v>-395.35</v>
      </c>
      <c r="E88" s="3"/>
      <c r="F88" s="22">
        <f t="shared" si="56"/>
        <v>-1.9010221185498262E-3</v>
      </c>
      <c r="G88" s="3"/>
      <c r="H88" s="3">
        <f>-133.29</f>
        <v>-133.29</v>
      </c>
      <c r="I88" s="3"/>
      <c r="J88" s="22">
        <f t="shared" si="57"/>
        <v>-3.5991506879254445E-4</v>
      </c>
      <c r="K88" s="3"/>
      <c r="L88" s="3">
        <f t="shared" si="58"/>
        <v>-262.06000000000006</v>
      </c>
      <c r="M88" s="3"/>
      <c r="N88" s="22">
        <f t="shared" si="59"/>
        <v>1.966088978918149</v>
      </c>
      <c r="O88" s="11"/>
      <c r="P88" s="3">
        <f>-395.35</f>
        <v>-395.35</v>
      </c>
      <c r="Q88" s="3"/>
      <c r="R88" s="22">
        <f t="shared" si="60"/>
        <v>-1.9010221185498262E-3</v>
      </c>
      <c r="S88" s="3"/>
      <c r="T88" s="3">
        <f>-133.29</f>
        <v>-133.29</v>
      </c>
      <c r="U88" s="3"/>
      <c r="V88" s="22">
        <f t="shared" si="61"/>
        <v>-3.5991506879254445E-4</v>
      </c>
      <c r="W88" s="3"/>
      <c r="X88" s="3">
        <f t="shared" si="62"/>
        <v>-262.06000000000006</v>
      </c>
      <c r="Y88" s="3"/>
      <c r="Z88" s="22">
        <f t="shared" si="63"/>
        <v>1.966088978918149</v>
      </c>
    </row>
    <row r="89" spans="1:26" x14ac:dyDescent="0.25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25">
      <c r="A90" s="10"/>
      <c r="B90" s="26" t="s">
        <v>3</v>
      </c>
      <c r="C90" s="26"/>
      <c r="D90" s="19">
        <f>+D46-D48+D85</f>
        <v>11856.049999999947</v>
      </c>
      <c r="E90" s="13"/>
      <c r="F90" s="20">
        <f>IF(D$12=0,0,D90/D$12)</f>
        <v>5.700926593811196E-2</v>
      </c>
      <c r="G90" s="13"/>
      <c r="H90" s="19">
        <f>+H46-H48+H85</f>
        <v>3006.0500000000511</v>
      </c>
      <c r="I90" s="13"/>
      <c r="J90" s="20">
        <f>IF(H$12=0,0,H90/H$12)</f>
        <v>8.1170582380062032E-3</v>
      </c>
      <c r="K90" s="16"/>
      <c r="L90" s="19">
        <f>+D90-H90</f>
        <v>8849.9999999998945</v>
      </c>
      <c r="M90" s="16"/>
      <c r="N90" s="20">
        <f>IF(H90=0,0,L90/H90)</f>
        <v>2.944062806673124</v>
      </c>
      <c r="O90" s="25"/>
      <c r="P90" s="19">
        <f>+P46-P48+P85</f>
        <v>11856.049999999947</v>
      </c>
      <c r="Q90" s="13"/>
      <c r="R90" s="20">
        <f>IF(P$12=0,0,P90/P$12)</f>
        <v>5.700926593811196E-2</v>
      </c>
      <c r="S90" s="13"/>
      <c r="T90" s="19">
        <f>+T46-T48+T85</f>
        <v>3006.0500000000511</v>
      </c>
      <c r="U90" s="13"/>
      <c r="V90" s="20">
        <f>IF(T$12=0,0,T90/T$12)</f>
        <v>8.1170582380062032E-3</v>
      </c>
      <c r="W90" s="16"/>
      <c r="X90" s="19">
        <f>+P90-T90</f>
        <v>8849.9999999998945</v>
      </c>
      <c r="Y90" s="16"/>
      <c r="Z90" s="20">
        <f>IF(T90=0,0,X90/T90)</f>
        <v>2.944062806673124</v>
      </c>
    </row>
    <row r="91" spans="1:26" x14ac:dyDescent="0.25">
      <c r="A91" s="9"/>
      <c r="B91" s="10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25">
      <c r="A92" s="51"/>
      <c r="B92" s="10" t="s">
        <v>13</v>
      </c>
      <c r="C92" s="10"/>
      <c r="D92" s="4">
        <v>100199.48000000001</v>
      </c>
      <c r="E92" s="4"/>
      <c r="F92" s="12">
        <f>IF(D$12=0,0,D92/D$12)</f>
        <v>0.48180454722952054</v>
      </c>
      <c r="G92" s="4"/>
      <c r="H92" s="4">
        <v>77004.05</v>
      </c>
      <c r="I92" s="4"/>
      <c r="J92" s="12">
        <f>IF(H$12=0,0,H92/H$12)</f>
        <v>0.207929461722969</v>
      </c>
      <c r="K92" s="4"/>
      <c r="L92" s="4">
        <f>+D92-H92</f>
        <v>23195.430000000008</v>
      </c>
      <c r="M92" s="4"/>
      <c r="N92" s="12">
        <f>IF(H92=0,0,L92/H92)</f>
        <v>0.30122350707527729</v>
      </c>
      <c r="O92" s="10"/>
      <c r="P92" s="4">
        <v>100199.48000000001</v>
      </c>
      <c r="Q92" s="4"/>
      <c r="R92" s="12">
        <f>IF(P$12=0,0,P92/P$12)</f>
        <v>0.48180454722952054</v>
      </c>
      <c r="S92" s="4"/>
      <c r="T92" s="4">
        <v>77004.05</v>
      </c>
      <c r="U92" s="4"/>
      <c r="V92" s="12">
        <f>IF(T$12=0,0,T92/T$12)</f>
        <v>0.207929461722969</v>
      </c>
      <c r="W92" s="4"/>
      <c r="X92" s="4">
        <f>+P92-T92</f>
        <v>23195.430000000008</v>
      </c>
      <c r="Y92" s="4"/>
      <c r="Z92" s="12">
        <f>IF(T92=0,0,X92/T92)</f>
        <v>0.30122350707527729</v>
      </c>
    </row>
    <row r="93" spans="1:26" x14ac:dyDescent="0.25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ht="15.75" thickBot="1" x14ac:dyDescent="0.3">
      <c r="A94" s="10"/>
      <c r="B94" s="26" t="s">
        <v>4</v>
      </c>
      <c r="C94" s="26"/>
      <c r="D94" s="35">
        <f>+D90-D92</f>
        <v>-88343.430000000066</v>
      </c>
      <c r="E94" s="13"/>
      <c r="F94" s="30">
        <f>IF(D$12=0,0,D94/D$12)</f>
        <v>-0.42479528129140859</v>
      </c>
      <c r="G94" s="13"/>
      <c r="H94" s="35">
        <f>+H90-H92</f>
        <v>-73997.999999999956</v>
      </c>
      <c r="I94" s="13"/>
      <c r="J94" s="30">
        <f>IF(H$12=0,0,H94/H$12)</f>
        <v>-0.19981240348496279</v>
      </c>
      <c r="K94" s="16"/>
      <c r="L94" s="35">
        <f>D94-H94</f>
        <v>-14345.430000000109</v>
      </c>
      <c r="M94" s="16"/>
      <c r="N94" s="30">
        <f>IF(H94=0,0,L94/H94)</f>
        <v>0.19386240168653365</v>
      </c>
      <c r="O94" s="25"/>
      <c r="P94" s="35">
        <f>+P90-P92</f>
        <v>-88343.430000000066</v>
      </c>
      <c r="Q94" s="13"/>
      <c r="R94" s="30">
        <f>IF(P$12=0,0,P94/P$12)</f>
        <v>-0.42479528129140859</v>
      </c>
      <c r="S94" s="13"/>
      <c r="T94" s="35">
        <f>+T90-T92</f>
        <v>-73997.999999999956</v>
      </c>
      <c r="U94" s="13"/>
      <c r="V94" s="30">
        <f>IF(T$12=0,0,T94/T$12)</f>
        <v>-0.19981240348496279</v>
      </c>
      <c r="W94" s="16"/>
      <c r="X94" s="35">
        <f>P94-T94</f>
        <v>-14345.430000000109</v>
      </c>
      <c r="Y94" s="16"/>
      <c r="Z94" s="30">
        <f>IF(T94=0,0,X94/T94)</f>
        <v>0.19386240168653365</v>
      </c>
    </row>
    <row r="95" spans="1:26" ht="15.75" thickTop="1" x14ac:dyDescent="0.25">
      <c r="A95" s="9"/>
      <c r="B95" s="9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x14ac:dyDescent="0.25">
      <c r="A96" s="9"/>
      <c r="B96" s="9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ht="15.75" thickBot="1" x14ac:dyDescent="0.3">
      <c r="A97" s="10"/>
      <c r="B97" s="26" t="s">
        <v>5</v>
      </c>
      <c r="C97" s="26"/>
      <c r="D97" s="31">
        <f>SUM(D94:D96)</f>
        <v>-88343.430000000066</v>
      </c>
      <c r="E97" s="13"/>
      <c r="F97" s="32">
        <f>IF(D$12=0,0,D97/D$12)</f>
        <v>-0.42479528129140859</v>
      </c>
      <c r="G97" s="13"/>
      <c r="H97" s="31">
        <f>SUM(H94:H96)</f>
        <v>-73997.999999999956</v>
      </c>
      <c r="I97" s="13"/>
      <c r="J97" s="32">
        <f>IF(H$12=0,0,H97/H$12)</f>
        <v>-0.19981240348496279</v>
      </c>
      <c r="K97" s="16"/>
      <c r="L97" s="31">
        <f>+D97-H97</f>
        <v>-14345.430000000109</v>
      </c>
      <c r="M97" s="16"/>
      <c r="N97" s="32">
        <f>IF(H97=0,0,L97/H97)</f>
        <v>0.19386240168653365</v>
      </c>
      <c r="O97" s="25"/>
      <c r="P97" s="31">
        <f>SUM(P94:P96)</f>
        <v>-88343.430000000066</v>
      </c>
      <c r="Q97" s="13"/>
      <c r="R97" s="32">
        <f>IF(P$12=0,0,P97/P$12)</f>
        <v>-0.42479528129140859</v>
      </c>
      <c r="S97" s="13"/>
      <c r="T97" s="31">
        <f>SUM(T94:T96)</f>
        <v>-73997.999999999956</v>
      </c>
      <c r="U97" s="13"/>
      <c r="V97" s="32">
        <f>IF(T$12=0,0,T97/T$12)</f>
        <v>-0.19981240348496279</v>
      </c>
      <c r="W97" s="16"/>
      <c r="X97" s="31">
        <f>+P97-T97</f>
        <v>-14345.430000000109</v>
      </c>
      <c r="Y97" s="16"/>
      <c r="Z97" s="32">
        <f>IF(T97=0,0,X97/T97)</f>
        <v>0.19386240168653365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25">
      <c r="A99" s="9"/>
      <c r="B99" s="59">
        <v>44109.413879398147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62" t="s">
        <v>313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207967.07</v>
      </c>
      <c r="E12" s="4"/>
      <c r="F12" s="12"/>
      <c r="G12" s="4"/>
      <c r="H12" s="4">
        <f>SUM(OSRRefH13x_0)</f>
        <v>370337.37</v>
      </c>
      <c r="I12" s="4"/>
      <c r="J12" s="12"/>
      <c r="K12" s="4"/>
      <c r="L12" s="4">
        <f t="shared" ref="L12:L32" si="0">+D12-H12</f>
        <v>-162370.29999999999</v>
      </c>
      <c r="M12" s="4"/>
      <c r="N12" s="12">
        <f t="shared" ref="N12:N32" si="1">IF(H12=0,0,L12/H12)</f>
        <v>-0.43843887534223186</v>
      </c>
      <c r="O12" s="10"/>
      <c r="P12" s="4">
        <f>SUM(OSRRefP13x_0)</f>
        <v>207967.07</v>
      </c>
      <c r="Q12" s="4"/>
      <c r="R12" s="12"/>
      <c r="S12" s="4"/>
      <c r="T12" s="4">
        <f>SUM(OSRRefT13x_0)</f>
        <v>370337.37</v>
      </c>
      <c r="U12" s="4"/>
      <c r="V12" s="12"/>
      <c r="W12" s="4"/>
      <c r="X12" s="4">
        <f t="shared" ref="X12:X32" si="2">+P12-T12</f>
        <v>-162370.29999999999</v>
      </c>
      <c r="Y12" s="4"/>
      <c r="Z12" s="12">
        <f t="shared" ref="Z12:Z32" si="3">IF(T12=0,0,X12/T12)</f>
        <v>-0.43843887534223186</v>
      </c>
    </row>
    <row r="13" spans="1:26" s="24" customFormat="1" hidden="1" outlineLevel="1" x14ac:dyDescent="0.25">
      <c r="A13" s="50"/>
      <c r="B13" s="11" t="str">
        <f>CONCATENATE("          ", "4000", " - ", "TAXABLE SALES")</f>
        <v xml:space="preserve">          4000 - TAXABLE SALES</v>
      </c>
      <c r="C13" s="11"/>
      <c r="D13" s="3">
        <f>-370.91</f>
        <v>-370.91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-370.91</v>
      </c>
      <c r="M13" s="3"/>
      <c r="N13" s="22">
        <f t="shared" si="1"/>
        <v>0</v>
      </c>
      <c r="O13" s="11"/>
      <c r="P13" s="3">
        <f>-370.91</f>
        <v>-370.91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-370.91</v>
      </c>
      <c r="Y13" s="3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"4081", " - ", "TAXABLE SALES-ELECTRONICS")</f>
        <v xml:space="preserve">          4081 - TAXABLE SALES-ELECTRONICS</v>
      </c>
      <c r="C14" s="11"/>
      <c r="D14" s="3">
        <f>--21557.16</f>
        <v>21557.16</v>
      </c>
      <c r="E14" s="3"/>
      <c r="F14" s="22"/>
      <c r="G14" s="3"/>
      <c r="H14" s="3">
        <f>--20944.59</f>
        <v>20944.59</v>
      </c>
      <c r="I14" s="3"/>
      <c r="J14" s="22"/>
      <c r="K14" s="3"/>
      <c r="L14" s="3">
        <f t="shared" si="0"/>
        <v>612.56999999999971</v>
      </c>
      <c r="M14" s="3"/>
      <c r="N14" s="22">
        <f t="shared" si="1"/>
        <v>2.9247170749105125E-2</v>
      </c>
      <c r="O14" s="11"/>
      <c r="P14" s="3">
        <f>--21557.16</f>
        <v>21557.16</v>
      </c>
      <c r="Q14" s="3"/>
      <c r="R14" s="22"/>
      <c r="S14" s="3"/>
      <c r="T14" s="3">
        <f>--20944.59</f>
        <v>20944.59</v>
      </c>
      <c r="U14" s="3"/>
      <c r="V14" s="22"/>
      <c r="W14" s="3"/>
      <c r="X14" s="3">
        <f t="shared" si="2"/>
        <v>612.56999999999971</v>
      </c>
      <c r="Y14" s="3"/>
      <c r="Z14" s="22">
        <f t="shared" si="3"/>
        <v>2.9247170749105125E-2</v>
      </c>
    </row>
    <row r="15" spans="1:26" s="24" customFormat="1" hidden="1" outlineLevel="1" x14ac:dyDescent="0.25">
      <c r="A15" s="50"/>
      <c r="B15" s="11" t="str">
        <f>CONCATENATE("          ", "4082", " - ", "TAXABLE SALES-COMPUTER HARDWAR")</f>
        <v xml:space="preserve">          4082 - TAXABLE SALES-COMPUTER HARDWAR</v>
      </c>
      <c r="C15" s="11"/>
      <c r="D15" s="3">
        <f>--137228.87</f>
        <v>137228.87</v>
      </c>
      <c r="E15" s="3"/>
      <c r="F15" s="22"/>
      <c r="G15" s="3"/>
      <c r="H15" s="3">
        <f>--398769.74</f>
        <v>398769.74</v>
      </c>
      <c r="I15" s="3"/>
      <c r="J15" s="22"/>
      <c r="K15" s="3"/>
      <c r="L15" s="3">
        <f t="shared" si="0"/>
        <v>-261540.87</v>
      </c>
      <c r="M15" s="3"/>
      <c r="N15" s="22">
        <f t="shared" si="1"/>
        <v>-0.65586939971924652</v>
      </c>
      <c r="O15" s="11"/>
      <c r="P15" s="3">
        <f>--137228.87</f>
        <v>137228.87</v>
      </c>
      <c r="Q15" s="3"/>
      <c r="R15" s="22"/>
      <c r="S15" s="3"/>
      <c r="T15" s="3">
        <f>--398769.74</f>
        <v>398769.74</v>
      </c>
      <c r="U15" s="3"/>
      <c r="V15" s="22"/>
      <c r="W15" s="3"/>
      <c r="X15" s="3">
        <f t="shared" si="2"/>
        <v>-261540.87</v>
      </c>
      <c r="Y15" s="3"/>
      <c r="Z15" s="22">
        <f t="shared" si="3"/>
        <v>-0.65586939971924652</v>
      </c>
    </row>
    <row r="16" spans="1:26" s="24" customFormat="1" hidden="1" outlineLevel="1" x14ac:dyDescent="0.25">
      <c r="A16" s="50"/>
      <c r="B16" s="11" t="str">
        <f>CONCATENATE("          ", "4083", " - ", "TAXABLE SALES-COMPUTER EQUIPME")</f>
        <v xml:space="preserve">          4083 - TAXABLE SALES-COMPUTER EQUIPME</v>
      </c>
      <c r="C16" s="11"/>
      <c r="D16" s="3">
        <f>--6790.15</f>
        <v>6790.15</v>
      </c>
      <c r="E16" s="3"/>
      <c r="F16" s="22"/>
      <c r="G16" s="3"/>
      <c r="H16" s="3">
        <f>--7906.1</f>
        <v>7906.1</v>
      </c>
      <c r="I16" s="3"/>
      <c r="J16" s="22"/>
      <c r="K16" s="3"/>
      <c r="L16" s="3">
        <f t="shared" si="0"/>
        <v>-1115.9500000000007</v>
      </c>
      <c r="M16" s="3"/>
      <c r="N16" s="22">
        <f t="shared" si="1"/>
        <v>-0.14115050404118348</v>
      </c>
      <c r="O16" s="11"/>
      <c r="P16" s="3">
        <f>--6790.15</f>
        <v>6790.15</v>
      </c>
      <c r="Q16" s="3"/>
      <c r="R16" s="22"/>
      <c r="S16" s="3"/>
      <c r="T16" s="3">
        <f>--7906.1</f>
        <v>7906.1</v>
      </c>
      <c r="U16" s="3"/>
      <c r="V16" s="22"/>
      <c r="W16" s="3"/>
      <c r="X16" s="3">
        <f t="shared" si="2"/>
        <v>-1115.9500000000007</v>
      </c>
      <c r="Y16" s="3"/>
      <c r="Z16" s="22">
        <f t="shared" si="3"/>
        <v>-0.14115050404118348</v>
      </c>
    </row>
    <row r="17" spans="1:26" s="24" customFormat="1" hidden="1" outlineLevel="1" x14ac:dyDescent="0.25">
      <c r="A17" s="50"/>
      <c r="B17" s="11" t="str">
        <f>CONCATENATE("          ", "4084", " - ", "TAXABLE SALES-SOFTWARE LICENSE")</f>
        <v xml:space="preserve">          4084 - TAXABLE SALES-SOFTWARE LICENSE</v>
      </c>
      <c r="C17" s="11"/>
      <c r="D17" s="3">
        <f t="shared" ref="D17:D18" si="4">0</f>
        <v>0</v>
      </c>
      <c r="E17" s="3"/>
      <c r="F17" s="22"/>
      <c r="G17" s="3"/>
      <c r="H17" s="3">
        <f>--129</f>
        <v>129</v>
      </c>
      <c r="I17" s="3"/>
      <c r="J17" s="22"/>
      <c r="K17" s="3"/>
      <c r="L17" s="3">
        <f t="shared" si="0"/>
        <v>-129</v>
      </c>
      <c r="M17" s="3"/>
      <c r="N17" s="22">
        <f t="shared" si="1"/>
        <v>-1</v>
      </c>
      <c r="O17" s="11"/>
      <c r="P17" s="3">
        <f t="shared" ref="P17:P18" si="5">0</f>
        <v>0</v>
      </c>
      <c r="Q17" s="3"/>
      <c r="R17" s="22"/>
      <c r="S17" s="3"/>
      <c r="T17" s="3">
        <f>--129</f>
        <v>129</v>
      </c>
      <c r="U17" s="3"/>
      <c r="V17" s="22"/>
      <c r="W17" s="3"/>
      <c r="X17" s="3">
        <f t="shared" si="2"/>
        <v>-129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"4085", " - ", "TAXABLE SALES-SOFTWARE")</f>
        <v xml:space="preserve">          4085 - TAXABLE SALES-SOFTWARE</v>
      </c>
      <c r="C18" s="11"/>
      <c r="D18" s="3">
        <f t="shared" si="4"/>
        <v>0</v>
      </c>
      <c r="E18" s="3"/>
      <c r="F18" s="22"/>
      <c r="G18" s="3"/>
      <c r="H18" s="3">
        <f>--493.95</f>
        <v>493.95</v>
      </c>
      <c r="I18" s="3"/>
      <c r="J18" s="22"/>
      <c r="K18" s="3"/>
      <c r="L18" s="3">
        <f t="shared" si="0"/>
        <v>-493.95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--493.95</f>
        <v>493.95</v>
      </c>
      <c r="U18" s="3"/>
      <c r="V18" s="22"/>
      <c r="W18" s="3"/>
      <c r="X18" s="3">
        <f t="shared" si="2"/>
        <v>-493.95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"4086", " - ", "TAXABLE SALES-COMPUTER SUPPLIE")</f>
        <v xml:space="preserve">          4086 - TAXABLE SALES-COMPUTER SUPPLIE</v>
      </c>
      <c r="C19" s="11"/>
      <c r="D19" s="3">
        <f>--25959.21</f>
        <v>25959.21</v>
      </c>
      <c r="E19" s="3"/>
      <c r="F19" s="22"/>
      <c r="G19" s="3"/>
      <c r="H19" s="3">
        <f>--1980.33</f>
        <v>1980.33</v>
      </c>
      <c r="I19" s="3"/>
      <c r="J19" s="22"/>
      <c r="K19" s="3"/>
      <c r="L19" s="3">
        <f t="shared" si="0"/>
        <v>23978.879999999997</v>
      </c>
      <c r="M19" s="3"/>
      <c r="N19" s="22">
        <f t="shared" si="1"/>
        <v>12.108527366651012</v>
      </c>
      <c r="O19" s="11"/>
      <c r="P19" s="3">
        <f>--25959.21</f>
        <v>25959.21</v>
      </c>
      <c r="Q19" s="3"/>
      <c r="R19" s="22"/>
      <c r="S19" s="3"/>
      <c r="T19" s="3">
        <f>--1980.33</f>
        <v>1980.33</v>
      </c>
      <c r="U19" s="3"/>
      <c r="V19" s="22"/>
      <c r="W19" s="3"/>
      <c r="X19" s="3">
        <f t="shared" si="2"/>
        <v>23978.879999999997</v>
      </c>
      <c r="Y19" s="3"/>
      <c r="Z19" s="22">
        <f t="shared" si="3"/>
        <v>12.108527366651012</v>
      </c>
    </row>
    <row r="20" spans="1:26" s="24" customFormat="1" hidden="1" outlineLevel="1" x14ac:dyDescent="0.25">
      <c r="A20" s="50"/>
      <c r="B20" s="11" t="str">
        <f>CONCATENATE("          ", "4088", " - ", "TAXABLE SALES-MUSIC")</f>
        <v xml:space="preserve">          4088 - TAXABLE SALES-MUSIC</v>
      </c>
      <c r="C20" s="11"/>
      <c r="D20" s="3">
        <f>0</f>
        <v>0</v>
      </c>
      <c r="E20" s="3"/>
      <c r="F20" s="22"/>
      <c r="G20" s="3"/>
      <c r="H20" s="3">
        <f>--258.99</f>
        <v>258.99</v>
      </c>
      <c r="I20" s="3"/>
      <c r="J20" s="22"/>
      <c r="K20" s="3"/>
      <c r="L20" s="3">
        <f t="shared" si="0"/>
        <v>-258.99</v>
      </c>
      <c r="M20" s="3"/>
      <c r="N20" s="22">
        <f t="shared" si="1"/>
        <v>-1</v>
      </c>
      <c r="O20" s="11"/>
      <c r="P20" s="3">
        <f>0</f>
        <v>0</v>
      </c>
      <c r="Q20" s="3"/>
      <c r="R20" s="22"/>
      <c r="S20" s="3"/>
      <c r="T20" s="3">
        <f>--258.99</f>
        <v>258.99</v>
      </c>
      <c r="U20" s="3"/>
      <c r="V20" s="22"/>
      <c r="W20" s="3"/>
      <c r="X20" s="3">
        <f t="shared" si="2"/>
        <v>-258.99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"4181", " - ", "NON-TAXABLE SALES-ELECTRONICS")</f>
        <v xml:space="preserve">          4181 - NON-TAXABLE SALES-ELECTRONICS</v>
      </c>
      <c r="C21" s="11"/>
      <c r="D21" s="3">
        <f>--289.98</f>
        <v>289.98</v>
      </c>
      <c r="E21" s="3"/>
      <c r="F21" s="22"/>
      <c r="G21" s="3"/>
      <c r="H21" s="3">
        <f>--1302.61</f>
        <v>1302.6099999999999</v>
      </c>
      <c r="I21" s="3"/>
      <c r="J21" s="22"/>
      <c r="K21" s="3"/>
      <c r="L21" s="3">
        <f t="shared" si="0"/>
        <v>-1012.6299999999999</v>
      </c>
      <c r="M21" s="3"/>
      <c r="N21" s="22">
        <f t="shared" si="1"/>
        <v>-0.777385403152133</v>
      </c>
      <c r="O21" s="11"/>
      <c r="P21" s="3">
        <f>--289.98</f>
        <v>289.98</v>
      </c>
      <c r="Q21" s="3"/>
      <c r="R21" s="22"/>
      <c r="S21" s="3"/>
      <c r="T21" s="3">
        <f>--1302.61</f>
        <v>1302.6099999999999</v>
      </c>
      <c r="U21" s="3"/>
      <c r="V21" s="22"/>
      <c r="W21" s="3"/>
      <c r="X21" s="3">
        <f t="shared" si="2"/>
        <v>-1012.6299999999999</v>
      </c>
      <c r="Y21" s="3"/>
      <c r="Z21" s="22">
        <f t="shared" si="3"/>
        <v>-0.777385403152133</v>
      </c>
    </row>
    <row r="22" spans="1:26" s="24" customFormat="1" hidden="1" outlineLevel="1" x14ac:dyDescent="0.25">
      <c r="A22" s="50"/>
      <c r="B22" s="11" t="str">
        <f>CONCATENATE("          ", "4182", " - ", "NON-TAXABLE SALES-COMPUTER HAR")</f>
        <v xml:space="preserve">          4182 - NON-TAXABLE SALES-COMPUTER HAR</v>
      </c>
      <c r="C22" s="11"/>
      <c r="D22" s="3">
        <f>--35876.99</f>
        <v>35876.99</v>
      </c>
      <c r="E22" s="3"/>
      <c r="F22" s="22"/>
      <c r="G22" s="3"/>
      <c r="H22" s="3">
        <f>--10618</f>
        <v>10618</v>
      </c>
      <c r="I22" s="3"/>
      <c r="J22" s="22"/>
      <c r="K22" s="3"/>
      <c r="L22" s="3">
        <f t="shared" si="0"/>
        <v>25258.989999999998</v>
      </c>
      <c r="M22" s="3"/>
      <c r="N22" s="22">
        <f t="shared" si="1"/>
        <v>2.3788839706159348</v>
      </c>
      <c r="O22" s="11"/>
      <c r="P22" s="3">
        <f>--35876.99</f>
        <v>35876.99</v>
      </c>
      <c r="Q22" s="3"/>
      <c r="R22" s="22"/>
      <c r="S22" s="3"/>
      <c r="T22" s="3">
        <f>--10618</f>
        <v>10618</v>
      </c>
      <c r="U22" s="3"/>
      <c r="V22" s="22"/>
      <c r="W22" s="3"/>
      <c r="X22" s="3">
        <f t="shared" si="2"/>
        <v>25258.989999999998</v>
      </c>
      <c r="Y22" s="3"/>
      <c r="Z22" s="22">
        <f t="shared" si="3"/>
        <v>2.3788839706159348</v>
      </c>
    </row>
    <row r="23" spans="1:26" s="24" customFormat="1" hidden="1" outlineLevel="1" x14ac:dyDescent="0.25">
      <c r="A23" s="50"/>
      <c r="B23" s="11" t="str">
        <f>CONCATENATE("          ", "4183", " - ", "NON-TAXABLE SALES-COMPUTER EQU")</f>
        <v xml:space="preserve">          4183 - NON-TAXABLE SALES-COMPUTER EQU</v>
      </c>
      <c r="C23" s="11"/>
      <c r="D23" s="3">
        <f>--1359.85</f>
        <v>1359.85</v>
      </c>
      <c r="E23" s="3"/>
      <c r="F23" s="22"/>
      <c r="G23" s="3"/>
      <c r="H23" s="3">
        <f>--181.9</f>
        <v>181.9</v>
      </c>
      <c r="I23" s="3"/>
      <c r="J23" s="22"/>
      <c r="K23" s="3"/>
      <c r="L23" s="3">
        <f t="shared" si="0"/>
        <v>1177.9499999999998</v>
      </c>
      <c r="M23" s="3"/>
      <c r="N23" s="22">
        <f t="shared" si="1"/>
        <v>6.4758108851017031</v>
      </c>
      <c r="O23" s="11"/>
      <c r="P23" s="3">
        <f>--1359.85</f>
        <v>1359.85</v>
      </c>
      <c r="Q23" s="3"/>
      <c r="R23" s="22"/>
      <c r="S23" s="3"/>
      <c r="T23" s="3">
        <f>--181.9</f>
        <v>181.9</v>
      </c>
      <c r="U23" s="3"/>
      <c r="V23" s="22"/>
      <c r="W23" s="3"/>
      <c r="X23" s="3">
        <f t="shared" si="2"/>
        <v>1177.9499999999998</v>
      </c>
      <c r="Y23" s="3"/>
      <c r="Z23" s="22">
        <f t="shared" si="3"/>
        <v>6.4758108851017031</v>
      </c>
    </row>
    <row r="24" spans="1:26" s="24" customFormat="1" hidden="1" outlineLevel="1" x14ac:dyDescent="0.25">
      <c r="A24" s="50"/>
      <c r="B24" s="11" t="str">
        <f>CONCATENATE("          ", "4185", " - ", "NON-TAXABLE SALES-SOFTWARE")</f>
        <v xml:space="preserve">          4185 - NON-TAXABLE SALES-SOFTWARE</v>
      </c>
      <c r="C24" s="11"/>
      <c r="D24" s="3">
        <f>--6187.74</f>
        <v>6187.74</v>
      </c>
      <c r="E24" s="3"/>
      <c r="F24" s="22"/>
      <c r="G24" s="3"/>
      <c r="H24" s="3">
        <f>--752</f>
        <v>752</v>
      </c>
      <c r="I24" s="3"/>
      <c r="J24" s="22"/>
      <c r="K24" s="3"/>
      <c r="L24" s="3">
        <f t="shared" si="0"/>
        <v>5435.74</v>
      </c>
      <c r="M24" s="3"/>
      <c r="N24" s="22">
        <f t="shared" si="1"/>
        <v>7.228377659574468</v>
      </c>
      <c r="O24" s="11"/>
      <c r="P24" s="3">
        <f>--6187.74</f>
        <v>6187.74</v>
      </c>
      <c r="Q24" s="3"/>
      <c r="R24" s="22"/>
      <c r="S24" s="3"/>
      <c r="T24" s="3">
        <f>--752</f>
        <v>752</v>
      </c>
      <c r="U24" s="3"/>
      <c r="V24" s="22"/>
      <c r="W24" s="3"/>
      <c r="X24" s="3">
        <f t="shared" si="2"/>
        <v>5435.74</v>
      </c>
      <c r="Y24" s="3"/>
      <c r="Z24" s="22">
        <f t="shared" si="3"/>
        <v>7.228377659574468</v>
      </c>
    </row>
    <row r="25" spans="1:26" s="24" customFormat="1" hidden="1" outlineLevel="1" x14ac:dyDescent="0.25">
      <c r="A25" s="50"/>
      <c r="B25" s="11" t="str">
        <f>CONCATENATE("          ", "4186", " - ", "NON-TAXABLE SALES-COMPUTER SUP")</f>
        <v xml:space="preserve">          4186 - NON-TAXABLE SALES-COMPUTER SUP</v>
      </c>
      <c r="C25" s="11"/>
      <c r="D25" s="3">
        <f>--154.95</f>
        <v>154.94999999999999</v>
      </c>
      <c r="E25" s="3"/>
      <c r="F25" s="22"/>
      <c r="G25" s="3"/>
      <c r="H25" s="3">
        <f>--79.97</f>
        <v>79.97</v>
      </c>
      <c r="I25" s="3"/>
      <c r="J25" s="22"/>
      <c r="K25" s="3"/>
      <c r="L25" s="3">
        <f t="shared" si="0"/>
        <v>74.97999999999999</v>
      </c>
      <c r="M25" s="3"/>
      <c r="N25" s="22">
        <f t="shared" si="1"/>
        <v>0.93760160060022502</v>
      </c>
      <c r="O25" s="11"/>
      <c r="P25" s="3">
        <f>--154.95</f>
        <v>154.94999999999999</v>
      </c>
      <c r="Q25" s="3"/>
      <c r="R25" s="22"/>
      <c r="S25" s="3"/>
      <c r="T25" s="3">
        <f>--79.97</f>
        <v>79.97</v>
      </c>
      <c r="U25" s="3"/>
      <c r="V25" s="22"/>
      <c r="W25" s="3"/>
      <c r="X25" s="3">
        <f t="shared" si="2"/>
        <v>74.97999999999999</v>
      </c>
      <c r="Y25" s="3"/>
      <c r="Z25" s="22">
        <f t="shared" si="3"/>
        <v>0.93760160060022502</v>
      </c>
    </row>
    <row r="26" spans="1:26" s="24" customFormat="1" hidden="1" outlineLevel="1" x14ac:dyDescent="0.25">
      <c r="A26" s="50"/>
      <c r="B26" s="11" t="str">
        <f>CONCATENATE("          ", "4188", " - ", "NON-TAXABLE SALES-MUSIC")</f>
        <v xml:space="preserve">          4188 - NON-TAXABLE SALES-MUSIC</v>
      </c>
      <c r="C26" s="11"/>
      <c r="D26" s="3">
        <f>0</f>
        <v>0</v>
      </c>
      <c r="E26" s="3"/>
      <c r="F26" s="22"/>
      <c r="G26" s="3"/>
      <c r="H26" s="3">
        <f>--99.98</f>
        <v>99.98</v>
      </c>
      <c r="I26" s="3"/>
      <c r="J26" s="22"/>
      <c r="K26" s="3"/>
      <c r="L26" s="3">
        <f t="shared" si="0"/>
        <v>-99.98</v>
      </c>
      <c r="M26" s="3"/>
      <c r="N26" s="22">
        <f t="shared" si="1"/>
        <v>-1</v>
      </c>
      <c r="O26" s="11"/>
      <c r="P26" s="3">
        <f>0</f>
        <v>0</v>
      </c>
      <c r="Q26" s="3"/>
      <c r="R26" s="22"/>
      <c r="S26" s="3"/>
      <c r="T26" s="3">
        <f>--99.98</f>
        <v>99.98</v>
      </c>
      <c r="U26" s="3"/>
      <c r="V26" s="22"/>
      <c r="W26" s="3"/>
      <c r="X26" s="3">
        <f t="shared" si="2"/>
        <v>-99.98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"4281", " - ", "SALES RETURN TAXABLE-ELECTRONI")</f>
        <v xml:space="preserve">          4281 - SALES RETURN TAXABLE-ELECTRONI</v>
      </c>
      <c r="C27" s="11"/>
      <c r="D27" s="3">
        <f>-6291.99</f>
        <v>-6291.99</v>
      </c>
      <c r="E27" s="3"/>
      <c r="F27" s="22"/>
      <c r="G27" s="3"/>
      <c r="H27" s="3">
        <f>-1658.99</f>
        <v>-1658.99</v>
      </c>
      <c r="I27" s="3"/>
      <c r="J27" s="22"/>
      <c r="K27" s="3"/>
      <c r="L27" s="3">
        <f t="shared" si="0"/>
        <v>-4633</v>
      </c>
      <c r="M27" s="3"/>
      <c r="N27" s="22">
        <f t="shared" si="1"/>
        <v>2.7926630058047368</v>
      </c>
      <c r="O27" s="11"/>
      <c r="P27" s="3">
        <f>-6291.99</f>
        <v>-6291.99</v>
      </c>
      <c r="Q27" s="3"/>
      <c r="R27" s="22"/>
      <c r="S27" s="3"/>
      <c r="T27" s="3">
        <f>-1658.99</f>
        <v>-1658.99</v>
      </c>
      <c r="U27" s="3"/>
      <c r="V27" s="22"/>
      <c r="W27" s="3"/>
      <c r="X27" s="3">
        <f t="shared" si="2"/>
        <v>-4633</v>
      </c>
      <c r="Y27" s="3"/>
      <c r="Z27" s="22">
        <f t="shared" si="3"/>
        <v>2.7926630058047368</v>
      </c>
    </row>
    <row r="28" spans="1:26" s="24" customFormat="1" hidden="1" outlineLevel="1" x14ac:dyDescent="0.25">
      <c r="A28" s="50"/>
      <c r="B28" s="11" t="str">
        <f>CONCATENATE("          ", "4282", " - ", "SALES RETURN TAXABLE-COMPUTER")</f>
        <v xml:space="preserve">          4282 - SALES RETURN TAXABLE-COMPUTER</v>
      </c>
      <c r="C28" s="11"/>
      <c r="D28" s="3">
        <f>-18207</f>
        <v>-18207</v>
      </c>
      <c r="E28" s="3"/>
      <c r="F28" s="22"/>
      <c r="G28" s="3"/>
      <c r="H28" s="3">
        <f>-70341.06</f>
        <v>-70341.06</v>
      </c>
      <c r="I28" s="3"/>
      <c r="J28" s="22"/>
      <c r="K28" s="3"/>
      <c r="L28" s="3">
        <f t="shared" si="0"/>
        <v>52134.06</v>
      </c>
      <c r="M28" s="3"/>
      <c r="N28" s="22">
        <f t="shared" si="1"/>
        <v>-0.7411611368950084</v>
      </c>
      <c r="O28" s="11"/>
      <c r="P28" s="3">
        <f>-18207</f>
        <v>-18207</v>
      </c>
      <c r="Q28" s="3"/>
      <c r="R28" s="22"/>
      <c r="S28" s="3"/>
      <c r="T28" s="3">
        <f>-70341.06</f>
        <v>-70341.06</v>
      </c>
      <c r="U28" s="3"/>
      <c r="V28" s="22"/>
      <c r="W28" s="3"/>
      <c r="X28" s="3">
        <f t="shared" si="2"/>
        <v>52134.06</v>
      </c>
      <c r="Y28" s="3"/>
      <c r="Z28" s="22">
        <f t="shared" si="3"/>
        <v>-0.7411611368950084</v>
      </c>
    </row>
    <row r="29" spans="1:26" s="24" customFormat="1" hidden="1" outlineLevel="1" x14ac:dyDescent="0.25">
      <c r="A29" s="50"/>
      <c r="B29" s="11" t="str">
        <f>CONCATENATE("          ", "4283", " - ", "SALES RETURN TAXABLE-COMPUTER")</f>
        <v xml:space="preserve">          4283 - SALES RETURN TAXABLE-COMPUTER</v>
      </c>
      <c r="C29" s="11"/>
      <c r="D29" s="3">
        <f>-818.93</f>
        <v>-818.93</v>
      </c>
      <c r="E29" s="3"/>
      <c r="F29" s="22"/>
      <c r="G29" s="3"/>
      <c r="H29" s="3">
        <f>-226.8</f>
        <v>-226.8</v>
      </c>
      <c r="I29" s="3"/>
      <c r="J29" s="22"/>
      <c r="K29" s="3"/>
      <c r="L29" s="3">
        <f t="shared" si="0"/>
        <v>-592.12999999999988</v>
      </c>
      <c r="M29" s="3"/>
      <c r="N29" s="22">
        <f t="shared" si="1"/>
        <v>2.6108024691358018</v>
      </c>
      <c r="O29" s="11"/>
      <c r="P29" s="3">
        <f>-818.93</f>
        <v>-818.93</v>
      </c>
      <c r="Q29" s="3"/>
      <c r="R29" s="22"/>
      <c r="S29" s="3"/>
      <c r="T29" s="3">
        <f>-226.8</f>
        <v>-226.8</v>
      </c>
      <c r="U29" s="3"/>
      <c r="V29" s="22"/>
      <c r="W29" s="3"/>
      <c r="X29" s="3">
        <f t="shared" si="2"/>
        <v>-592.12999999999988</v>
      </c>
      <c r="Y29" s="3"/>
      <c r="Z29" s="22">
        <f t="shared" si="3"/>
        <v>2.6108024691358018</v>
      </c>
    </row>
    <row r="30" spans="1:26" s="24" customFormat="1" hidden="1" outlineLevel="1" x14ac:dyDescent="0.25">
      <c r="A30" s="50"/>
      <c r="B30" s="11" t="str">
        <f>CONCATENATE("          ", "4285", " - ", "SALES RETURN TAXABLE-SOFTWARE")</f>
        <v xml:space="preserve">          4285 - SALES RETURN TAXABLE-SOFTWARE</v>
      </c>
      <c r="C30" s="11"/>
      <c r="D30" s="3">
        <f t="shared" ref="D30:D31" si="6">0</f>
        <v>0</v>
      </c>
      <c r="E30" s="3"/>
      <c r="F30" s="22"/>
      <c r="G30" s="3"/>
      <c r="H30" s="3">
        <f>-406.99</f>
        <v>-406.99</v>
      </c>
      <c r="I30" s="3"/>
      <c r="J30" s="22"/>
      <c r="K30" s="3"/>
      <c r="L30" s="3">
        <f t="shared" si="0"/>
        <v>406.99</v>
      </c>
      <c r="M30" s="3"/>
      <c r="N30" s="22">
        <f t="shared" si="1"/>
        <v>-1</v>
      </c>
      <c r="O30" s="11"/>
      <c r="P30" s="3">
        <f t="shared" ref="P30:P31" si="7">0</f>
        <v>0</v>
      </c>
      <c r="Q30" s="3"/>
      <c r="R30" s="22"/>
      <c r="S30" s="3"/>
      <c r="T30" s="3">
        <f>-406.99</f>
        <v>-406.99</v>
      </c>
      <c r="U30" s="3"/>
      <c r="V30" s="22"/>
      <c r="W30" s="3"/>
      <c r="X30" s="3">
        <f t="shared" si="2"/>
        <v>406.99</v>
      </c>
      <c r="Y30" s="3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"4286", " - ", "SALES RETURN TAXABLE-COMPUTER")</f>
        <v xml:space="preserve">          4286 - SALES RETURN TAXABLE-COMPUTER</v>
      </c>
      <c r="C31" s="11"/>
      <c r="D31" s="3">
        <f t="shared" si="6"/>
        <v>0</v>
      </c>
      <c r="E31" s="3"/>
      <c r="F31" s="22"/>
      <c r="G31" s="3"/>
      <c r="H31" s="3">
        <f>-545.95</f>
        <v>-545.95000000000005</v>
      </c>
      <c r="I31" s="3"/>
      <c r="J31" s="22"/>
      <c r="K31" s="3"/>
      <c r="L31" s="3">
        <f t="shared" si="0"/>
        <v>545.95000000000005</v>
      </c>
      <c r="M31" s="3"/>
      <c r="N31" s="22">
        <f t="shared" si="1"/>
        <v>-1</v>
      </c>
      <c r="O31" s="11"/>
      <c r="P31" s="3">
        <f t="shared" si="7"/>
        <v>0</v>
      </c>
      <c r="Q31" s="3"/>
      <c r="R31" s="22"/>
      <c r="S31" s="3"/>
      <c r="T31" s="3">
        <f>-545.95</f>
        <v>-545.95000000000005</v>
      </c>
      <c r="U31" s="3"/>
      <c r="V31" s="22"/>
      <c r="W31" s="3"/>
      <c r="X31" s="3">
        <f t="shared" si="2"/>
        <v>545.95000000000005</v>
      </c>
      <c r="Y31" s="3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"4381", " - ", "SALES RETURN NON TAXABLE-ELECT")</f>
        <v xml:space="preserve">          4381 - SALES RETURN NON TAXABLE-ELECT</v>
      </c>
      <c r="C32" s="11"/>
      <c r="D32" s="3">
        <f>-1749</f>
        <v>-1749</v>
      </c>
      <c r="E32" s="3"/>
      <c r="F32" s="22"/>
      <c r="G32" s="3"/>
      <c r="H32" s="3">
        <f>0</f>
        <v>0</v>
      </c>
      <c r="I32" s="3"/>
      <c r="J32" s="22"/>
      <c r="K32" s="3"/>
      <c r="L32" s="3">
        <f t="shared" si="0"/>
        <v>-1749</v>
      </c>
      <c r="M32" s="3"/>
      <c r="N32" s="22">
        <f t="shared" si="1"/>
        <v>0</v>
      </c>
      <c r="O32" s="11"/>
      <c r="P32" s="3">
        <f>-1749</f>
        <v>-1749</v>
      </c>
      <c r="Q32" s="3"/>
      <c r="R32" s="22"/>
      <c r="S32" s="3"/>
      <c r="T32" s="3">
        <f>0</f>
        <v>0</v>
      </c>
      <c r="U32" s="3"/>
      <c r="V32" s="22"/>
      <c r="W32" s="3"/>
      <c r="X32" s="3">
        <f t="shared" si="2"/>
        <v>-1749</v>
      </c>
      <c r="Y32" s="3"/>
      <c r="Z32" s="22">
        <f t="shared" si="3"/>
        <v>0</v>
      </c>
    </row>
    <row r="33" spans="1:26" x14ac:dyDescent="0.25">
      <c r="A33" s="9"/>
      <c r="B33" s="10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183956.00000000006</v>
      </c>
      <c r="E34" s="4"/>
      <c r="F34" s="12">
        <f t="shared" ref="F34:F44" si="8">IF(D$12=0,0,D34/D$12)</f>
        <v>0.88454388476021739</v>
      </c>
      <c r="G34" s="4"/>
      <c r="H34" s="4">
        <f>SUM(OSRRefH16x_0)</f>
        <v>342320.18999999994</v>
      </c>
      <c r="I34" s="4"/>
      <c r="J34" s="12">
        <f t="shared" ref="J34:J44" si="9">IF(H$12=0,0,H34/H$12)</f>
        <v>0.9243468732307516</v>
      </c>
      <c r="K34" s="4"/>
      <c r="L34" s="4">
        <f t="shared" ref="L34:L44" si="10">+D34-H34</f>
        <v>-158364.18999999989</v>
      </c>
      <c r="M34" s="4"/>
      <c r="N34" s="12">
        <f t="shared" ref="N34:N44" si="11">IF(H34=0,0,L34/H34)</f>
        <v>-0.46262006923985383</v>
      </c>
      <c r="O34" s="10"/>
      <c r="P34" s="4">
        <f>SUM(OSRRefP16x_0)</f>
        <v>183956.00000000006</v>
      </c>
      <c r="Q34" s="4"/>
      <c r="R34" s="12">
        <f t="shared" ref="R34:R44" si="12">IF(P$12=0,0,P34/P$12)</f>
        <v>0.88454388476021739</v>
      </c>
      <c r="S34" s="4"/>
      <c r="T34" s="4">
        <f>SUM(OSRRefT16x_0)</f>
        <v>342320.18999999994</v>
      </c>
      <c r="U34" s="4"/>
      <c r="V34" s="12">
        <f t="shared" ref="V34:V44" si="13">IF(T$12=0,0,T34/T$12)</f>
        <v>0.9243468732307516</v>
      </c>
      <c r="W34" s="4"/>
      <c r="X34" s="4">
        <f t="shared" ref="X34:X44" si="14">+P34-T34</f>
        <v>-158364.18999999989</v>
      </c>
      <c r="Y34" s="4"/>
      <c r="Z34" s="12">
        <f t="shared" ref="Z34:Z44" si="15">IF(T34=0,0,X34/T34)</f>
        <v>-0.46262006923985383</v>
      </c>
    </row>
    <row r="35" spans="1:26" s="24" customFormat="1" hidden="1" outlineLevel="1" x14ac:dyDescent="0.25">
      <c r="A35" s="50"/>
      <c r="B35" s="11" t="str">
        <f>CONCATENATE("          ", "5081", " - ", "PURCHASES @ COST-ELECTRONICS")</f>
        <v xml:space="preserve">          5081 - PURCHASES @ COST-ELECTRONICS</v>
      </c>
      <c r="C35" s="11"/>
      <c r="D35" s="3">
        <v>6676.92</v>
      </c>
      <c r="E35" s="3"/>
      <c r="F35" s="22">
        <f t="shared" si="8"/>
        <v>3.2105659804698886E-2</v>
      </c>
      <c r="G35" s="3"/>
      <c r="H35" s="3">
        <v>66058.349999999991</v>
      </c>
      <c r="I35" s="3"/>
      <c r="J35" s="22">
        <f t="shared" si="9"/>
        <v>0.17837343825172164</v>
      </c>
      <c r="K35" s="3"/>
      <c r="L35" s="3">
        <f t="shared" si="10"/>
        <v>-59381.429999999993</v>
      </c>
      <c r="M35" s="3"/>
      <c r="N35" s="22">
        <f t="shared" si="11"/>
        <v>-0.89892390591045646</v>
      </c>
      <c r="O35" s="11"/>
      <c r="P35" s="3">
        <v>6676.92</v>
      </c>
      <c r="Q35" s="3"/>
      <c r="R35" s="22">
        <f t="shared" si="12"/>
        <v>3.2105659804698886E-2</v>
      </c>
      <c r="S35" s="3"/>
      <c r="T35" s="3">
        <v>66058.349999999991</v>
      </c>
      <c r="U35" s="3"/>
      <c r="V35" s="22">
        <f t="shared" si="13"/>
        <v>0.17837343825172164</v>
      </c>
      <c r="W35" s="3"/>
      <c r="X35" s="3">
        <f t="shared" si="14"/>
        <v>-59381.429999999993</v>
      </c>
      <c r="Y35" s="3"/>
      <c r="Z35" s="22">
        <f t="shared" si="15"/>
        <v>-0.89892390591045646</v>
      </c>
    </row>
    <row r="36" spans="1:26" s="24" customFormat="1" hidden="1" outlineLevel="1" x14ac:dyDescent="0.25">
      <c r="A36" s="50"/>
      <c r="B36" s="11" t="str">
        <f>CONCATENATE("          ", "5082", " - ", "PURCHASES @ COST-COMPUTER HARD")</f>
        <v xml:space="preserve">          5082 - PURCHASES @ COST-COMPUTER HARD</v>
      </c>
      <c r="C36" s="11"/>
      <c r="D36" s="3">
        <v>186472.57</v>
      </c>
      <c r="E36" s="3"/>
      <c r="F36" s="22">
        <f t="shared" si="8"/>
        <v>0.89664469475864617</v>
      </c>
      <c r="G36" s="3"/>
      <c r="H36" s="3">
        <v>356559.97</v>
      </c>
      <c r="I36" s="3"/>
      <c r="J36" s="22">
        <f t="shared" si="9"/>
        <v>0.96279770523833441</v>
      </c>
      <c r="K36" s="3"/>
      <c r="L36" s="3">
        <f t="shared" si="10"/>
        <v>-170087.39999999997</v>
      </c>
      <c r="M36" s="3"/>
      <c r="N36" s="22">
        <f t="shared" si="11"/>
        <v>-0.4770232620335928</v>
      </c>
      <c r="O36" s="11"/>
      <c r="P36" s="3">
        <v>186472.57</v>
      </c>
      <c r="Q36" s="3"/>
      <c r="R36" s="22">
        <f t="shared" si="12"/>
        <v>0.89664469475864617</v>
      </c>
      <c r="S36" s="3"/>
      <c r="T36" s="3">
        <v>356559.97</v>
      </c>
      <c r="U36" s="3"/>
      <c r="V36" s="22">
        <f t="shared" si="13"/>
        <v>0.96279770523833441</v>
      </c>
      <c r="W36" s="3"/>
      <c r="X36" s="3">
        <f t="shared" si="14"/>
        <v>-170087.39999999997</v>
      </c>
      <c r="Y36" s="3"/>
      <c r="Z36" s="22">
        <f t="shared" si="15"/>
        <v>-0.4770232620335928</v>
      </c>
    </row>
    <row r="37" spans="1:26" s="24" customFormat="1" hidden="1" outlineLevel="1" x14ac:dyDescent="0.25">
      <c r="A37" s="50"/>
      <c r="B37" s="11" t="str">
        <f>CONCATENATE("          ", "5083", " - ", "PURCHASES @ COST-COMPUTER EQUI")</f>
        <v xml:space="preserve">          5083 - PURCHASES @ COST-COMPUTER EQUI</v>
      </c>
      <c r="C37" s="11"/>
      <c r="D37" s="3">
        <v>29938.300000000003</v>
      </c>
      <c r="E37" s="3"/>
      <c r="F37" s="22">
        <f t="shared" si="8"/>
        <v>0.14395692548825159</v>
      </c>
      <c r="G37" s="3"/>
      <c r="H37" s="3">
        <v>7276.14</v>
      </c>
      <c r="I37" s="3"/>
      <c r="J37" s="22">
        <f t="shared" si="9"/>
        <v>1.9647328596625289E-2</v>
      </c>
      <c r="K37" s="3"/>
      <c r="L37" s="3">
        <f t="shared" si="10"/>
        <v>22662.160000000003</v>
      </c>
      <c r="M37" s="3"/>
      <c r="N37" s="22">
        <f t="shared" si="11"/>
        <v>3.1145854807631523</v>
      </c>
      <c r="O37" s="11"/>
      <c r="P37" s="3">
        <v>29938.300000000003</v>
      </c>
      <c r="Q37" s="3"/>
      <c r="R37" s="22">
        <f t="shared" si="12"/>
        <v>0.14395692548825159</v>
      </c>
      <c r="S37" s="3"/>
      <c r="T37" s="3">
        <v>7276.14</v>
      </c>
      <c r="U37" s="3"/>
      <c r="V37" s="22">
        <f t="shared" si="13"/>
        <v>1.9647328596625289E-2</v>
      </c>
      <c r="W37" s="3"/>
      <c r="X37" s="3">
        <f t="shared" si="14"/>
        <v>22662.160000000003</v>
      </c>
      <c r="Y37" s="3"/>
      <c r="Z37" s="22">
        <f t="shared" si="15"/>
        <v>3.1145854807631523</v>
      </c>
    </row>
    <row r="38" spans="1:26" s="24" customFormat="1" hidden="1" outlineLevel="1" x14ac:dyDescent="0.25">
      <c r="A38" s="50"/>
      <c r="B38" s="11" t="str">
        <f>CONCATENATE("          ", "5085", " - ", "PURCHASES @ COST-SOFTWARE")</f>
        <v xml:space="preserve">          5085 - PURCHASES @ COST-SOFTWARE</v>
      </c>
      <c r="C38" s="11"/>
      <c r="D38" s="3">
        <v>3864.34</v>
      </c>
      <c r="E38" s="3"/>
      <c r="F38" s="22">
        <f t="shared" si="8"/>
        <v>1.858149946527592E-2</v>
      </c>
      <c r="G38" s="3"/>
      <c r="H38" s="3"/>
      <c r="I38" s="3"/>
      <c r="J38" s="22">
        <f t="shared" si="9"/>
        <v>0</v>
      </c>
      <c r="K38" s="3"/>
      <c r="L38" s="3">
        <f t="shared" si="10"/>
        <v>3864.34</v>
      </c>
      <c r="M38" s="3"/>
      <c r="N38" s="22">
        <f t="shared" si="11"/>
        <v>0</v>
      </c>
      <c r="O38" s="11"/>
      <c r="P38" s="3">
        <v>3864.34</v>
      </c>
      <c r="Q38" s="3"/>
      <c r="R38" s="22">
        <f t="shared" si="12"/>
        <v>1.858149946527592E-2</v>
      </c>
      <c r="S38" s="3"/>
      <c r="T38" s="3"/>
      <c r="U38" s="3"/>
      <c r="V38" s="22">
        <f t="shared" si="13"/>
        <v>0</v>
      </c>
      <c r="W38" s="3"/>
      <c r="X38" s="3">
        <f t="shared" si="14"/>
        <v>3864.34</v>
      </c>
      <c r="Y38" s="3"/>
      <c r="Z38" s="22">
        <f t="shared" si="15"/>
        <v>0</v>
      </c>
    </row>
    <row r="39" spans="1:26" s="24" customFormat="1" hidden="1" outlineLevel="1" x14ac:dyDescent="0.25">
      <c r="A39" s="50"/>
      <c r="B39" s="11" t="str">
        <f>CONCATENATE("          ", "5086", " - ", "PURCHASES @ COST-COMPUTER SUPP")</f>
        <v xml:space="preserve">          5086 - PURCHASES @ COST-COMPUTER SUPP</v>
      </c>
      <c r="C39" s="11"/>
      <c r="D39" s="3">
        <v>87.25</v>
      </c>
      <c r="E39" s="3"/>
      <c r="F39" s="22">
        <f t="shared" si="8"/>
        <v>4.1953757390533026E-4</v>
      </c>
      <c r="G39" s="3"/>
      <c r="H39" s="3">
        <v>3427.07</v>
      </c>
      <c r="I39" s="3"/>
      <c r="J39" s="22">
        <f t="shared" si="9"/>
        <v>9.2539135329497008E-3</v>
      </c>
      <c r="K39" s="3"/>
      <c r="L39" s="3">
        <f t="shared" si="10"/>
        <v>-3339.82</v>
      </c>
      <c r="M39" s="3"/>
      <c r="N39" s="22">
        <f t="shared" si="11"/>
        <v>-0.97454093438418243</v>
      </c>
      <c r="O39" s="11"/>
      <c r="P39" s="3">
        <v>87.25</v>
      </c>
      <c r="Q39" s="3"/>
      <c r="R39" s="22">
        <f t="shared" si="12"/>
        <v>4.1953757390533026E-4</v>
      </c>
      <c r="S39" s="3"/>
      <c r="T39" s="3">
        <v>3427.07</v>
      </c>
      <c r="U39" s="3"/>
      <c r="V39" s="22">
        <f t="shared" si="13"/>
        <v>9.2539135329497008E-3</v>
      </c>
      <c r="W39" s="3"/>
      <c r="X39" s="3">
        <f t="shared" si="14"/>
        <v>-3339.82</v>
      </c>
      <c r="Y39" s="3"/>
      <c r="Z39" s="22">
        <f t="shared" si="15"/>
        <v>-0.97454093438418243</v>
      </c>
    </row>
    <row r="40" spans="1:26" s="24" customFormat="1" hidden="1" outlineLevel="1" x14ac:dyDescent="0.25">
      <c r="A40" s="50"/>
      <c r="B40" s="11" t="str">
        <f>CONCATENATE("          ", "5088", " - ", "PURCHASES @ COST-MUSIC")</f>
        <v xml:space="preserve">          5088 - PURCHASES @ COST-MUSIC</v>
      </c>
      <c r="C40" s="11"/>
      <c r="D40" s="3"/>
      <c r="E40" s="3"/>
      <c r="F40" s="22">
        <f t="shared" si="8"/>
        <v>0</v>
      </c>
      <c r="G40" s="3"/>
      <c r="H40" s="3">
        <v>82</v>
      </c>
      <c r="I40" s="3"/>
      <c r="J40" s="22">
        <f t="shared" si="9"/>
        <v>2.2141972871924862E-4</v>
      </c>
      <c r="K40" s="3"/>
      <c r="L40" s="3">
        <f t="shared" si="10"/>
        <v>-82</v>
      </c>
      <c r="M40" s="3"/>
      <c r="N40" s="22">
        <f t="shared" si="11"/>
        <v>-1</v>
      </c>
      <c r="O40" s="11"/>
      <c r="P40" s="3"/>
      <c r="Q40" s="3"/>
      <c r="R40" s="22">
        <f t="shared" si="12"/>
        <v>0</v>
      </c>
      <c r="S40" s="3"/>
      <c r="T40" s="3">
        <v>82</v>
      </c>
      <c r="U40" s="3"/>
      <c r="V40" s="22">
        <f t="shared" si="13"/>
        <v>2.2141972871924862E-4</v>
      </c>
      <c r="W40" s="3"/>
      <c r="X40" s="3">
        <f t="shared" si="14"/>
        <v>-82</v>
      </c>
      <c r="Y40" s="3"/>
      <c r="Z40" s="22">
        <f t="shared" si="15"/>
        <v>-1</v>
      </c>
    </row>
    <row r="41" spans="1:26" s="24" customFormat="1" hidden="1" outlineLevel="1" x14ac:dyDescent="0.25">
      <c r="A41" s="50"/>
      <c r="B41" s="11" t="str">
        <f>CONCATENATE("          ", "5200", " - ", "PURCHASES OFFSET")</f>
        <v xml:space="preserve">          5200 - PURCHASES OFFSET</v>
      </c>
      <c r="C41" s="11"/>
      <c r="D41" s="3">
        <v>-227056.77</v>
      </c>
      <c r="E41" s="3"/>
      <c r="F41" s="22">
        <f t="shared" si="8"/>
        <v>-1.0917919360983448</v>
      </c>
      <c r="G41" s="3"/>
      <c r="H41" s="3">
        <v>-433440</v>
      </c>
      <c r="I41" s="3"/>
      <c r="J41" s="22">
        <f t="shared" si="9"/>
        <v>-1.1703922831228186</v>
      </c>
      <c r="K41" s="3"/>
      <c r="L41" s="3">
        <f t="shared" si="10"/>
        <v>206383.23</v>
      </c>
      <c r="M41" s="3"/>
      <c r="N41" s="22">
        <f t="shared" si="11"/>
        <v>-0.47615178571428574</v>
      </c>
      <c r="O41" s="11"/>
      <c r="P41" s="3">
        <v>-227056.77</v>
      </c>
      <c r="Q41" s="3"/>
      <c r="R41" s="22">
        <f t="shared" si="12"/>
        <v>-1.0917919360983448</v>
      </c>
      <c r="S41" s="3"/>
      <c r="T41" s="3">
        <v>-433440</v>
      </c>
      <c r="U41" s="3"/>
      <c r="V41" s="22">
        <f t="shared" si="13"/>
        <v>-1.1703922831228186</v>
      </c>
      <c r="W41" s="3"/>
      <c r="X41" s="3">
        <f t="shared" si="14"/>
        <v>206383.23</v>
      </c>
      <c r="Y41" s="3"/>
      <c r="Z41" s="22">
        <f t="shared" si="15"/>
        <v>-0.47615178571428574</v>
      </c>
    </row>
    <row r="42" spans="1:26" s="24" customFormat="1" hidden="1" outlineLevel="1" x14ac:dyDescent="0.25">
      <c r="A42" s="50"/>
      <c r="B42" s="11" t="str">
        <f>CONCATENATE("          ", "5300", " - ", "COG$ OFFSET")</f>
        <v xml:space="preserve">          5300 - COG$ OFFSET</v>
      </c>
      <c r="C42" s="11"/>
      <c r="D42" s="3">
        <v>183956</v>
      </c>
      <c r="E42" s="3"/>
      <c r="F42" s="22">
        <f t="shared" si="8"/>
        <v>0.88454388476021706</v>
      </c>
      <c r="G42" s="3"/>
      <c r="H42" s="3">
        <v>342320</v>
      </c>
      <c r="I42" s="3"/>
      <c r="J42" s="22">
        <f t="shared" si="9"/>
        <v>0.92434636018503891</v>
      </c>
      <c r="K42" s="3"/>
      <c r="L42" s="3">
        <f t="shared" si="10"/>
        <v>-158364</v>
      </c>
      <c r="M42" s="3"/>
      <c r="N42" s="22">
        <f t="shared" si="11"/>
        <v>-0.46261977097452678</v>
      </c>
      <c r="O42" s="11"/>
      <c r="P42" s="3">
        <v>183956</v>
      </c>
      <c r="Q42" s="3"/>
      <c r="R42" s="22">
        <f t="shared" si="12"/>
        <v>0.88454388476021706</v>
      </c>
      <c r="S42" s="3"/>
      <c r="T42" s="3">
        <v>342320</v>
      </c>
      <c r="U42" s="3"/>
      <c r="V42" s="22">
        <f t="shared" si="13"/>
        <v>0.92434636018503891</v>
      </c>
      <c r="W42" s="3"/>
      <c r="X42" s="3">
        <f t="shared" si="14"/>
        <v>-158364</v>
      </c>
      <c r="Y42" s="3"/>
      <c r="Z42" s="22">
        <f t="shared" si="15"/>
        <v>-0.46261977097452678</v>
      </c>
    </row>
    <row r="43" spans="1:26" s="24" customFormat="1" hidden="1" outlineLevel="1" x14ac:dyDescent="0.25">
      <c r="A43" s="50"/>
      <c r="B43" s="11" t="str">
        <f>CONCATENATE("          ", "5583", " - ", "FREIGHT-IN-COMPUTER EQUIPMENT")</f>
        <v xml:space="preserve">          5583 - FREIGHT-IN-COMPUTER EQUIPMENT</v>
      </c>
      <c r="C43" s="11"/>
      <c r="D43" s="3">
        <v>17.39</v>
      </c>
      <c r="E43" s="3"/>
      <c r="F43" s="22">
        <f t="shared" si="8"/>
        <v>8.3619007566919124E-5</v>
      </c>
      <c r="G43" s="3"/>
      <c r="H43" s="3">
        <v>6.99</v>
      </c>
      <c r="I43" s="3"/>
      <c r="J43" s="22">
        <f t="shared" si="9"/>
        <v>1.8874681753018875E-5</v>
      </c>
      <c r="K43" s="3"/>
      <c r="L43" s="3">
        <f t="shared" si="10"/>
        <v>10.4</v>
      </c>
      <c r="M43" s="3"/>
      <c r="N43" s="22">
        <f t="shared" si="11"/>
        <v>1.4878397711015736</v>
      </c>
      <c r="O43" s="11"/>
      <c r="P43" s="3">
        <v>17.39</v>
      </c>
      <c r="Q43" s="3"/>
      <c r="R43" s="22">
        <f t="shared" si="12"/>
        <v>8.3619007566919124E-5</v>
      </c>
      <c r="S43" s="3"/>
      <c r="T43" s="3">
        <v>6.99</v>
      </c>
      <c r="U43" s="3"/>
      <c r="V43" s="22">
        <f t="shared" si="13"/>
        <v>1.8874681753018875E-5</v>
      </c>
      <c r="W43" s="3"/>
      <c r="X43" s="3">
        <f t="shared" si="14"/>
        <v>10.4</v>
      </c>
      <c r="Y43" s="3"/>
      <c r="Z43" s="22">
        <f t="shared" si="15"/>
        <v>1.4878397711015736</v>
      </c>
    </row>
    <row r="44" spans="1:26" s="24" customFormat="1" hidden="1" outlineLevel="1" x14ac:dyDescent="0.25">
      <c r="A44" s="50"/>
      <c r="B44" s="11" t="str">
        <f>CONCATENATE("          ", "5586", " - ", "FREIGHT-IN-COMPUTER SUPPLIES")</f>
        <v xml:space="preserve">          5586 - FREIGHT-IN-COMPUTER SUPPLIES</v>
      </c>
      <c r="C44" s="11"/>
      <c r="D44" s="3"/>
      <c r="E44" s="3"/>
      <c r="F44" s="22">
        <f t="shared" si="8"/>
        <v>0</v>
      </c>
      <c r="G44" s="3"/>
      <c r="H44" s="3">
        <v>29.67</v>
      </c>
      <c r="I44" s="3"/>
      <c r="J44" s="22">
        <f t="shared" si="9"/>
        <v>8.0116138428050086E-5</v>
      </c>
      <c r="K44" s="3"/>
      <c r="L44" s="3">
        <f t="shared" si="10"/>
        <v>-29.67</v>
      </c>
      <c r="M44" s="3"/>
      <c r="N44" s="22">
        <f t="shared" si="11"/>
        <v>-1</v>
      </c>
      <c r="O44" s="11"/>
      <c r="P44" s="3"/>
      <c r="Q44" s="3"/>
      <c r="R44" s="22">
        <f t="shared" si="12"/>
        <v>0</v>
      </c>
      <c r="S44" s="3"/>
      <c r="T44" s="3">
        <v>29.67</v>
      </c>
      <c r="U44" s="3"/>
      <c r="V44" s="22">
        <f t="shared" si="13"/>
        <v>8.0116138428050086E-5</v>
      </c>
      <c r="W44" s="3"/>
      <c r="X44" s="3">
        <f t="shared" si="14"/>
        <v>-29.67</v>
      </c>
      <c r="Y44" s="3"/>
      <c r="Z44" s="22">
        <f t="shared" si="15"/>
        <v>-1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25">
      <c r="A46" s="10"/>
      <c r="B46" s="26" t="s">
        <v>6</v>
      </c>
      <c r="C46" s="26"/>
      <c r="D46" s="19">
        <f>D12-D34</f>
        <v>24011.069999999949</v>
      </c>
      <c r="E46" s="13"/>
      <c r="F46" s="20">
        <f>IF(D$12=0,0,D46/D$12)</f>
        <v>0.11545611523978266</v>
      </c>
      <c r="G46" s="13"/>
      <c r="H46" s="19">
        <f>H12-H34</f>
        <v>28017.180000000051</v>
      </c>
      <c r="I46" s="13"/>
      <c r="J46" s="20">
        <f>IF(H$12=0,0,H46/H$12)</f>
        <v>7.5653126769248402E-2</v>
      </c>
      <c r="K46" s="16"/>
      <c r="L46" s="19">
        <f>+D46-H46</f>
        <v>-4006.1100000001024</v>
      </c>
      <c r="M46" s="16"/>
      <c r="N46" s="20">
        <f>IF(H46=0,0,L46/H46)</f>
        <v>-0.14298762402212126</v>
      </c>
      <c r="O46" s="25"/>
      <c r="P46" s="19">
        <f>P12-P34</f>
        <v>24011.069999999949</v>
      </c>
      <c r="Q46" s="13"/>
      <c r="R46" s="20">
        <f>IF(P$12=0,0,P46/P$12)</f>
        <v>0.11545611523978266</v>
      </c>
      <c r="S46" s="13"/>
      <c r="T46" s="19">
        <f>T12-T34</f>
        <v>28017.180000000051</v>
      </c>
      <c r="U46" s="13"/>
      <c r="V46" s="20">
        <f>IF(T$12=0,0,T46/T$12)</f>
        <v>7.5653126769248402E-2</v>
      </c>
      <c r="W46" s="16"/>
      <c r="X46" s="19">
        <f>+P46-T46</f>
        <v>-4006.1100000001024</v>
      </c>
      <c r="Y46" s="16"/>
      <c r="Z46" s="20">
        <f>IF(T46=0,0,X46/T46)</f>
        <v>-0.14298762402212126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1">
        <f>SUM(OSRRefD22x_0)</f>
        <v>11779.660000000002</v>
      </c>
      <c r="E48" s="21"/>
      <c r="F48" s="34">
        <f t="shared" ref="F48:F58" si="16">IF(D$12=0,0,D48/D$12)</f>
        <v>5.6641948169967489E-2</v>
      </c>
      <c r="G48" s="21"/>
      <c r="H48" s="21">
        <f>SUM(OSRRefH22x_0)</f>
        <v>25028.93</v>
      </c>
      <c r="I48" s="21"/>
      <c r="J48" s="34">
        <f t="shared" ref="J48:J58" si="17">IF(H$12=0,0,H48/H$12)</f>
        <v>6.7584132813817852E-2</v>
      </c>
      <c r="K48" s="4"/>
      <c r="L48" s="21">
        <f t="shared" ref="L48:L58" si="18">+D48-H48</f>
        <v>-13249.269999999999</v>
      </c>
      <c r="M48" s="4"/>
      <c r="N48" s="34">
        <f t="shared" ref="N48:N58" si="19">IF(H48=0,0,L48/H48)</f>
        <v>-0.5293582266601089</v>
      </c>
      <c r="O48" s="10"/>
      <c r="P48" s="21">
        <f>SUM(OSRRefP22x_0)</f>
        <v>11779.660000000002</v>
      </c>
      <c r="Q48" s="21"/>
      <c r="R48" s="34">
        <f t="shared" ref="R48:R58" si="20">IF(P$12=0,0,P48/P$12)</f>
        <v>5.6641948169967489E-2</v>
      </c>
      <c r="S48" s="21"/>
      <c r="T48" s="21">
        <f>SUM(OSRRefT22x_0)</f>
        <v>25028.93</v>
      </c>
      <c r="U48" s="21"/>
      <c r="V48" s="34">
        <f t="shared" ref="V48:V58" si="21">IF(T$12=0,0,T48/T$12)</f>
        <v>6.7584132813817852E-2</v>
      </c>
      <c r="W48" s="4"/>
      <c r="X48" s="21">
        <f t="shared" ref="X48:X58" si="22">+P48-T48</f>
        <v>-13249.269999999999</v>
      </c>
      <c r="Y48" s="4"/>
      <c r="Z48" s="34">
        <f t="shared" ref="Z48:Z58" si="23">IF(T48=0,0,X48/T48)</f>
        <v>-0.5293582266601089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2728.3700000000003</v>
      </c>
      <c r="E49" s="1"/>
      <c r="F49" s="5">
        <f t="shared" si="16"/>
        <v>1.311924046436775E-2</v>
      </c>
      <c r="G49" s="1"/>
      <c r="H49" s="1">
        <f>SUM(OSRRefH22_0x_0)</f>
        <v>2718.76</v>
      </c>
      <c r="I49" s="1"/>
      <c r="J49" s="5">
        <f t="shared" si="17"/>
        <v>7.3413061177163954E-3</v>
      </c>
      <c r="K49" s="1"/>
      <c r="L49" s="1">
        <f t="shared" si="18"/>
        <v>9.6100000000001273</v>
      </c>
      <c r="M49" s="1"/>
      <c r="N49" s="5">
        <f t="shared" si="19"/>
        <v>3.5346996424841202E-3</v>
      </c>
      <c r="O49" s="14"/>
      <c r="P49" s="1">
        <f>SUM(OSRRefP22_0x_0)</f>
        <v>2728.3700000000003</v>
      </c>
      <c r="Q49" s="1"/>
      <c r="R49" s="5">
        <f t="shared" si="20"/>
        <v>1.311924046436775E-2</v>
      </c>
      <c r="S49" s="1"/>
      <c r="T49" s="1">
        <f>SUM(OSRRefT22_0x_0)</f>
        <v>2718.76</v>
      </c>
      <c r="U49" s="1"/>
      <c r="V49" s="5">
        <f t="shared" si="21"/>
        <v>7.3413061177163954E-3</v>
      </c>
      <c r="W49" s="1"/>
      <c r="X49" s="1">
        <f t="shared" si="22"/>
        <v>9.6100000000001273</v>
      </c>
      <c r="Y49" s="1"/>
      <c r="Z49" s="5">
        <f t="shared" si="23"/>
        <v>3.5346996424841202E-3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8">
        <v>419.8</v>
      </c>
      <c r="E50" s="3"/>
      <c r="F50" s="7">
        <f t="shared" si="16"/>
        <v>2.0185888083147012E-3</v>
      </c>
      <c r="G50" s="3"/>
      <c r="H50" s="8">
        <v>497.85</v>
      </c>
      <c r="I50" s="3"/>
      <c r="J50" s="7">
        <f t="shared" si="17"/>
        <v>1.3443147797911942E-3</v>
      </c>
      <c r="K50" s="3"/>
      <c r="L50" s="8">
        <f t="shared" si="18"/>
        <v>-78.050000000000011</v>
      </c>
      <c r="M50" s="3"/>
      <c r="N50" s="7">
        <f t="shared" si="19"/>
        <v>-0.15677412875364066</v>
      </c>
      <c r="O50" s="11"/>
      <c r="P50" s="8">
        <v>419.8</v>
      </c>
      <c r="Q50" s="3"/>
      <c r="R50" s="7">
        <f t="shared" si="20"/>
        <v>2.0185888083147012E-3</v>
      </c>
      <c r="S50" s="3"/>
      <c r="T50" s="8">
        <v>497.85</v>
      </c>
      <c r="U50" s="3"/>
      <c r="V50" s="7">
        <f t="shared" si="21"/>
        <v>1.3443147797911942E-3</v>
      </c>
      <c r="W50" s="3"/>
      <c r="X50" s="8">
        <f t="shared" si="22"/>
        <v>-78.050000000000011</v>
      </c>
      <c r="Y50" s="3"/>
      <c r="Z50" s="7">
        <f t="shared" si="23"/>
        <v>-0.15677412875364066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8">
        <v>53.05</v>
      </c>
      <c r="E51" s="3"/>
      <c r="F51" s="7">
        <f t="shared" si="16"/>
        <v>2.5508846184157903E-4</v>
      </c>
      <c r="G51" s="3"/>
      <c r="H51" s="8">
        <v>123.65</v>
      </c>
      <c r="I51" s="3"/>
      <c r="J51" s="7">
        <f t="shared" si="17"/>
        <v>3.3388474946506212E-4</v>
      </c>
      <c r="K51" s="3"/>
      <c r="L51" s="8">
        <f t="shared" si="18"/>
        <v>-70.600000000000009</v>
      </c>
      <c r="M51" s="3"/>
      <c r="N51" s="7">
        <f t="shared" si="19"/>
        <v>-0.57096643752527299</v>
      </c>
      <c r="O51" s="11"/>
      <c r="P51" s="8">
        <v>53.05</v>
      </c>
      <c r="Q51" s="3"/>
      <c r="R51" s="7">
        <f t="shared" si="20"/>
        <v>2.5508846184157903E-4</v>
      </c>
      <c r="S51" s="3"/>
      <c r="T51" s="8">
        <v>123.65</v>
      </c>
      <c r="U51" s="3"/>
      <c r="V51" s="7">
        <f t="shared" si="21"/>
        <v>3.3388474946506212E-4</v>
      </c>
      <c r="W51" s="3"/>
      <c r="X51" s="8">
        <f t="shared" si="22"/>
        <v>-70.600000000000009</v>
      </c>
      <c r="Y51" s="3"/>
      <c r="Z51" s="7">
        <f t="shared" si="23"/>
        <v>-0.57096643752527299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8">
        <v>1035.69</v>
      </c>
      <c r="E52" s="3"/>
      <c r="F52" s="7">
        <f t="shared" si="16"/>
        <v>4.9800672769972666E-3</v>
      </c>
      <c r="G52" s="3"/>
      <c r="H52" s="8">
        <v>964.88</v>
      </c>
      <c r="I52" s="3"/>
      <c r="J52" s="7">
        <f t="shared" si="17"/>
        <v>2.6054081444710805E-3</v>
      </c>
      <c r="K52" s="3"/>
      <c r="L52" s="8">
        <f t="shared" si="18"/>
        <v>70.810000000000059</v>
      </c>
      <c r="M52" s="3"/>
      <c r="N52" s="7">
        <f t="shared" si="19"/>
        <v>7.3387364231821642E-2</v>
      </c>
      <c r="O52" s="11"/>
      <c r="P52" s="8">
        <v>1035.69</v>
      </c>
      <c r="Q52" s="3"/>
      <c r="R52" s="7">
        <f t="shared" si="20"/>
        <v>4.9800672769972666E-3</v>
      </c>
      <c r="S52" s="3"/>
      <c r="T52" s="8">
        <v>964.88</v>
      </c>
      <c r="U52" s="3"/>
      <c r="V52" s="7">
        <f t="shared" si="21"/>
        <v>2.6054081444710805E-3</v>
      </c>
      <c r="W52" s="3"/>
      <c r="X52" s="8">
        <f t="shared" si="22"/>
        <v>70.810000000000059</v>
      </c>
      <c r="Y52" s="3"/>
      <c r="Z52" s="7">
        <f t="shared" si="23"/>
        <v>7.3387364231821642E-2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8">
        <v>14.46</v>
      </c>
      <c r="E53" s="3"/>
      <c r="F53" s="7">
        <f t="shared" si="16"/>
        <v>6.9530238609410611E-5</v>
      </c>
      <c r="G53" s="3"/>
      <c r="H53" s="8">
        <v>16.920000000000002</v>
      </c>
      <c r="I53" s="3"/>
      <c r="J53" s="7">
        <f t="shared" si="17"/>
        <v>4.5688070852801064E-5</v>
      </c>
      <c r="K53" s="3"/>
      <c r="L53" s="8">
        <f t="shared" si="18"/>
        <v>-2.4600000000000009</v>
      </c>
      <c r="M53" s="3"/>
      <c r="N53" s="7">
        <f t="shared" si="19"/>
        <v>-0.14539007092198586</v>
      </c>
      <c r="O53" s="11"/>
      <c r="P53" s="8">
        <v>14.46</v>
      </c>
      <c r="Q53" s="3"/>
      <c r="R53" s="7">
        <f t="shared" si="20"/>
        <v>6.9530238609410611E-5</v>
      </c>
      <c r="S53" s="3"/>
      <c r="T53" s="8">
        <v>16.920000000000002</v>
      </c>
      <c r="U53" s="3"/>
      <c r="V53" s="7">
        <f t="shared" si="21"/>
        <v>4.5688070852801064E-5</v>
      </c>
      <c r="W53" s="3"/>
      <c r="X53" s="8">
        <f t="shared" si="22"/>
        <v>-2.4600000000000009</v>
      </c>
      <c r="Y53" s="3"/>
      <c r="Z53" s="7">
        <f t="shared" si="23"/>
        <v>-0.14539007092198586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8">
        <v>264.63</v>
      </c>
      <c r="E54" s="3"/>
      <c r="F54" s="7">
        <f t="shared" si="16"/>
        <v>1.2724610679950435E-3</v>
      </c>
      <c r="G54" s="3"/>
      <c r="H54" s="8">
        <v>183.4</v>
      </c>
      <c r="I54" s="3"/>
      <c r="J54" s="7">
        <f t="shared" si="17"/>
        <v>4.9522412496475854E-4</v>
      </c>
      <c r="K54" s="3"/>
      <c r="L54" s="8">
        <f t="shared" si="18"/>
        <v>81.22999999999999</v>
      </c>
      <c r="M54" s="3"/>
      <c r="N54" s="7">
        <f t="shared" si="19"/>
        <v>0.4429116684841875</v>
      </c>
      <c r="O54" s="11"/>
      <c r="P54" s="8">
        <v>264.63</v>
      </c>
      <c r="Q54" s="3"/>
      <c r="R54" s="7">
        <f t="shared" si="20"/>
        <v>1.2724610679950435E-3</v>
      </c>
      <c r="S54" s="3"/>
      <c r="T54" s="8">
        <v>183.4</v>
      </c>
      <c r="U54" s="3"/>
      <c r="V54" s="7">
        <f t="shared" si="21"/>
        <v>4.9522412496475854E-4</v>
      </c>
      <c r="W54" s="3"/>
      <c r="X54" s="8">
        <f t="shared" si="22"/>
        <v>81.22999999999999</v>
      </c>
      <c r="Y54" s="3"/>
      <c r="Z54" s="7">
        <f t="shared" si="23"/>
        <v>0.4429116684841875</v>
      </c>
    </row>
    <row r="55" spans="1:26" s="24" customFormat="1" hidden="1" outlineLevel="2" x14ac:dyDescent="0.25">
      <c r="A55" s="29"/>
      <c r="B55" s="11" t="str">
        <f>CONCATENATE("          ", "6117", " - ", "RETIREMENT STAFF HOURLY")</f>
        <v xml:space="preserve">          6117 - RETIREMENT STAFF HOURLY</v>
      </c>
      <c r="C55" s="11"/>
      <c r="D55" s="8">
        <v>247.54</v>
      </c>
      <c r="E55" s="3"/>
      <c r="F55" s="7">
        <f t="shared" si="16"/>
        <v>1.190284596498859E-3</v>
      </c>
      <c r="G55" s="3"/>
      <c r="H55" s="8">
        <v>140.12</v>
      </c>
      <c r="I55" s="3"/>
      <c r="J55" s="7">
        <f t="shared" si="17"/>
        <v>3.7835771205050142E-4</v>
      </c>
      <c r="K55" s="3"/>
      <c r="L55" s="8">
        <f t="shared" si="18"/>
        <v>107.41999999999999</v>
      </c>
      <c r="M55" s="3"/>
      <c r="N55" s="7">
        <f t="shared" si="19"/>
        <v>0.76662860405366817</v>
      </c>
      <c r="O55" s="11"/>
      <c r="P55" s="8">
        <v>247.54</v>
      </c>
      <c r="Q55" s="3"/>
      <c r="R55" s="7">
        <f t="shared" si="20"/>
        <v>1.190284596498859E-3</v>
      </c>
      <c r="S55" s="3"/>
      <c r="T55" s="8">
        <v>140.12</v>
      </c>
      <c r="U55" s="3"/>
      <c r="V55" s="7">
        <f t="shared" si="21"/>
        <v>3.7835771205050142E-4</v>
      </c>
      <c r="W55" s="3"/>
      <c r="X55" s="8">
        <f t="shared" si="22"/>
        <v>107.41999999999999</v>
      </c>
      <c r="Y55" s="3"/>
      <c r="Z55" s="7">
        <f t="shared" si="23"/>
        <v>0.76662860405366817</v>
      </c>
    </row>
    <row r="56" spans="1:26" s="24" customFormat="1" hidden="1" outlineLevel="2" x14ac:dyDescent="0.25">
      <c r="A56" s="29"/>
      <c r="B56" s="11" t="str">
        <f>CONCATENATE("          ", "6118", " - ", "VACATION")</f>
        <v xml:space="preserve">          6118 - VACATION</v>
      </c>
      <c r="C56" s="11"/>
      <c r="D56" s="8">
        <v>257.8</v>
      </c>
      <c r="E56" s="3"/>
      <c r="F56" s="7">
        <f t="shared" si="16"/>
        <v>1.2396193301179846E-3</v>
      </c>
      <c r="G56" s="3"/>
      <c r="H56" s="8">
        <v>313.32</v>
      </c>
      <c r="I56" s="3"/>
      <c r="J56" s="7">
        <f t="shared" si="17"/>
        <v>8.4603938295506071E-4</v>
      </c>
      <c r="K56" s="3"/>
      <c r="L56" s="8">
        <f t="shared" si="18"/>
        <v>-55.519999999999982</v>
      </c>
      <c r="M56" s="3"/>
      <c r="N56" s="7">
        <f t="shared" si="19"/>
        <v>-0.17719902974594659</v>
      </c>
      <c r="O56" s="11"/>
      <c r="P56" s="8">
        <v>257.8</v>
      </c>
      <c r="Q56" s="3"/>
      <c r="R56" s="7">
        <f t="shared" si="20"/>
        <v>1.2396193301179846E-3</v>
      </c>
      <c r="S56" s="3"/>
      <c r="T56" s="8">
        <v>313.32</v>
      </c>
      <c r="U56" s="3"/>
      <c r="V56" s="7">
        <f t="shared" si="21"/>
        <v>8.4603938295506071E-4</v>
      </c>
      <c r="W56" s="3"/>
      <c r="X56" s="8">
        <f t="shared" si="22"/>
        <v>-55.519999999999982</v>
      </c>
      <c r="Y56" s="3"/>
      <c r="Z56" s="7">
        <f t="shared" si="23"/>
        <v>-0.17719902974594659</v>
      </c>
    </row>
    <row r="57" spans="1:26" s="24" customFormat="1" hidden="1" outlineLevel="2" x14ac:dyDescent="0.25">
      <c r="A57" s="29"/>
      <c r="B57" s="11" t="str">
        <f>CONCATENATE("          ", "6119", " - ", "SICK LEAVE")</f>
        <v xml:space="preserve">          6119 - SICK LEAVE</v>
      </c>
      <c r="C57" s="11"/>
      <c r="D57" s="8">
        <v>256.57</v>
      </c>
      <c r="E57" s="3"/>
      <c r="F57" s="7">
        <f t="shared" si="16"/>
        <v>1.2337049322279723E-3</v>
      </c>
      <c r="G57" s="3"/>
      <c r="H57" s="8">
        <v>328.62</v>
      </c>
      <c r="I57" s="3"/>
      <c r="J57" s="7">
        <f t="shared" si="17"/>
        <v>8.8735306404535952E-4</v>
      </c>
      <c r="K57" s="3"/>
      <c r="L57" s="8">
        <f t="shared" si="18"/>
        <v>-72.050000000000011</v>
      </c>
      <c r="M57" s="3"/>
      <c r="N57" s="7">
        <f t="shared" si="19"/>
        <v>-0.21925019779684746</v>
      </c>
      <c r="O57" s="11"/>
      <c r="P57" s="8">
        <v>256.57</v>
      </c>
      <c r="Q57" s="3"/>
      <c r="R57" s="7">
        <f t="shared" si="20"/>
        <v>1.2337049322279723E-3</v>
      </c>
      <c r="S57" s="3"/>
      <c r="T57" s="8">
        <v>328.62</v>
      </c>
      <c r="U57" s="3"/>
      <c r="V57" s="7">
        <f t="shared" si="21"/>
        <v>8.8735306404535952E-4</v>
      </c>
      <c r="W57" s="3"/>
      <c r="X57" s="8">
        <f t="shared" si="22"/>
        <v>-72.050000000000011</v>
      </c>
      <c r="Y57" s="3"/>
      <c r="Z57" s="7">
        <f t="shared" si="23"/>
        <v>-0.21925019779684746</v>
      </c>
    </row>
    <row r="58" spans="1:26" s="24" customFormat="1" hidden="1" outlineLevel="2" x14ac:dyDescent="0.25">
      <c r="A58" s="29"/>
      <c r="B58" s="11" t="str">
        <f>CONCATENATE("          ", "6156", " - ", "EMPLOYEE MEALS")</f>
        <v xml:space="preserve">          6156 - EMPLOYEE MEALS</v>
      </c>
      <c r="C58" s="11"/>
      <c r="D58" s="8">
        <v>178.83</v>
      </c>
      <c r="E58" s="3"/>
      <c r="F58" s="7">
        <f t="shared" si="16"/>
        <v>8.5989575176493086E-4</v>
      </c>
      <c r="G58" s="3"/>
      <c r="H58" s="8">
        <v>150</v>
      </c>
      <c r="I58" s="3"/>
      <c r="J58" s="7">
        <f t="shared" si="17"/>
        <v>4.0503608912057675E-4</v>
      </c>
      <c r="K58" s="3"/>
      <c r="L58" s="8">
        <f t="shared" si="18"/>
        <v>28.830000000000013</v>
      </c>
      <c r="M58" s="3"/>
      <c r="N58" s="7">
        <f t="shared" si="19"/>
        <v>0.19220000000000009</v>
      </c>
      <c r="O58" s="11"/>
      <c r="P58" s="8">
        <v>178.83</v>
      </c>
      <c r="Q58" s="3"/>
      <c r="R58" s="7">
        <f t="shared" si="20"/>
        <v>8.5989575176493086E-4</v>
      </c>
      <c r="S58" s="3"/>
      <c r="T58" s="8">
        <v>150</v>
      </c>
      <c r="U58" s="3"/>
      <c r="V58" s="7">
        <f t="shared" si="21"/>
        <v>4.0503608912057675E-4</v>
      </c>
      <c r="W58" s="3"/>
      <c r="X58" s="8">
        <f t="shared" si="22"/>
        <v>28.830000000000013</v>
      </c>
      <c r="Y58" s="3"/>
      <c r="Z58" s="7">
        <f t="shared" si="23"/>
        <v>0.19220000000000009</v>
      </c>
    </row>
    <row r="59" spans="1:26" s="27" customFormat="1" outlineLevel="1" collapsed="1" x14ac:dyDescent="0.25">
      <c r="A59" s="28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6417.82</v>
      </c>
      <c r="E59" s="1"/>
      <c r="F59" s="5">
        <f t="shared" ref="F59:F64" si="24">IF(D$12=0,0,D59/D$12)</f>
        <v>3.0859789484941051E-2</v>
      </c>
      <c r="G59" s="1"/>
      <c r="H59" s="1">
        <f>SUM(OSRRefH22_1x_0)</f>
        <v>7913.5400000000009</v>
      </c>
      <c r="I59" s="1"/>
      <c r="J59" s="5">
        <f t="shared" ref="J59:J64" si="25">IF(H$12=0,0,H59/H$12)</f>
        <v>2.1368461951328327E-2</v>
      </c>
      <c r="K59" s="1"/>
      <c r="L59" s="1">
        <f t="shared" ref="L59:L64" si="26">+D59-H59</f>
        <v>-1495.7200000000012</v>
      </c>
      <c r="M59" s="1"/>
      <c r="N59" s="5">
        <f t="shared" ref="N59:N64" si="27">IF(H59=0,0,L59/H59)</f>
        <v>-0.18900770072559195</v>
      </c>
      <c r="O59" s="14"/>
      <c r="P59" s="1">
        <f>SUM(OSRRefP22_1x_0)</f>
        <v>6417.82</v>
      </c>
      <c r="Q59" s="1"/>
      <c r="R59" s="5">
        <f t="shared" ref="R59:R64" si="28">IF(P$12=0,0,P59/P$12)</f>
        <v>3.0859789484941051E-2</v>
      </c>
      <c r="S59" s="1"/>
      <c r="T59" s="1">
        <f>SUM(OSRRefT22_1x_0)</f>
        <v>7913.5400000000009</v>
      </c>
      <c r="U59" s="1"/>
      <c r="V59" s="5">
        <f t="shared" ref="V59:V64" si="29">IF(T$12=0,0,T59/T$12)</f>
        <v>2.1368461951328327E-2</v>
      </c>
      <c r="W59" s="1"/>
      <c r="X59" s="1">
        <f t="shared" ref="X59:X64" si="30">+P59-T59</f>
        <v>-1495.7200000000012</v>
      </c>
      <c r="Y59" s="1"/>
      <c r="Z59" s="5">
        <f t="shared" ref="Z59:Z64" si="31">IF(T59=0,0,X59/T59)</f>
        <v>-0.18900770072559195</v>
      </c>
    </row>
    <row r="60" spans="1:26" s="24" customFormat="1" hidden="1" outlineLevel="2" x14ac:dyDescent="0.25">
      <c r="A60" s="29"/>
      <c r="B60" s="11" t="str">
        <f>CONCATENATE("          ", "6002", " - ", "STAFF SALARIES")</f>
        <v xml:space="preserve">          6002 - STAFF SALARIES</v>
      </c>
      <c r="C60" s="11"/>
      <c r="D60" s="8">
        <v>2625.07</v>
      </c>
      <c r="E60" s="3"/>
      <c r="F60" s="7">
        <f t="shared" si="24"/>
        <v>1.2622527210678114E-2</v>
      </c>
      <c r="G60" s="3"/>
      <c r="H60" s="8">
        <v>3151.4</v>
      </c>
      <c r="I60" s="3"/>
      <c r="J60" s="7">
        <f t="shared" si="25"/>
        <v>8.509538208363903E-3</v>
      </c>
      <c r="K60" s="3"/>
      <c r="L60" s="8">
        <f t="shared" si="26"/>
        <v>-526.32999999999993</v>
      </c>
      <c r="M60" s="3"/>
      <c r="N60" s="7">
        <f t="shared" si="27"/>
        <v>-0.16701466015104396</v>
      </c>
      <c r="O60" s="11"/>
      <c r="P60" s="8">
        <v>2625.07</v>
      </c>
      <c r="Q60" s="3"/>
      <c r="R60" s="7">
        <f t="shared" si="28"/>
        <v>1.2622527210678114E-2</v>
      </c>
      <c r="S60" s="3"/>
      <c r="T60" s="8">
        <v>3151.4</v>
      </c>
      <c r="U60" s="3"/>
      <c r="V60" s="7">
        <f t="shared" si="29"/>
        <v>8.509538208363903E-3</v>
      </c>
      <c r="W60" s="3"/>
      <c r="X60" s="8">
        <f t="shared" si="30"/>
        <v>-526.32999999999993</v>
      </c>
      <c r="Y60" s="3"/>
      <c r="Z60" s="7">
        <f t="shared" si="31"/>
        <v>-0.16701466015104396</v>
      </c>
    </row>
    <row r="61" spans="1:26" s="24" customFormat="1" hidden="1" outlineLevel="2" x14ac:dyDescent="0.25">
      <c r="A61" s="29"/>
      <c r="B61" s="11" t="str">
        <f>CONCATENATE("          ", "6004", " - ", "STAFF HOURLY")</f>
        <v xml:space="preserve">          6004 - STAFF HOURLY</v>
      </c>
      <c r="C61" s="11"/>
      <c r="D61" s="8">
        <v>3023.75</v>
      </c>
      <c r="E61" s="3"/>
      <c r="F61" s="7">
        <f t="shared" si="24"/>
        <v>1.4539561479613093E-2</v>
      </c>
      <c r="G61" s="3"/>
      <c r="H61" s="8"/>
      <c r="I61" s="3"/>
      <c r="J61" s="7">
        <f t="shared" si="25"/>
        <v>0</v>
      </c>
      <c r="K61" s="3"/>
      <c r="L61" s="8">
        <f t="shared" si="26"/>
        <v>3023.75</v>
      </c>
      <c r="M61" s="3"/>
      <c r="N61" s="7">
        <f t="shared" si="27"/>
        <v>0</v>
      </c>
      <c r="O61" s="11"/>
      <c r="P61" s="8">
        <v>3023.75</v>
      </c>
      <c r="Q61" s="3"/>
      <c r="R61" s="7">
        <f t="shared" si="28"/>
        <v>1.4539561479613093E-2</v>
      </c>
      <c r="S61" s="3"/>
      <c r="T61" s="8"/>
      <c r="U61" s="3"/>
      <c r="V61" s="7">
        <f t="shared" si="29"/>
        <v>0</v>
      </c>
      <c r="W61" s="3"/>
      <c r="X61" s="8">
        <f t="shared" si="30"/>
        <v>3023.75</v>
      </c>
      <c r="Y61" s="3"/>
      <c r="Z61" s="7">
        <f t="shared" si="31"/>
        <v>0</v>
      </c>
    </row>
    <row r="62" spans="1:26" s="24" customFormat="1" hidden="1" outlineLevel="2" x14ac:dyDescent="0.25">
      <c r="A62" s="29"/>
      <c r="B62" s="11" t="str">
        <f>CONCATENATE("          ", "6005", " - ", "TEMPORARY WAGES-HOURLY")</f>
        <v xml:space="preserve">          6005 - TEMPORARY WAGES-HOURLY</v>
      </c>
      <c r="C62" s="11"/>
      <c r="D62" s="8"/>
      <c r="E62" s="3"/>
      <c r="F62" s="7">
        <f t="shared" si="24"/>
        <v>0</v>
      </c>
      <c r="G62" s="3"/>
      <c r="H62" s="8">
        <v>2433.6999999999998</v>
      </c>
      <c r="I62" s="3"/>
      <c r="J62" s="7">
        <f t="shared" si="25"/>
        <v>6.5715755339516499E-3</v>
      </c>
      <c r="K62" s="3"/>
      <c r="L62" s="8">
        <f t="shared" si="26"/>
        <v>-2433.6999999999998</v>
      </c>
      <c r="M62" s="3"/>
      <c r="N62" s="7">
        <f t="shared" si="27"/>
        <v>-1</v>
      </c>
      <c r="O62" s="11"/>
      <c r="P62" s="8"/>
      <c r="Q62" s="3"/>
      <c r="R62" s="7">
        <f t="shared" si="28"/>
        <v>0</v>
      </c>
      <c r="S62" s="3"/>
      <c r="T62" s="8">
        <v>2433.6999999999998</v>
      </c>
      <c r="U62" s="3"/>
      <c r="V62" s="7">
        <f t="shared" si="29"/>
        <v>6.5715755339516499E-3</v>
      </c>
      <c r="W62" s="3"/>
      <c r="X62" s="8">
        <f t="shared" si="30"/>
        <v>-2433.6999999999998</v>
      </c>
      <c r="Y62" s="3"/>
      <c r="Z62" s="7">
        <f t="shared" si="31"/>
        <v>-1</v>
      </c>
    </row>
    <row r="63" spans="1:26" s="24" customFormat="1" hidden="1" outlineLevel="2" x14ac:dyDescent="0.25">
      <c r="A63" s="29"/>
      <c r="B63" s="11" t="str">
        <f>CONCATENATE("          ", "6006", " - ", "TEMPORARY PART TIME")</f>
        <v xml:space="preserve">          6006 - TEMPORARY PART TIME</v>
      </c>
      <c r="C63" s="11"/>
      <c r="D63" s="8"/>
      <c r="E63" s="3"/>
      <c r="F63" s="7">
        <f t="shared" si="24"/>
        <v>0</v>
      </c>
      <c r="G63" s="3"/>
      <c r="H63" s="8">
        <v>1448.44</v>
      </c>
      <c r="I63" s="3"/>
      <c r="J63" s="7">
        <f t="shared" si="25"/>
        <v>3.9111364861720548E-3</v>
      </c>
      <c r="K63" s="3"/>
      <c r="L63" s="8">
        <f t="shared" si="26"/>
        <v>-1448.44</v>
      </c>
      <c r="M63" s="3"/>
      <c r="N63" s="7">
        <f t="shared" si="27"/>
        <v>-1</v>
      </c>
      <c r="O63" s="11"/>
      <c r="P63" s="8"/>
      <c r="Q63" s="3"/>
      <c r="R63" s="7">
        <f t="shared" si="28"/>
        <v>0</v>
      </c>
      <c r="S63" s="3"/>
      <c r="T63" s="8">
        <v>1448.44</v>
      </c>
      <c r="U63" s="3"/>
      <c r="V63" s="7">
        <f t="shared" si="29"/>
        <v>3.9111364861720548E-3</v>
      </c>
      <c r="W63" s="3"/>
      <c r="X63" s="8">
        <f t="shared" si="30"/>
        <v>-1448.44</v>
      </c>
      <c r="Y63" s="3"/>
      <c r="Z63" s="7">
        <f t="shared" si="31"/>
        <v>-1</v>
      </c>
    </row>
    <row r="64" spans="1:26" s="24" customFormat="1" hidden="1" outlineLevel="2" x14ac:dyDescent="0.25">
      <c r="A64" s="29"/>
      <c r="B64" s="11" t="str">
        <f>CONCATENATE("          ", "6007", " - ", "STUDENT HOURLY")</f>
        <v xml:space="preserve">          6007 - STUDENT HOURLY</v>
      </c>
      <c r="C64" s="11"/>
      <c r="D64" s="8">
        <v>769</v>
      </c>
      <c r="E64" s="3"/>
      <c r="F64" s="7">
        <f t="shared" si="24"/>
        <v>3.697700794649845E-3</v>
      </c>
      <c r="G64" s="3"/>
      <c r="H64" s="8">
        <v>880</v>
      </c>
      <c r="I64" s="3"/>
      <c r="J64" s="7">
        <f t="shared" si="25"/>
        <v>2.376211722840717E-3</v>
      </c>
      <c r="K64" s="3"/>
      <c r="L64" s="8">
        <f t="shared" si="26"/>
        <v>-111</v>
      </c>
      <c r="M64" s="3"/>
      <c r="N64" s="7">
        <f t="shared" si="27"/>
        <v>-0.12613636363636363</v>
      </c>
      <c r="O64" s="11"/>
      <c r="P64" s="8">
        <v>769</v>
      </c>
      <c r="Q64" s="3"/>
      <c r="R64" s="7">
        <f t="shared" si="28"/>
        <v>3.697700794649845E-3</v>
      </c>
      <c r="S64" s="3"/>
      <c r="T64" s="8">
        <v>880</v>
      </c>
      <c r="U64" s="3"/>
      <c r="V64" s="7">
        <f t="shared" si="29"/>
        <v>2.376211722840717E-3</v>
      </c>
      <c r="W64" s="3"/>
      <c r="X64" s="8">
        <f t="shared" si="30"/>
        <v>-111</v>
      </c>
      <c r="Y64" s="3"/>
      <c r="Z64" s="7">
        <f t="shared" si="31"/>
        <v>-0.12613636363636363</v>
      </c>
    </row>
    <row r="65" spans="1:26" s="27" customFormat="1" outlineLevel="1" collapsed="1" x14ac:dyDescent="0.25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149.65</v>
      </c>
      <c r="E65" s="1"/>
      <c r="F65" s="5">
        <f t="shared" ref="F65:F73" si="32">IF(D$12=0,0,D65/D$12)</f>
        <v>7.1958507661813958E-4</v>
      </c>
      <c r="G65" s="1"/>
      <c r="H65" s="1">
        <f>SUM(OSRRefH22_2x_0)</f>
        <v>359.07</v>
      </c>
      <c r="I65" s="1"/>
      <c r="J65" s="5">
        <f t="shared" ref="J65:J73" si="33">IF(H$12=0,0,H65/H$12)</f>
        <v>9.6957539013683655E-4</v>
      </c>
      <c r="K65" s="1"/>
      <c r="L65" s="1">
        <f t="shared" ref="L65:L73" si="34">+D65-H65</f>
        <v>-209.42</v>
      </c>
      <c r="M65" s="1"/>
      <c r="N65" s="5">
        <f t="shared" ref="N65:N73" si="35">IF(H65=0,0,L65/H65)</f>
        <v>-0.58322889687247614</v>
      </c>
      <c r="O65" s="14"/>
      <c r="P65" s="1">
        <f>SUM(OSRRefP22_2x_0)</f>
        <v>149.65</v>
      </c>
      <c r="Q65" s="1"/>
      <c r="R65" s="5">
        <f t="shared" ref="R65:R73" si="36">IF(P$12=0,0,P65/P$12)</f>
        <v>7.1958507661813958E-4</v>
      </c>
      <c r="S65" s="1"/>
      <c r="T65" s="1">
        <f>SUM(OSRRefT22_2x_0)</f>
        <v>359.07</v>
      </c>
      <c r="U65" s="1"/>
      <c r="V65" s="5">
        <f t="shared" ref="V65:V73" si="37">IF(T$12=0,0,T65/T$12)</f>
        <v>9.6957539013683655E-4</v>
      </c>
      <c r="W65" s="1"/>
      <c r="X65" s="1">
        <f t="shared" ref="X65:X73" si="38">+P65-T65</f>
        <v>-209.42</v>
      </c>
      <c r="Y65" s="1"/>
      <c r="Z65" s="5">
        <f t="shared" ref="Z65:Z73" si="39">IF(T65=0,0,X65/T65)</f>
        <v>-0.58322889687247614</v>
      </c>
    </row>
    <row r="66" spans="1:26" s="24" customFormat="1" hidden="1" outlineLevel="2" x14ac:dyDescent="0.25">
      <c r="A66" s="29"/>
      <c r="B66" s="11" t="str">
        <f>CONCATENATE("          ", "6362", " - ", "ADVERTISING EXPENSE")</f>
        <v xml:space="preserve">          6362 - ADVERTISING EXPENSE</v>
      </c>
      <c r="C66" s="11"/>
      <c r="D66" s="8">
        <v>149.65</v>
      </c>
      <c r="E66" s="3"/>
      <c r="F66" s="7">
        <f t="shared" si="32"/>
        <v>7.1958507661813958E-4</v>
      </c>
      <c r="G66" s="3"/>
      <c r="H66" s="8">
        <v>359.07</v>
      </c>
      <c r="I66" s="3"/>
      <c r="J66" s="7">
        <f t="shared" si="33"/>
        <v>9.6957539013683655E-4</v>
      </c>
      <c r="K66" s="3"/>
      <c r="L66" s="8">
        <f t="shared" si="34"/>
        <v>-209.42</v>
      </c>
      <c r="M66" s="3"/>
      <c r="N66" s="7">
        <f t="shared" si="35"/>
        <v>-0.58322889687247614</v>
      </c>
      <c r="O66" s="11"/>
      <c r="P66" s="8">
        <v>149.65</v>
      </c>
      <c r="Q66" s="3"/>
      <c r="R66" s="7">
        <f t="shared" si="36"/>
        <v>7.1958507661813958E-4</v>
      </c>
      <c r="S66" s="3"/>
      <c r="T66" s="8">
        <v>359.07</v>
      </c>
      <c r="U66" s="3"/>
      <c r="V66" s="7">
        <f t="shared" si="37"/>
        <v>9.6957539013683655E-4</v>
      </c>
      <c r="W66" s="3"/>
      <c r="X66" s="8">
        <f t="shared" si="38"/>
        <v>-209.42</v>
      </c>
      <c r="Y66" s="3"/>
      <c r="Z66" s="7">
        <f t="shared" si="39"/>
        <v>-0.58322889687247614</v>
      </c>
    </row>
    <row r="67" spans="1:26" s="27" customFormat="1" outlineLevel="1" collapsed="1" x14ac:dyDescent="0.25">
      <c r="A67" s="28"/>
      <c r="B67" s="14" t="str">
        <f>CONCATENATE("     ","Depreciation                                      ")</f>
        <v xml:space="preserve">     Depreciation                                      </v>
      </c>
      <c r="C67" s="14"/>
      <c r="D67" s="1">
        <f>SUM(OSRRefD22_3x_0)</f>
        <v>280.44</v>
      </c>
      <c r="E67" s="1"/>
      <c r="F67" s="5">
        <f t="shared" si="32"/>
        <v>1.3484827189227601E-3</v>
      </c>
      <c r="G67" s="1"/>
      <c r="H67" s="1">
        <f>SUM(OSRRefH22_3x_0)</f>
        <v>280.44</v>
      </c>
      <c r="I67" s="1"/>
      <c r="J67" s="5">
        <f t="shared" si="33"/>
        <v>7.5725547221983027E-4</v>
      </c>
      <c r="K67" s="1"/>
      <c r="L67" s="1">
        <f t="shared" si="34"/>
        <v>0</v>
      </c>
      <c r="M67" s="1"/>
      <c r="N67" s="5">
        <f t="shared" si="35"/>
        <v>0</v>
      </c>
      <c r="O67" s="14"/>
      <c r="P67" s="1">
        <f>SUM(OSRRefP22_3x_0)</f>
        <v>280.44</v>
      </c>
      <c r="Q67" s="1"/>
      <c r="R67" s="5">
        <f t="shared" si="36"/>
        <v>1.3484827189227601E-3</v>
      </c>
      <c r="S67" s="1"/>
      <c r="T67" s="1">
        <f>SUM(OSRRefT22_3x_0)</f>
        <v>280.44</v>
      </c>
      <c r="U67" s="1"/>
      <c r="V67" s="5">
        <f t="shared" si="37"/>
        <v>7.5725547221983027E-4</v>
      </c>
      <c r="W67" s="1"/>
      <c r="X67" s="1">
        <f t="shared" si="38"/>
        <v>0</v>
      </c>
      <c r="Y67" s="1"/>
      <c r="Z67" s="5">
        <f t="shared" si="39"/>
        <v>0</v>
      </c>
    </row>
    <row r="68" spans="1:26" s="24" customFormat="1" hidden="1" outlineLevel="2" x14ac:dyDescent="0.25">
      <c r="A68" s="29"/>
      <c r="B68" s="11" t="str">
        <f>CONCATENATE("          ", "6322", " - ", "EQUIPMENT DEPRECIATION EXPENSE")</f>
        <v xml:space="preserve">          6322 - EQUIPMENT DEPRECIATION EXPENSE</v>
      </c>
      <c r="C68" s="11"/>
      <c r="D68" s="8">
        <v>280.44</v>
      </c>
      <c r="E68" s="3"/>
      <c r="F68" s="7">
        <f t="shared" si="32"/>
        <v>1.3484827189227601E-3</v>
      </c>
      <c r="G68" s="3"/>
      <c r="H68" s="8">
        <v>280.44</v>
      </c>
      <c r="I68" s="3"/>
      <c r="J68" s="7">
        <f t="shared" si="33"/>
        <v>7.5725547221983027E-4</v>
      </c>
      <c r="K68" s="3"/>
      <c r="L68" s="8">
        <f t="shared" si="34"/>
        <v>0</v>
      </c>
      <c r="M68" s="3"/>
      <c r="N68" s="7">
        <f t="shared" si="35"/>
        <v>0</v>
      </c>
      <c r="O68" s="11"/>
      <c r="P68" s="8">
        <v>280.44</v>
      </c>
      <c r="Q68" s="3"/>
      <c r="R68" s="7">
        <f t="shared" si="36"/>
        <v>1.3484827189227601E-3</v>
      </c>
      <c r="S68" s="3"/>
      <c r="T68" s="8">
        <v>280.44</v>
      </c>
      <c r="U68" s="3"/>
      <c r="V68" s="7">
        <f t="shared" si="37"/>
        <v>7.5725547221983027E-4</v>
      </c>
      <c r="W68" s="3"/>
      <c r="X68" s="8">
        <f t="shared" si="38"/>
        <v>0</v>
      </c>
      <c r="Y68" s="3"/>
      <c r="Z68" s="7">
        <f t="shared" si="39"/>
        <v>0</v>
      </c>
    </row>
    <row r="69" spans="1:26" s="27" customFormat="1" outlineLevel="1" collapsed="1" x14ac:dyDescent="0.25">
      <c r="A69" s="28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SUM(OSRRefD22_4x_0)</f>
        <v>0</v>
      </c>
      <c r="E69" s="1"/>
      <c r="F69" s="5">
        <f t="shared" si="32"/>
        <v>0</v>
      </c>
      <c r="G69" s="1"/>
      <c r="H69" s="1">
        <f>SUM(OSRRefH22_4x_0)</f>
        <v>12904.81</v>
      </c>
      <c r="I69" s="1"/>
      <c r="J69" s="5">
        <f t="shared" si="33"/>
        <v>3.4846091821627401E-2</v>
      </c>
      <c r="K69" s="1"/>
      <c r="L69" s="1">
        <f t="shared" si="34"/>
        <v>-12904.81</v>
      </c>
      <c r="M69" s="1"/>
      <c r="N69" s="5">
        <f t="shared" si="35"/>
        <v>-1</v>
      </c>
      <c r="O69" s="14"/>
      <c r="P69" s="1">
        <f>SUM(OSRRefP22_4x_0)</f>
        <v>0</v>
      </c>
      <c r="Q69" s="1"/>
      <c r="R69" s="5">
        <f t="shared" si="36"/>
        <v>0</v>
      </c>
      <c r="S69" s="1"/>
      <c r="T69" s="1">
        <f>SUM(OSRRefT22_4x_0)</f>
        <v>12904.81</v>
      </c>
      <c r="U69" s="1"/>
      <c r="V69" s="5">
        <f t="shared" si="37"/>
        <v>3.4846091821627401E-2</v>
      </c>
      <c r="W69" s="1"/>
      <c r="X69" s="1">
        <f t="shared" si="38"/>
        <v>-12904.81</v>
      </c>
      <c r="Y69" s="1"/>
      <c r="Z69" s="5">
        <f t="shared" si="39"/>
        <v>-1</v>
      </c>
    </row>
    <row r="70" spans="1:26" s="24" customFormat="1" hidden="1" outlineLevel="2" x14ac:dyDescent="0.25">
      <c r="A70" s="29"/>
      <c r="B70" s="11" t="str">
        <f>CONCATENATE("          ", "6382", " - ", "DISCOUNTS/MARK DOWNS")</f>
        <v xml:space="preserve">          6382 - DISCOUNTS/MARK DOWNS</v>
      </c>
      <c r="C70" s="11"/>
      <c r="D70" s="8"/>
      <c r="E70" s="3"/>
      <c r="F70" s="7">
        <f t="shared" si="32"/>
        <v>0</v>
      </c>
      <c r="G70" s="3"/>
      <c r="H70" s="8">
        <v>12904.81</v>
      </c>
      <c r="I70" s="3"/>
      <c r="J70" s="7">
        <f t="shared" si="33"/>
        <v>3.4846091821627401E-2</v>
      </c>
      <c r="K70" s="3"/>
      <c r="L70" s="8">
        <f t="shared" si="34"/>
        <v>-12904.81</v>
      </c>
      <c r="M70" s="3"/>
      <c r="N70" s="7">
        <f t="shared" si="35"/>
        <v>-1</v>
      </c>
      <c r="O70" s="11"/>
      <c r="P70" s="8"/>
      <c r="Q70" s="3"/>
      <c r="R70" s="7">
        <f t="shared" si="36"/>
        <v>0</v>
      </c>
      <c r="S70" s="3"/>
      <c r="T70" s="8">
        <v>12904.81</v>
      </c>
      <c r="U70" s="3"/>
      <c r="V70" s="7">
        <f t="shared" si="37"/>
        <v>3.4846091821627401E-2</v>
      </c>
      <c r="W70" s="3"/>
      <c r="X70" s="8">
        <f t="shared" si="38"/>
        <v>-12904.81</v>
      </c>
      <c r="Y70" s="3"/>
      <c r="Z70" s="7">
        <f t="shared" si="39"/>
        <v>-1</v>
      </c>
    </row>
    <row r="71" spans="1:26" s="27" customFormat="1" outlineLevel="1" collapsed="1" x14ac:dyDescent="0.25">
      <c r="A71" s="28"/>
      <c r="B71" s="14" t="str">
        <f>CONCATENATE("     ","Freight out/Postage                               ")</f>
        <v xml:space="preserve">     Freight out/Postage                               </v>
      </c>
      <c r="C71" s="14"/>
      <c r="D71" s="1">
        <f>SUM(OSRRefD22_5x_0)</f>
        <v>10.61</v>
      </c>
      <c r="E71" s="1"/>
      <c r="F71" s="5">
        <f t="shared" si="32"/>
        <v>5.1017692368315807E-5</v>
      </c>
      <c r="G71" s="1"/>
      <c r="H71" s="1">
        <f>SUM(OSRRefH22_5x_0)</f>
        <v>0</v>
      </c>
      <c r="I71" s="1"/>
      <c r="J71" s="5">
        <f t="shared" si="33"/>
        <v>0</v>
      </c>
      <c r="K71" s="1"/>
      <c r="L71" s="1">
        <f t="shared" si="34"/>
        <v>10.61</v>
      </c>
      <c r="M71" s="1"/>
      <c r="N71" s="5">
        <f t="shared" si="35"/>
        <v>0</v>
      </c>
      <c r="O71" s="14"/>
      <c r="P71" s="1">
        <f>SUM(OSRRefP22_5x_0)</f>
        <v>10.61</v>
      </c>
      <c r="Q71" s="1"/>
      <c r="R71" s="5">
        <f t="shared" si="36"/>
        <v>5.1017692368315807E-5</v>
      </c>
      <c r="S71" s="1"/>
      <c r="T71" s="1">
        <f>SUM(OSRRefT22_5x_0)</f>
        <v>0</v>
      </c>
      <c r="U71" s="1"/>
      <c r="V71" s="5">
        <f t="shared" si="37"/>
        <v>0</v>
      </c>
      <c r="W71" s="1"/>
      <c r="X71" s="1">
        <f t="shared" si="38"/>
        <v>10.61</v>
      </c>
      <c r="Y71" s="1"/>
      <c r="Z71" s="5">
        <f t="shared" si="39"/>
        <v>0</v>
      </c>
    </row>
    <row r="72" spans="1:26" s="24" customFormat="1" hidden="1" outlineLevel="2" x14ac:dyDescent="0.25">
      <c r="A72" s="29"/>
      <c r="B72" s="11" t="str">
        <f>CONCATENATE("          ", "6305", " - ", "FREIGHT OUT")</f>
        <v xml:space="preserve">          6305 - FREIGHT OUT</v>
      </c>
      <c r="C72" s="11"/>
      <c r="D72" s="8">
        <v>5.61</v>
      </c>
      <c r="E72" s="3"/>
      <c r="F72" s="7">
        <f t="shared" si="32"/>
        <v>2.6975424522738145E-5</v>
      </c>
      <c r="G72" s="3"/>
      <c r="H72" s="8"/>
      <c r="I72" s="3"/>
      <c r="J72" s="7">
        <f t="shared" si="33"/>
        <v>0</v>
      </c>
      <c r="K72" s="3"/>
      <c r="L72" s="8">
        <f t="shared" si="34"/>
        <v>5.61</v>
      </c>
      <c r="M72" s="3"/>
      <c r="N72" s="7">
        <f t="shared" si="35"/>
        <v>0</v>
      </c>
      <c r="O72" s="11"/>
      <c r="P72" s="8">
        <v>5.61</v>
      </c>
      <c r="Q72" s="3"/>
      <c r="R72" s="7">
        <f t="shared" si="36"/>
        <v>2.6975424522738145E-5</v>
      </c>
      <c r="S72" s="3"/>
      <c r="T72" s="8"/>
      <c r="U72" s="3"/>
      <c r="V72" s="7">
        <f t="shared" si="37"/>
        <v>0</v>
      </c>
      <c r="W72" s="3"/>
      <c r="X72" s="8">
        <f t="shared" si="38"/>
        <v>5.61</v>
      </c>
      <c r="Y72" s="3"/>
      <c r="Z72" s="7">
        <f t="shared" si="39"/>
        <v>0</v>
      </c>
    </row>
    <row r="73" spans="1:26" s="24" customFormat="1" hidden="1" outlineLevel="2" x14ac:dyDescent="0.25">
      <c r="A73" s="29"/>
      <c r="B73" s="11" t="str">
        <f>CONCATENATE("          ", "6307", " - ", "POSTAGE")</f>
        <v xml:space="preserve">          6307 - POSTAGE</v>
      </c>
      <c r="C73" s="11"/>
      <c r="D73" s="8">
        <v>5</v>
      </c>
      <c r="E73" s="3"/>
      <c r="F73" s="7">
        <f t="shared" si="32"/>
        <v>2.4042267845577668E-5</v>
      </c>
      <c r="G73" s="3"/>
      <c r="H73" s="8"/>
      <c r="I73" s="3"/>
      <c r="J73" s="7">
        <f t="shared" si="33"/>
        <v>0</v>
      </c>
      <c r="K73" s="3"/>
      <c r="L73" s="8">
        <f t="shared" si="34"/>
        <v>5</v>
      </c>
      <c r="M73" s="3"/>
      <c r="N73" s="7">
        <f t="shared" si="35"/>
        <v>0</v>
      </c>
      <c r="O73" s="11"/>
      <c r="P73" s="8">
        <v>5</v>
      </c>
      <c r="Q73" s="3"/>
      <c r="R73" s="7">
        <f t="shared" si="36"/>
        <v>2.4042267845577668E-5</v>
      </c>
      <c r="S73" s="3"/>
      <c r="T73" s="8"/>
      <c r="U73" s="3"/>
      <c r="V73" s="7">
        <f t="shared" si="37"/>
        <v>0</v>
      </c>
      <c r="W73" s="3"/>
      <c r="X73" s="8">
        <f t="shared" si="38"/>
        <v>5</v>
      </c>
      <c r="Y73" s="3"/>
      <c r="Z73" s="7">
        <f t="shared" si="39"/>
        <v>0</v>
      </c>
    </row>
    <row r="74" spans="1:26" s="27" customFormat="1" outlineLevel="1" collapsed="1" x14ac:dyDescent="0.25">
      <c r="A74" s="28"/>
      <c r="B74" s="14" t="str">
        <f>CONCATENATE("     ","General                                           ")</f>
        <v xml:space="preserve">     General                                           </v>
      </c>
      <c r="C74" s="14"/>
      <c r="D74" s="1">
        <f>SUM(OSRRefD22_6x_0)</f>
        <v>-30.15</v>
      </c>
      <c r="E74" s="1"/>
      <c r="F74" s="5">
        <f t="shared" ref="F74:F81" si="40">IF(D$12=0,0,D74/D$12)</f>
        <v>-1.4497487510883332E-4</v>
      </c>
      <c r="G74" s="1"/>
      <c r="H74" s="1">
        <f>SUM(OSRRefH22_6x_0)</f>
        <v>0</v>
      </c>
      <c r="I74" s="1"/>
      <c r="J74" s="5">
        <f t="shared" ref="J74:J81" si="41">IF(H$12=0,0,H74/H$12)</f>
        <v>0</v>
      </c>
      <c r="K74" s="1"/>
      <c r="L74" s="1">
        <f t="shared" ref="L74:L81" si="42">+D74-H74</f>
        <v>-30.15</v>
      </c>
      <c r="M74" s="1"/>
      <c r="N74" s="5">
        <f t="shared" ref="N74:N81" si="43">IF(H74=0,0,L74/H74)</f>
        <v>0</v>
      </c>
      <c r="O74" s="14"/>
      <c r="P74" s="1">
        <f>SUM(OSRRefP22_6x_0)</f>
        <v>-30.15</v>
      </c>
      <c r="Q74" s="1"/>
      <c r="R74" s="5">
        <f t="shared" ref="R74:R81" si="44">IF(P$12=0,0,P74/P$12)</f>
        <v>-1.4497487510883332E-4</v>
      </c>
      <c r="S74" s="1"/>
      <c r="T74" s="1">
        <f>SUM(OSRRefT22_6x_0)</f>
        <v>0</v>
      </c>
      <c r="U74" s="1"/>
      <c r="V74" s="5">
        <f t="shared" ref="V74:V81" si="45">IF(T$12=0,0,T74/T$12)</f>
        <v>0</v>
      </c>
      <c r="W74" s="1"/>
      <c r="X74" s="1">
        <f t="shared" ref="X74:X81" si="46">+P74-T74</f>
        <v>-30.15</v>
      </c>
      <c r="Y74" s="1"/>
      <c r="Z74" s="5">
        <f t="shared" ref="Z74:Z81" si="47">IF(T74=0,0,X74/T74)</f>
        <v>0</v>
      </c>
    </row>
    <row r="75" spans="1:26" s="24" customFormat="1" hidden="1" outlineLevel="2" x14ac:dyDescent="0.25">
      <c r="A75" s="29"/>
      <c r="B75" s="11" t="str">
        <f>CONCATENATE("          ", "6279", " - ", "GENERAL EXPENSE")</f>
        <v xml:space="preserve">          6279 - GENERAL EXPENSE</v>
      </c>
      <c r="C75" s="11"/>
      <c r="D75" s="8">
        <v>-30.15</v>
      </c>
      <c r="E75" s="3"/>
      <c r="F75" s="7">
        <f t="shared" si="40"/>
        <v>-1.4497487510883332E-4</v>
      </c>
      <c r="G75" s="3"/>
      <c r="H75" s="8"/>
      <c r="I75" s="3"/>
      <c r="J75" s="7">
        <f t="shared" si="41"/>
        <v>0</v>
      </c>
      <c r="K75" s="3"/>
      <c r="L75" s="8">
        <f t="shared" si="42"/>
        <v>-30.15</v>
      </c>
      <c r="M75" s="3"/>
      <c r="N75" s="7">
        <f t="shared" si="43"/>
        <v>0</v>
      </c>
      <c r="O75" s="11"/>
      <c r="P75" s="8">
        <v>-30.15</v>
      </c>
      <c r="Q75" s="3"/>
      <c r="R75" s="7">
        <f t="shared" si="44"/>
        <v>-1.4497487510883332E-4</v>
      </c>
      <c r="S75" s="3"/>
      <c r="T75" s="8"/>
      <c r="U75" s="3"/>
      <c r="V75" s="7">
        <f t="shared" si="45"/>
        <v>0</v>
      </c>
      <c r="W75" s="3"/>
      <c r="X75" s="8">
        <f t="shared" si="46"/>
        <v>-30.15</v>
      </c>
      <c r="Y75" s="3"/>
      <c r="Z75" s="7">
        <f t="shared" si="47"/>
        <v>0</v>
      </c>
    </row>
    <row r="76" spans="1:26" s="27" customFormat="1" outlineLevel="1" collapsed="1" x14ac:dyDescent="0.25">
      <c r="A76" s="28"/>
      <c r="B76" s="14" t="str">
        <f>CONCATENATE("     ","Inventory Adjustment                              ")</f>
        <v xml:space="preserve">     Inventory Adjustment                              </v>
      </c>
      <c r="C76" s="14"/>
      <c r="D76" s="1">
        <f>SUM(OSRRefD22_7x_0)</f>
        <v>1250</v>
      </c>
      <c r="E76" s="1"/>
      <c r="F76" s="5">
        <f t="shared" si="40"/>
        <v>6.0105669613944165E-3</v>
      </c>
      <c r="G76" s="1"/>
      <c r="H76" s="1">
        <f>SUM(OSRRefH22_7x_0)</f>
        <v>0</v>
      </c>
      <c r="I76" s="1"/>
      <c r="J76" s="5">
        <f t="shared" si="41"/>
        <v>0</v>
      </c>
      <c r="K76" s="1"/>
      <c r="L76" s="1">
        <f t="shared" si="42"/>
        <v>1250</v>
      </c>
      <c r="M76" s="1"/>
      <c r="N76" s="5">
        <f t="shared" si="43"/>
        <v>0</v>
      </c>
      <c r="O76" s="14"/>
      <c r="P76" s="1">
        <f>SUM(OSRRefP22_7x_0)</f>
        <v>1250</v>
      </c>
      <c r="Q76" s="1"/>
      <c r="R76" s="5">
        <f t="shared" si="44"/>
        <v>6.0105669613944165E-3</v>
      </c>
      <c r="S76" s="1"/>
      <c r="T76" s="1">
        <f>SUM(OSRRefT22_7x_0)</f>
        <v>0</v>
      </c>
      <c r="U76" s="1"/>
      <c r="V76" s="5">
        <f t="shared" si="45"/>
        <v>0</v>
      </c>
      <c r="W76" s="1"/>
      <c r="X76" s="1">
        <f t="shared" si="46"/>
        <v>1250</v>
      </c>
      <c r="Y76" s="1"/>
      <c r="Z76" s="5">
        <f t="shared" si="47"/>
        <v>0</v>
      </c>
    </row>
    <row r="77" spans="1:26" s="24" customFormat="1" hidden="1" outlineLevel="2" x14ac:dyDescent="0.25">
      <c r="A77" s="29"/>
      <c r="B77" s="11" t="str">
        <f>CONCATENATE("          ", "6408", " - ", "INVENTORY ADJUSTMENT")</f>
        <v xml:space="preserve">          6408 - INVENTORY ADJUSTMENT</v>
      </c>
      <c r="C77" s="11"/>
      <c r="D77" s="8">
        <v>1250</v>
      </c>
      <c r="E77" s="3"/>
      <c r="F77" s="7">
        <f t="shared" si="40"/>
        <v>6.0105669613944165E-3</v>
      </c>
      <c r="G77" s="3"/>
      <c r="H77" s="8"/>
      <c r="I77" s="3"/>
      <c r="J77" s="7">
        <f t="shared" si="41"/>
        <v>0</v>
      </c>
      <c r="K77" s="3"/>
      <c r="L77" s="8">
        <f t="shared" si="42"/>
        <v>1250</v>
      </c>
      <c r="M77" s="3"/>
      <c r="N77" s="7">
        <f t="shared" si="43"/>
        <v>0</v>
      </c>
      <c r="O77" s="11"/>
      <c r="P77" s="8">
        <v>1250</v>
      </c>
      <c r="Q77" s="3"/>
      <c r="R77" s="7">
        <f t="shared" si="44"/>
        <v>6.0105669613944165E-3</v>
      </c>
      <c r="S77" s="3"/>
      <c r="T77" s="8"/>
      <c r="U77" s="3"/>
      <c r="V77" s="7">
        <f t="shared" si="45"/>
        <v>0</v>
      </c>
      <c r="W77" s="3"/>
      <c r="X77" s="8">
        <f t="shared" si="46"/>
        <v>1250</v>
      </c>
      <c r="Y77" s="3"/>
      <c r="Z77" s="7">
        <f t="shared" si="47"/>
        <v>0</v>
      </c>
    </row>
    <row r="78" spans="1:26" s="27" customFormat="1" outlineLevel="1" collapsed="1" x14ac:dyDescent="0.25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SUM(OSRRefD22_8x_0)</f>
        <v>668.12</v>
      </c>
      <c r="E78" s="1"/>
      <c r="F78" s="5">
        <f t="shared" si="40"/>
        <v>3.2126239985974703E-3</v>
      </c>
      <c r="G78" s="1"/>
      <c r="H78" s="1">
        <f>SUM(OSRRefH22_8x_0)</f>
        <v>675.26</v>
      </c>
      <c r="I78" s="1"/>
      <c r="J78" s="5">
        <f t="shared" si="41"/>
        <v>1.8233644635970709E-3</v>
      </c>
      <c r="K78" s="1"/>
      <c r="L78" s="1">
        <f t="shared" si="42"/>
        <v>-7.1399999999999864</v>
      </c>
      <c r="M78" s="1"/>
      <c r="N78" s="5">
        <f t="shared" si="43"/>
        <v>-1.0573704943281087E-2</v>
      </c>
      <c r="O78" s="14"/>
      <c r="P78" s="1">
        <f>SUM(OSRRefP22_8x_0)</f>
        <v>668.12</v>
      </c>
      <c r="Q78" s="1"/>
      <c r="R78" s="5">
        <f t="shared" si="44"/>
        <v>3.2126239985974703E-3</v>
      </c>
      <c r="S78" s="1"/>
      <c r="T78" s="1">
        <f>SUM(OSRRefT22_8x_0)</f>
        <v>675.26</v>
      </c>
      <c r="U78" s="1"/>
      <c r="V78" s="5">
        <f t="shared" si="45"/>
        <v>1.8233644635970709E-3</v>
      </c>
      <c r="W78" s="1"/>
      <c r="X78" s="1">
        <f t="shared" si="46"/>
        <v>-7.1399999999999864</v>
      </c>
      <c r="Y78" s="1"/>
      <c r="Z78" s="5">
        <f t="shared" si="47"/>
        <v>-1.0573704943281087E-2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8">
        <v>668.12</v>
      </c>
      <c r="E79" s="3"/>
      <c r="F79" s="7">
        <f t="shared" si="40"/>
        <v>3.2126239985974703E-3</v>
      </c>
      <c r="G79" s="3"/>
      <c r="H79" s="8"/>
      <c r="I79" s="3"/>
      <c r="J79" s="7">
        <f t="shared" si="41"/>
        <v>0</v>
      </c>
      <c r="K79" s="3"/>
      <c r="L79" s="8">
        <f t="shared" si="42"/>
        <v>668.12</v>
      </c>
      <c r="M79" s="3"/>
      <c r="N79" s="7">
        <f t="shared" si="43"/>
        <v>0</v>
      </c>
      <c r="O79" s="11"/>
      <c r="P79" s="8">
        <v>668.12</v>
      </c>
      <c r="Q79" s="3"/>
      <c r="R79" s="7">
        <f t="shared" si="44"/>
        <v>3.2126239985974703E-3</v>
      </c>
      <c r="S79" s="3"/>
      <c r="T79" s="8"/>
      <c r="U79" s="3"/>
      <c r="V79" s="7">
        <f t="shared" si="45"/>
        <v>0</v>
      </c>
      <c r="W79" s="3"/>
      <c r="X79" s="8">
        <f t="shared" si="46"/>
        <v>668.12</v>
      </c>
      <c r="Y79" s="3"/>
      <c r="Z79" s="7">
        <f t="shared" si="47"/>
        <v>0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8"/>
      <c r="E80" s="3"/>
      <c r="F80" s="7">
        <f t="shared" si="40"/>
        <v>0</v>
      </c>
      <c r="G80" s="3"/>
      <c r="H80" s="8">
        <v>92.82</v>
      </c>
      <c r="I80" s="3"/>
      <c r="J80" s="7">
        <f t="shared" si="41"/>
        <v>2.5063633194781287E-4</v>
      </c>
      <c r="K80" s="3"/>
      <c r="L80" s="8">
        <f t="shared" si="42"/>
        <v>-92.82</v>
      </c>
      <c r="M80" s="3"/>
      <c r="N80" s="7">
        <f t="shared" si="43"/>
        <v>-1</v>
      </c>
      <c r="O80" s="11"/>
      <c r="P80" s="8"/>
      <c r="Q80" s="3"/>
      <c r="R80" s="7">
        <f t="shared" si="44"/>
        <v>0</v>
      </c>
      <c r="S80" s="3"/>
      <c r="T80" s="8">
        <v>92.82</v>
      </c>
      <c r="U80" s="3"/>
      <c r="V80" s="7">
        <f t="shared" si="45"/>
        <v>2.5063633194781287E-4</v>
      </c>
      <c r="W80" s="3"/>
      <c r="X80" s="8">
        <f t="shared" si="46"/>
        <v>-92.82</v>
      </c>
      <c r="Y80" s="3"/>
      <c r="Z80" s="7">
        <f t="shared" si="47"/>
        <v>-1</v>
      </c>
    </row>
    <row r="81" spans="1:26" s="24" customFormat="1" hidden="1" outlineLevel="2" x14ac:dyDescent="0.25">
      <c r="A81" s="29"/>
      <c r="B81" s="11" t="str">
        <f>CONCATENATE("          ", "6247", " - ", "STORE SUPPLIES")</f>
        <v xml:space="preserve">          6247 - STORE SUPPLIES</v>
      </c>
      <c r="C81" s="11"/>
      <c r="D81" s="8"/>
      <c r="E81" s="3"/>
      <c r="F81" s="7">
        <f t="shared" si="40"/>
        <v>0</v>
      </c>
      <c r="G81" s="3"/>
      <c r="H81" s="8">
        <v>582.44000000000005</v>
      </c>
      <c r="I81" s="3"/>
      <c r="J81" s="7">
        <f t="shared" si="41"/>
        <v>1.5727281316492584E-3</v>
      </c>
      <c r="K81" s="3"/>
      <c r="L81" s="8">
        <f t="shared" si="42"/>
        <v>-582.44000000000005</v>
      </c>
      <c r="M81" s="3"/>
      <c r="N81" s="7">
        <f t="shared" si="43"/>
        <v>-1</v>
      </c>
      <c r="O81" s="11"/>
      <c r="P81" s="8"/>
      <c r="Q81" s="3"/>
      <c r="R81" s="7">
        <f t="shared" si="44"/>
        <v>0</v>
      </c>
      <c r="S81" s="3"/>
      <c r="T81" s="8">
        <v>582.44000000000005</v>
      </c>
      <c r="U81" s="3"/>
      <c r="V81" s="7">
        <f t="shared" si="45"/>
        <v>1.5727281316492584E-3</v>
      </c>
      <c r="W81" s="3"/>
      <c r="X81" s="8">
        <f t="shared" si="46"/>
        <v>-582.44000000000005</v>
      </c>
      <c r="Y81" s="3"/>
      <c r="Z81" s="7">
        <f t="shared" si="47"/>
        <v>-1</v>
      </c>
    </row>
    <row r="82" spans="1:26" s="27" customFormat="1" outlineLevel="1" collapsed="1" x14ac:dyDescent="0.25">
      <c r="A82" s="28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SUM(OSRRefD22_9x_0)</f>
        <v>304.8</v>
      </c>
      <c r="E82" s="1"/>
      <c r="F82" s="5">
        <f t="shared" ref="F82:F83" si="48">IF(D$12=0,0,D82/D$12)</f>
        <v>1.4656166478664147E-3</v>
      </c>
      <c r="G82" s="1"/>
      <c r="H82" s="1">
        <f>SUM(OSRRefH22_9x_0)</f>
        <v>177.05</v>
      </c>
      <c r="I82" s="1"/>
      <c r="J82" s="5">
        <f t="shared" ref="J82:J83" si="49">IF(H$12=0,0,H82/H$12)</f>
        <v>4.7807759719198741E-4</v>
      </c>
      <c r="K82" s="1"/>
      <c r="L82" s="1">
        <f t="shared" ref="L82:L83" si="50">+D82-H82</f>
        <v>127.75</v>
      </c>
      <c r="M82" s="1"/>
      <c r="N82" s="5">
        <f t="shared" ref="N82:N83" si="51">IF(H82=0,0,L82/H82)</f>
        <v>0.72154758542784525</v>
      </c>
      <c r="O82" s="14"/>
      <c r="P82" s="1">
        <f>SUM(OSRRefP22_9x_0)</f>
        <v>304.8</v>
      </c>
      <c r="Q82" s="1"/>
      <c r="R82" s="5">
        <f t="shared" ref="R82:R83" si="52">IF(P$12=0,0,P82/P$12)</f>
        <v>1.4656166478664147E-3</v>
      </c>
      <c r="S82" s="1"/>
      <c r="T82" s="1">
        <f>SUM(OSRRefT22_9x_0)</f>
        <v>177.05</v>
      </c>
      <c r="U82" s="1"/>
      <c r="V82" s="5">
        <f t="shared" ref="V82:V83" si="53">IF(T$12=0,0,T82/T$12)</f>
        <v>4.7807759719198741E-4</v>
      </c>
      <c r="W82" s="1"/>
      <c r="X82" s="1">
        <f t="shared" ref="X82:X83" si="54">+P82-T82</f>
        <v>127.75</v>
      </c>
      <c r="Y82" s="1"/>
      <c r="Z82" s="5">
        <f t="shared" ref="Z82:Z83" si="55">IF(T82=0,0,X82/T82)</f>
        <v>0.72154758542784525</v>
      </c>
    </row>
    <row r="83" spans="1:26" s="24" customFormat="1" hidden="1" outlineLevel="2" x14ac:dyDescent="0.25">
      <c r="A83" s="29"/>
      <c r="B83" s="11" t="str">
        <f>CONCATENATE("          ", "6309", " - ", "TELEPHONE")</f>
        <v xml:space="preserve">          6309 - TELEPHONE</v>
      </c>
      <c r="C83" s="11"/>
      <c r="D83" s="8">
        <v>304.8</v>
      </c>
      <c r="E83" s="3"/>
      <c r="F83" s="7">
        <f t="shared" si="48"/>
        <v>1.4656166478664147E-3</v>
      </c>
      <c r="G83" s="3"/>
      <c r="H83" s="8">
        <v>177.05</v>
      </c>
      <c r="I83" s="3"/>
      <c r="J83" s="7">
        <f t="shared" si="49"/>
        <v>4.7807759719198741E-4</v>
      </c>
      <c r="K83" s="3"/>
      <c r="L83" s="8">
        <f t="shared" si="50"/>
        <v>127.75</v>
      </c>
      <c r="M83" s="3"/>
      <c r="N83" s="7">
        <f t="shared" si="51"/>
        <v>0.72154758542784525</v>
      </c>
      <c r="O83" s="11"/>
      <c r="P83" s="8">
        <v>304.8</v>
      </c>
      <c r="Q83" s="3"/>
      <c r="R83" s="7">
        <f t="shared" si="52"/>
        <v>1.4656166478664147E-3</v>
      </c>
      <c r="S83" s="3"/>
      <c r="T83" s="8">
        <v>177.05</v>
      </c>
      <c r="U83" s="3"/>
      <c r="V83" s="7">
        <f t="shared" si="53"/>
        <v>4.7807759719198741E-4</v>
      </c>
      <c r="W83" s="3"/>
      <c r="X83" s="8">
        <f t="shared" si="54"/>
        <v>127.75</v>
      </c>
      <c r="Y83" s="3"/>
      <c r="Z83" s="7">
        <f t="shared" si="55"/>
        <v>0.72154758542784525</v>
      </c>
    </row>
    <row r="84" spans="1:26" s="61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5" t="s">
        <v>0</v>
      </c>
      <c r="C85" s="10"/>
      <c r="D85" s="4">
        <f>SUM(OSRRefD25x_0)</f>
        <v>-375.36</v>
      </c>
      <c r="E85" s="4"/>
      <c r="F85" s="12">
        <f t="shared" ref="F85:F88" si="56">IF(D$12=0,0,D85/D$12)</f>
        <v>-1.8049011317032067E-3</v>
      </c>
      <c r="G85" s="4"/>
      <c r="H85" s="4">
        <f>SUM(OSRRefH25x_0)</f>
        <v>17.80000000000004</v>
      </c>
      <c r="I85" s="4"/>
      <c r="J85" s="12">
        <f t="shared" ref="J85:J88" si="57">IF(H$12=0,0,H85/H$12)</f>
        <v>4.8064282575641881E-5</v>
      </c>
      <c r="K85" s="4"/>
      <c r="L85" s="4">
        <f t="shared" ref="L85:L88" si="58">+D85-H85</f>
        <v>-393.16000000000008</v>
      </c>
      <c r="M85" s="4"/>
      <c r="N85" s="12">
        <f t="shared" ref="N85:N88" si="59">IF(H85=0,0,L85/H85)</f>
        <v>-22.087640449438158</v>
      </c>
      <c r="O85" s="10"/>
      <c r="P85" s="4">
        <f>SUM(OSRRefP25x_0)</f>
        <v>-375.36</v>
      </c>
      <c r="Q85" s="4"/>
      <c r="R85" s="12">
        <f t="shared" ref="R85:R88" si="60">IF(P$12=0,0,P85/P$12)</f>
        <v>-1.8049011317032067E-3</v>
      </c>
      <c r="S85" s="4"/>
      <c r="T85" s="4">
        <f>SUM(OSRRefT25x_0)</f>
        <v>17.80000000000004</v>
      </c>
      <c r="U85" s="4"/>
      <c r="V85" s="12">
        <f t="shared" ref="V85:V88" si="61">IF(T$12=0,0,T85/T$12)</f>
        <v>4.8064282575641881E-5</v>
      </c>
      <c r="W85" s="4"/>
      <c r="X85" s="4">
        <f t="shared" ref="X85:X88" si="62">+P85-T85</f>
        <v>-393.16000000000008</v>
      </c>
      <c r="Y85" s="4"/>
      <c r="Z85" s="12">
        <f t="shared" ref="Z85:Z88" si="63">IF(T85=0,0,X85/T85)</f>
        <v>-22.087640449438158</v>
      </c>
    </row>
    <row r="86" spans="1:26" s="24" customFormat="1" hidden="1" outlineLevel="1" x14ac:dyDescent="0.25">
      <c r="A86" s="50"/>
      <c r="B86" s="11" t="str">
        <f>CONCATENATE("          ", "4187", " - ", "NON-TAXABLE SALES-COMPUTER REP")</f>
        <v xml:space="preserve">          4187 - NON-TAXABLE SALES-COMPUTER REP</v>
      </c>
      <c r="C86" s="11"/>
      <c r="D86" s="3">
        <f>--19.99</f>
        <v>19.989999999999998</v>
      </c>
      <c r="E86" s="3"/>
      <c r="F86" s="22">
        <f t="shared" si="56"/>
        <v>9.6120986846619499E-5</v>
      </c>
      <c r="G86" s="3"/>
      <c r="H86" s="3">
        <f>--781.89</f>
        <v>781.89</v>
      </c>
      <c r="I86" s="3"/>
      <c r="J86" s="22">
        <f t="shared" si="57"/>
        <v>2.1112911181499182E-3</v>
      </c>
      <c r="K86" s="3"/>
      <c r="L86" s="3">
        <f t="shared" si="58"/>
        <v>-761.9</v>
      </c>
      <c r="M86" s="3"/>
      <c r="N86" s="22">
        <f t="shared" si="59"/>
        <v>-0.97443374387701598</v>
      </c>
      <c r="O86" s="11"/>
      <c r="P86" s="3">
        <f>--19.99</f>
        <v>19.989999999999998</v>
      </c>
      <c r="Q86" s="3"/>
      <c r="R86" s="22">
        <f t="shared" si="60"/>
        <v>9.6120986846619499E-5</v>
      </c>
      <c r="S86" s="3"/>
      <c r="T86" s="3">
        <f>--781.89</f>
        <v>781.89</v>
      </c>
      <c r="U86" s="3"/>
      <c r="V86" s="22">
        <f t="shared" si="61"/>
        <v>2.1112911181499182E-3</v>
      </c>
      <c r="W86" s="3"/>
      <c r="X86" s="3">
        <f t="shared" si="62"/>
        <v>-761.9</v>
      </c>
      <c r="Y86" s="3"/>
      <c r="Z86" s="22">
        <f t="shared" si="63"/>
        <v>-0.97443374387701598</v>
      </c>
    </row>
    <row r="87" spans="1:26" s="24" customFormat="1" hidden="1" outlineLevel="1" x14ac:dyDescent="0.25">
      <c r="A87" s="50"/>
      <c r="B87" s="11" t="str">
        <f>CONCATENATE("          ", "4387", " - ", "SALES RETURN NON TAXABLE-COMPU")</f>
        <v xml:space="preserve">          4387 - SALES RETURN NON TAXABLE-COMPU</v>
      </c>
      <c r="C87" s="11"/>
      <c r="D87" s="3">
        <f>0</f>
        <v>0</v>
      </c>
      <c r="E87" s="3"/>
      <c r="F87" s="22">
        <f t="shared" si="56"/>
        <v>0</v>
      </c>
      <c r="G87" s="3"/>
      <c r="H87" s="3">
        <f>-630.8</f>
        <v>-630.79999999999995</v>
      </c>
      <c r="I87" s="3"/>
      <c r="J87" s="22">
        <f t="shared" si="57"/>
        <v>-1.703311766781732E-3</v>
      </c>
      <c r="K87" s="3"/>
      <c r="L87" s="3">
        <f t="shared" si="58"/>
        <v>630.79999999999995</v>
      </c>
      <c r="M87" s="3"/>
      <c r="N87" s="22">
        <f t="shared" si="59"/>
        <v>-1</v>
      </c>
      <c r="O87" s="11"/>
      <c r="P87" s="3">
        <f>0</f>
        <v>0</v>
      </c>
      <c r="Q87" s="3"/>
      <c r="R87" s="22">
        <f t="shared" si="60"/>
        <v>0</v>
      </c>
      <c r="S87" s="3"/>
      <c r="T87" s="3">
        <f>-630.8</f>
        <v>-630.79999999999995</v>
      </c>
      <c r="U87" s="3"/>
      <c r="V87" s="22">
        <f t="shared" si="61"/>
        <v>-1.703311766781732E-3</v>
      </c>
      <c r="W87" s="3"/>
      <c r="X87" s="3">
        <f t="shared" si="62"/>
        <v>630.79999999999995</v>
      </c>
      <c r="Y87" s="3"/>
      <c r="Z87" s="22">
        <f t="shared" si="63"/>
        <v>-1</v>
      </c>
    </row>
    <row r="88" spans="1:26" s="24" customFormat="1" hidden="1" outlineLevel="1" x14ac:dyDescent="0.25">
      <c r="A88" s="50"/>
      <c r="B88" s="11" t="str">
        <f>CONCATENATE("          ", "9150", " - ", "MISC. INCOME")</f>
        <v xml:space="preserve">          9150 - MISC. INCOME</v>
      </c>
      <c r="C88" s="11"/>
      <c r="D88" s="3">
        <f>-395.35</f>
        <v>-395.35</v>
      </c>
      <c r="E88" s="3"/>
      <c r="F88" s="22">
        <f t="shared" si="56"/>
        <v>-1.9010221185498262E-3</v>
      </c>
      <c r="G88" s="3"/>
      <c r="H88" s="3">
        <f>-133.29</f>
        <v>-133.29</v>
      </c>
      <c r="I88" s="3"/>
      <c r="J88" s="22">
        <f t="shared" si="57"/>
        <v>-3.5991506879254445E-4</v>
      </c>
      <c r="K88" s="3"/>
      <c r="L88" s="3">
        <f t="shared" si="58"/>
        <v>-262.06000000000006</v>
      </c>
      <c r="M88" s="3"/>
      <c r="N88" s="22">
        <f t="shared" si="59"/>
        <v>1.966088978918149</v>
      </c>
      <c r="O88" s="11"/>
      <c r="P88" s="3">
        <f>-395.35</f>
        <v>-395.35</v>
      </c>
      <c r="Q88" s="3"/>
      <c r="R88" s="22">
        <f t="shared" si="60"/>
        <v>-1.9010221185498262E-3</v>
      </c>
      <c r="S88" s="3"/>
      <c r="T88" s="3">
        <f>-133.29</f>
        <v>-133.29</v>
      </c>
      <c r="U88" s="3"/>
      <c r="V88" s="22">
        <f t="shared" si="61"/>
        <v>-3.5991506879254445E-4</v>
      </c>
      <c r="W88" s="3"/>
      <c r="X88" s="3">
        <f t="shared" si="62"/>
        <v>-262.06000000000006</v>
      </c>
      <c r="Y88" s="3"/>
      <c r="Z88" s="22">
        <f t="shared" si="63"/>
        <v>1.966088978918149</v>
      </c>
    </row>
    <row r="89" spans="1:26" x14ac:dyDescent="0.25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25">
      <c r="A90" s="10"/>
      <c r="B90" s="26" t="s">
        <v>3</v>
      </c>
      <c r="C90" s="26"/>
      <c r="D90" s="19">
        <f>+D46-D48+D85</f>
        <v>11856.049999999947</v>
      </c>
      <c r="E90" s="13"/>
      <c r="F90" s="20">
        <f>IF(D$12=0,0,D90/D$12)</f>
        <v>5.700926593811196E-2</v>
      </c>
      <c r="G90" s="13"/>
      <c r="H90" s="19">
        <f>+H46-H48+H85</f>
        <v>3006.0500000000511</v>
      </c>
      <c r="I90" s="13"/>
      <c r="J90" s="20">
        <f>IF(H$12=0,0,H90/H$12)</f>
        <v>8.1170582380062032E-3</v>
      </c>
      <c r="K90" s="16"/>
      <c r="L90" s="19">
        <f>+D90-H90</f>
        <v>8849.9999999998945</v>
      </c>
      <c r="M90" s="16"/>
      <c r="N90" s="20">
        <f>IF(H90=0,0,L90/H90)</f>
        <v>2.944062806673124</v>
      </c>
      <c r="O90" s="25"/>
      <c r="P90" s="19">
        <f>+P46-P48+P85</f>
        <v>11856.049999999947</v>
      </c>
      <c r="Q90" s="13"/>
      <c r="R90" s="20">
        <f>IF(P$12=0,0,P90/P$12)</f>
        <v>5.700926593811196E-2</v>
      </c>
      <c r="S90" s="13"/>
      <c r="T90" s="19">
        <f>+T46-T48+T85</f>
        <v>3006.0500000000511</v>
      </c>
      <c r="U90" s="13"/>
      <c r="V90" s="20">
        <f>IF(T$12=0,0,T90/T$12)</f>
        <v>8.1170582380062032E-3</v>
      </c>
      <c r="W90" s="16"/>
      <c r="X90" s="19">
        <f>+P90-T90</f>
        <v>8849.9999999998945</v>
      </c>
      <c r="Y90" s="16"/>
      <c r="Z90" s="20">
        <f>IF(T90=0,0,X90/T90)</f>
        <v>2.944062806673124</v>
      </c>
    </row>
    <row r="91" spans="1:26" x14ac:dyDescent="0.25">
      <c r="A91" s="9"/>
      <c r="B91" s="10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25">
      <c r="A92" s="51"/>
      <c r="B92" s="10" t="s">
        <v>13</v>
      </c>
      <c r="C92" s="10"/>
      <c r="D92" s="4">
        <v>100199.48000000001</v>
      </c>
      <c r="E92" s="4"/>
      <c r="F92" s="12">
        <f>IF(D$12=0,0,D92/D$12)</f>
        <v>0.48180454722952054</v>
      </c>
      <c r="G92" s="4"/>
      <c r="H92" s="4">
        <v>77004.05</v>
      </c>
      <c r="I92" s="4"/>
      <c r="J92" s="12">
        <f>IF(H$12=0,0,H92/H$12)</f>
        <v>0.207929461722969</v>
      </c>
      <c r="K92" s="4"/>
      <c r="L92" s="4">
        <f>+D92-H92</f>
        <v>23195.430000000008</v>
      </c>
      <c r="M92" s="4"/>
      <c r="N92" s="12">
        <f>IF(H92=0,0,L92/H92)</f>
        <v>0.30122350707527729</v>
      </c>
      <c r="O92" s="10"/>
      <c r="P92" s="4">
        <v>100199.48000000001</v>
      </c>
      <c r="Q92" s="4"/>
      <c r="R92" s="12">
        <f>IF(P$12=0,0,P92/P$12)</f>
        <v>0.48180454722952054</v>
      </c>
      <c r="S92" s="4"/>
      <c r="T92" s="4">
        <v>77004.05</v>
      </c>
      <c r="U92" s="4"/>
      <c r="V92" s="12">
        <f>IF(T$12=0,0,T92/T$12)</f>
        <v>0.207929461722969</v>
      </c>
      <c r="W92" s="4"/>
      <c r="X92" s="4">
        <f>+P92-T92</f>
        <v>23195.430000000008</v>
      </c>
      <c r="Y92" s="4"/>
      <c r="Z92" s="12">
        <f>IF(T92=0,0,X92/T92)</f>
        <v>0.30122350707527729</v>
      </c>
    </row>
    <row r="93" spans="1:26" x14ac:dyDescent="0.25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ht="15.75" thickBot="1" x14ac:dyDescent="0.3">
      <c r="A94" s="10"/>
      <c r="B94" s="26" t="s">
        <v>4</v>
      </c>
      <c r="C94" s="26"/>
      <c r="D94" s="35">
        <f>+D90-D92</f>
        <v>-88343.430000000066</v>
      </c>
      <c r="E94" s="13"/>
      <c r="F94" s="30">
        <f>IF(D$12=0,0,D94/D$12)</f>
        <v>-0.42479528129140859</v>
      </c>
      <c r="G94" s="13"/>
      <c r="H94" s="35">
        <f>+H90-H92</f>
        <v>-73997.999999999956</v>
      </c>
      <c r="I94" s="13"/>
      <c r="J94" s="30">
        <f>IF(H$12=0,0,H94/H$12)</f>
        <v>-0.19981240348496279</v>
      </c>
      <c r="K94" s="16"/>
      <c r="L94" s="35">
        <f>D94-H94</f>
        <v>-14345.430000000109</v>
      </c>
      <c r="M94" s="16"/>
      <c r="N94" s="30">
        <f>IF(H94=0,0,L94/H94)</f>
        <v>0.19386240168653365</v>
      </c>
      <c r="O94" s="25"/>
      <c r="P94" s="35">
        <f>+P90-P92</f>
        <v>-88343.430000000066</v>
      </c>
      <c r="Q94" s="13"/>
      <c r="R94" s="30">
        <f>IF(P$12=0,0,P94/P$12)</f>
        <v>-0.42479528129140859</v>
      </c>
      <c r="S94" s="13"/>
      <c r="T94" s="35">
        <f>+T90-T92</f>
        <v>-73997.999999999956</v>
      </c>
      <c r="U94" s="13"/>
      <c r="V94" s="30">
        <f>IF(T$12=0,0,T94/T$12)</f>
        <v>-0.19981240348496279</v>
      </c>
      <c r="W94" s="16"/>
      <c r="X94" s="35">
        <f>P94-T94</f>
        <v>-14345.430000000109</v>
      </c>
      <c r="Y94" s="16"/>
      <c r="Z94" s="30">
        <f>IF(T94=0,0,X94/T94)</f>
        <v>0.19386240168653365</v>
      </c>
    </row>
    <row r="95" spans="1:26" ht="15.75" thickTop="1" x14ac:dyDescent="0.25">
      <c r="A95" s="9"/>
      <c r="B95" s="9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x14ac:dyDescent="0.25">
      <c r="A96" s="9"/>
      <c r="B96" s="9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ht="15.75" thickBot="1" x14ac:dyDescent="0.3">
      <c r="A97" s="10"/>
      <c r="B97" s="26" t="s">
        <v>5</v>
      </c>
      <c r="C97" s="26"/>
      <c r="D97" s="31">
        <f>SUM(D94:D96)</f>
        <v>-88343.430000000066</v>
      </c>
      <c r="E97" s="13"/>
      <c r="F97" s="32">
        <f>IF(D$12=0,0,D97/D$12)</f>
        <v>-0.42479528129140859</v>
      </c>
      <c r="G97" s="13"/>
      <c r="H97" s="31">
        <f>SUM(H94:H96)</f>
        <v>-73997.999999999956</v>
      </c>
      <c r="I97" s="13"/>
      <c r="J97" s="32">
        <f>IF(H$12=0,0,H97/H$12)</f>
        <v>-0.19981240348496279</v>
      </c>
      <c r="K97" s="16"/>
      <c r="L97" s="31">
        <f>+D97-H97</f>
        <v>-14345.430000000109</v>
      </c>
      <c r="M97" s="16"/>
      <c r="N97" s="32">
        <f>IF(H97=0,0,L97/H97)</f>
        <v>0.19386240168653365</v>
      </c>
      <c r="O97" s="25"/>
      <c r="P97" s="31">
        <f>SUM(P94:P96)</f>
        <v>-88343.430000000066</v>
      </c>
      <c r="Q97" s="13"/>
      <c r="R97" s="32">
        <f>IF(P$12=0,0,P97/P$12)</f>
        <v>-0.42479528129140859</v>
      </c>
      <c r="S97" s="13"/>
      <c r="T97" s="31">
        <f>SUM(T94:T96)</f>
        <v>-73997.999999999956</v>
      </c>
      <c r="U97" s="13"/>
      <c r="V97" s="32">
        <f>IF(T$12=0,0,T97/T$12)</f>
        <v>-0.19981240348496279</v>
      </c>
      <c r="W97" s="16"/>
      <c r="X97" s="31">
        <f>+P97-T97</f>
        <v>-14345.430000000109</v>
      </c>
      <c r="Y97" s="16"/>
      <c r="Z97" s="32">
        <f>IF(T97=0,0,X97/T97)</f>
        <v>0.19386240168653365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25">
      <c r="A99" s="9"/>
      <c r="B99" s="59">
        <v>44109.414304548613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62" t="s">
        <v>313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","320", " - ", "Customer Service (old)")</f>
        <v>Department 320 - Customer Service (old)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2154.3200000000002</v>
      </c>
      <c r="I12" s="4"/>
      <c r="J12" s="12"/>
      <c r="K12" s="4"/>
      <c r="L12" s="4">
        <f t="shared" ref="L12:L15" si="0">+D12-H12</f>
        <v>-2154.3200000000002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2154.3200000000002</v>
      </c>
      <c r="U12" s="4"/>
      <c r="V12" s="12"/>
      <c r="W12" s="4"/>
      <c r="X12" s="4">
        <f t="shared" ref="X12:X15" si="2">+P12-T12</f>
        <v>-2154.3200000000002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50"/>
      <c r="B13" s="11" t="str">
        <f>CONCATENATE("          ", "4092", " - ", "TAXABLE SALES-GRAD MERCH")</f>
        <v xml:space="preserve">          4092 - TAXABLE SALES-GRAD MERCH</v>
      </c>
      <c r="C13" s="11"/>
      <c r="D13" s="3">
        <f t="shared" ref="D13:D15" si="4">0</f>
        <v>0</v>
      </c>
      <c r="E13" s="3"/>
      <c r="F13" s="22"/>
      <c r="G13" s="3"/>
      <c r="H13" s="3">
        <f>--2128.63</f>
        <v>2128.63</v>
      </c>
      <c r="I13" s="3"/>
      <c r="J13" s="22"/>
      <c r="K13" s="3"/>
      <c r="L13" s="3">
        <f t="shared" si="0"/>
        <v>-2128.63</v>
      </c>
      <c r="M13" s="3"/>
      <c r="N13" s="22">
        <f t="shared" si="1"/>
        <v>-1</v>
      </c>
      <c r="O13" s="11"/>
      <c r="P13" s="3">
        <f t="shared" ref="P13:P15" si="5">0</f>
        <v>0</v>
      </c>
      <c r="Q13" s="3"/>
      <c r="R13" s="22"/>
      <c r="S13" s="3"/>
      <c r="T13" s="3">
        <f>--2128.63</f>
        <v>2128.63</v>
      </c>
      <c r="U13" s="3"/>
      <c r="V13" s="22"/>
      <c r="W13" s="3"/>
      <c r="X13" s="3">
        <f t="shared" si="2"/>
        <v>-2128.63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"4095", " - ", "TAXABLE SALES-CUSTOMER SERVICE")</f>
        <v xml:space="preserve">          4095 - TAXABLE SALES-CUSTOMER SERVICE</v>
      </c>
      <c r="C14" s="11"/>
      <c r="D14" s="3">
        <f t="shared" si="4"/>
        <v>0</v>
      </c>
      <c r="E14" s="3"/>
      <c r="F14" s="22"/>
      <c r="G14" s="3"/>
      <c r="H14" s="3">
        <f>--35.64</f>
        <v>35.64</v>
      </c>
      <c r="I14" s="3"/>
      <c r="J14" s="22"/>
      <c r="K14" s="3"/>
      <c r="L14" s="3">
        <f t="shared" si="0"/>
        <v>-35.64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--35.64</f>
        <v>35.64</v>
      </c>
      <c r="U14" s="3"/>
      <c r="V14" s="22"/>
      <c r="W14" s="3"/>
      <c r="X14" s="3">
        <f t="shared" si="2"/>
        <v>-35.64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"4292", " - ", "SALES RETURN TAXABLE-GRAD MERC")</f>
        <v xml:space="preserve">          4292 - SALES RETURN TAXABLE-GRAD MERC</v>
      </c>
      <c r="C15" s="11"/>
      <c r="D15" s="3">
        <f t="shared" si="4"/>
        <v>0</v>
      </c>
      <c r="E15" s="3"/>
      <c r="F15" s="22"/>
      <c r="G15" s="3"/>
      <c r="H15" s="3">
        <f>-9.95</f>
        <v>-9.9499999999999993</v>
      </c>
      <c r="I15" s="3"/>
      <c r="J15" s="22"/>
      <c r="K15" s="3"/>
      <c r="L15" s="3">
        <f t="shared" si="0"/>
        <v>9.9499999999999993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-9.95</f>
        <v>-9.9499999999999993</v>
      </c>
      <c r="U15" s="3"/>
      <c r="V15" s="22"/>
      <c r="W15" s="3"/>
      <c r="X15" s="3">
        <f t="shared" si="2"/>
        <v>9.9499999999999993</v>
      </c>
      <c r="Y15" s="3"/>
      <c r="Z15" s="22">
        <f t="shared" si="3"/>
        <v>-1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21" si="6">IF(D$12=0,0,D17/D$12)</f>
        <v>0</v>
      </c>
      <c r="G17" s="4"/>
      <c r="H17" s="4">
        <f>SUM(OSRRefH16x_0)</f>
        <v>1044.4499999999998</v>
      </c>
      <c r="I17" s="4"/>
      <c r="J17" s="12">
        <f t="shared" ref="J17:J21" si="7">IF(H$12=0,0,H17/H$12)</f>
        <v>0.48481655464369255</v>
      </c>
      <c r="K17" s="4"/>
      <c r="L17" s="4">
        <f t="shared" ref="L17:L21" si="8">+D17-H17</f>
        <v>-1044.4499999999998</v>
      </c>
      <c r="M17" s="4"/>
      <c r="N17" s="12">
        <f t="shared" ref="N17:N21" si="9">IF(H17=0,0,L17/H17)</f>
        <v>-1</v>
      </c>
      <c r="O17" s="10"/>
      <c r="P17" s="4">
        <f>SUM(OSRRefP16x_0)</f>
        <v>0</v>
      </c>
      <c r="Q17" s="4"/>
      <c r="R17" s="12">
        <f t="shared" ref="R17:R21" si="10">IF(P$12=0,0,P17/P$12)</f>
        <v>0</v>
      </c>
      <c r="S17" s="4"/>
      <c r="T17" s="4">
        <f>SUM(OSRRefT16x_0)</f>
        <v>1044.4499999999998</v>
      </c>
      <c r="U17" s="4"/>
      <c r="V17" s="12">
        <f t="shared" ref="V17:V21" si="11">IF(T$12=0,0,T17/T$12)</f>
        <v>0.48481655464369255</v>
      </c>
      <c r="W17" s="4"/>
      <c r="X17" s="4">
        <f t="shared" ref="X17:X21" si="12">+P17-T17</f>
        <v>-1044.4499999999998</v>
      </c>
      <c r="Y17" s="4"/>
      <c r="Z17" s="12">
        <f t="shared" ref="Z17:Z21" si="13">IF(T17=0,0,X17/T17)</f>
        <v>-1</v>
      </c>
    </row>
    <row r="18" spans="1:26" s="24" customFormat="1" hidden="1" outlineLevel="1" x14ac:dyDescent="0.25">
      <c r="A18" s="50"/>
      <c r="B18" s="11" t="str">
        <f>CONCATENATE("          ", "5092", " - ", "PURCHASES @ COST-GRAD MERCH")</f>
        <v xml:space="preserve">          5092 - PURCHASES @ COST-GRAD MERCH</v>
      </c>
      <c r="C18" s="11"/>
      <c r="D18" s="3"/>
      <c r="E18" s="3"/>
      <c r="F18" s="22">
        <f t="shared" si="6"/>
        <v>0</v>
      </c>
      <c r="G18" s="3"/>
      <c r="H18" s="3">
        <v>1228.5999999999999</v>
      </c>
      <c r="I18" s="3"/>
      <c r="J18" s="22">
        <f t="shared" si="7"/>
        <v>0.57029596345946743</v>
      </c>
      <c r="K18" s="3"/>
      <c r="L18" s="3">
        <f t="shared" si="8"/>
        <v>-1228.5999999999999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1228.5999999999999</v>
      </c>
      <c r="U18" s="3"/>
      <c r="V18" s="22">
        <f t="shared" si="11"/>
        <v>0.57029596345946743</v>
      </c>
      <c r="W18" s="3"/>
      <c r="X18" s="3">
        <f t="shared" si="12"/>
        <v>-1228.5999999999999</v>
      </c>
      <c r="Y18" s="3"/>
      <c r="Z18" s="22">
        <f t="shared" si="13"/>
        <v>-1</v>
      </c>
    </row>
    <row r="19" spans="1:26" s="24" customFormat="1" hidden="1" outlineLevel="1" x14ac:dyDescent="0.25">
      <c r="A19" s="50"/>
      <c r="B19" s="11" t="str">
        <f>CONCATENATE("          ", "5095", " - ", "PURCHASES @ COST-CUSTOMER SERV")</f>
        <v xml:space="preserve">          5095 - PURCHASES @ COST-CUSTOMER SERV</v>
      </c>
      <c r="C19" s="11"/>
      <c r="D19" s="3"/>
      <c r="E19" s="3"/>
      <c r="F19" s="22">
        <f t="shared" si="6"/>
        <v>0</v>
      </c>
      <c r="G19" s="3"/>
      <c r="H19" s="3">
        <v>11.85</v>
      </c>
      <c r="I19" s="3"/>
      <c r="J19" s="22">
        <f t="shared" si="7"/>
        <v>5.5005755876564293E-3</v>
      </c>
      <c r="K19" s="3"/>
      <c r="L19" s="3">
        <f t="shared" si="8"/>
        <v>-11.85</v>
      </c>
      <c r="M19" s="3"/>
      <c r="N19" s="22">
        <f t="shared" si="9"/>
        <v>-1</v>
      </c>
      <c r="O19" s="11"/>
      <c r="P19" s="3"/>
      <c r="Q19" s="3"/>
      <c r="R19" s="22">
        <f t="shared" si="10"/>
        <v>0</v>
      </c>
      <c r="S19" s="3"/>
      <c r="T19" s="3">
        <v>11.85</v>
      </c>
      <c r="U19" s="3"/>
      <c r="V19" s="22">
        <f t="shared" si="11"/>
        <v>5.5005755876564293E-3</v>
      </c>
      <c r="W19" s="3"/>
      <c r="X19" s="3">
        <f t="shared" si="12"/>
        <v>-11.85</v>
      </c>
      <c r="Y19" s="3"/>
      <c r="Z19" s="22">
        <f t="shared" si="13"/>
        <v>-1</v>
      </c>
    </row>
    <row r="20" spans="1:26" s="24" customFormat="1" hidden="1" outlineLevel="1" x14ac:dyDescent="0.25">
      <c r="A20" s="50"/>
      <c r="B20" s="11" t="str">
        <f>CONCATENATE("          ", "5200", " - ", "PURCHASES OFFSET")</f>
        <v xml:space="preserve">          5200 - PURCHASES OFFSET</v>
      </c>
      <c r="C20" s="11"/>
      <c r="D20" s="3"/>
      <c r="E20" s="3"/>
      <c r="F20" s="22">
        <f t="shared" si="6"/>
        <v>0</v>
      </c>
      <c r="G20" s="3"/>
      <c r="H20" s="3">
        <v>-1241</v>
      </c>
      <c r="I20" s="3"/>
      <c r="J20" s="22">
        <f t="shared" si="7"/>
        <v>-0.57605184002376619</v>
      </c>
      <c r="K20" s="3"/>
      <c r="L20" s="3">
        <f t="shared" si="8"/>
        <v>1241</v>
      </c>
      <c r="M20" s="3"/>
      <c r="N20" s="22">
        <f t="shared" si="9"/>
        <v>-1</v>
      </c>
      <c r="O20" s="11"/>
      <c r="P20" s="3"/>
      <c r="Q20" s="3"/>
      <c r="R20" s="22">
        <f t="shared" si="10"/>
        <v>0</v>
      </c>
      <c r="S20" s="3"/>
      <c r="T20" s="3">
        <v>-1241</v>
      </c>
      <c r="U20" s="3"/>
      <c r="V20" s="22">
        <f t="shared" si="11"/>
        <v>-0.57605184002376619</v>
      </c>
      <c r="W20" s="3"/>
      <c r="X20" s="3">
        <f t="shared" si="12"/>
        <v>1241</v>
      </c>
      <c r="Y20" s="3"/>
      <c r="Z20" s="22">
        <f t="shared" si="13"/>
        <v>-1</v>
      </c>
    </row>
    <row r="21" spans="1:26" s="24" customFormat="1" hidden="1" outlineLevel="1" x14ac:dyDescent="0.25">
      <c r="A21" s="50"/>
      <c r="B21" s="11" t="str">
        <f>CONCATENATE("          ", "5300", " - ", "COG$ OFFSET")</f>
        <v xml:space="preserve">          5300 - COG$ OFFSET</v>
      </c>
      <c r="C21" s="11"/>
      <c r="D21" s="3"/>
      <c r="E21" s="3"/>
      <c r="F21" s="22">
        <f t="shared" si="6"/>
        <v>0</v>
      </c>
      <c r="G21" s="3"/>
      <c r="H21" s="3">
        <v>1045</v>
      </c>
      <c r="I21" s="3"/>
      <c r="J21" s="22">
        <f t="shared" si="7"/>
        <v>0.48507185562033489</v>
      </c>
      <c r="K21" s="3"/>
      <c r="L21" s="3">
        <f t="shared" si="8"/>
        <v>-1045</v>
      </c>
      <c r="M21" s="3"/>
      <c r="N21" s="22">
        <f t="shared" si="9"/>
        <v>-1</v>
      </c>
      <c r="O21" s="11"/>
      <c r="P21" s="3"/>
      <c r="Q21" s="3"/>
      <c r="R21" s="22">
        <f t="shared" si="10"/>
        <v>0</v>
      </c>
      <c r="S21" s="3"/>
      <c r="T21" s="3">
        <v>1045</v>
      </c>
      <c r="U21" s="3"/>
      <c r="V21" s="22">
        <f t="shared" si="11"/>
        <v>0.48507185562033489</v>
      </c>
      <c r="W21" s="3"/>
      <c r="X21" s="3">
        <f t="shared" si="12"/>
        <v>-1045</v>
      </c>
      <c r="Y21" s="3"/>
      <c r="Z21" s="22">
        <f t="shared" si="13"/>
        <v>-1</v>
      </c>
    </row>
    <row r="22" spans="1:26" x14ac:dyDescent="0.25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25">
      <c r="A23" s="10"/>
      <c r="B23" s="26" t="s">
        <v>6</v>
      </c>
      <c r="C23" s="26"/>
      <c r="D23" s="19">
        <f>D12-D17</f>
        <v>0</v>
      </c>
      <c r="E23" s="13"/>
      <c r="F23" s="20">
        <f>IF(D$12=0,0,D23/D$12)</f>
        <v>0</v>
      </c>
      <c r="G23" s="13"/>
      <c r="H23" s="19">
        <f>H12-H17</f>
        <v>1109.8700000000003</v>
      </c>
      <c r="I23" s="13"/>
      <c r="J23" s="20">
        <f>IF(H$12=0,0,H23/H$12)</f>
        <v>0.51518344535630745</v>
      </c>
      <c r="K23" s="16"/>
      <c r="L23" s="19">
        <f>+D23-H23</f>
        <v>-1109.8700000000003</v>
      </c>
      <c r="M23" s="16"/>
      <c r="N23" s="20">
        <f>IF(H23=0,0,L23/H23)</f>
        <v>-1</v>
      </c>
      <c r="O23" s="25"/>
      <c r="P23" s="19">
        <f>P12-P17</f>
        <v>0</v>
      </c>
      <c r="Q23" s="13"/>
      <c r="R23" s="20">
        <f>IF(P$12=0,0,P23/P$12)</f>
        <v>0</v>
      </c>
      <c r="S23" s="13"/>
      <c r="T23" s="19">
        <f>T12-T17</f>
        <v>1109.8700000000003</v>
      </c>
      <c r="U23" s="13"/>
      <c r="V23" s="20">
        <f>IF(T$12=0,0,T23/T$12)</f>
        <v>0.51518344535630745</v>
      </c>
      <c r="W23" s="16"/>
      <c r="X23" s="19">
        <f>+P23-T23</f>
        <v>-1109.8700000000003</v>
      </c>
      <c r="Y23" s="16"/>
      <c r="Z23" s="20">
        <f>IF(T23=0,0,X23/T23)</f>
        <v>-1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0</v>
      </c>
      <c r="E25" s="21"/>
      <c r="F25" s="34">
        <f t="shared" ref="F25:F33" si="14">IF(D$12=0,0,D25/D$12)</f>
        <v>0</v>
      </c>
      <c r="G25" s="21"/>
      <c r="H25" s="21">
        <f>SUM(OSRRefH22x_0)</f>
        <v>826.42000000000007</v>
      </c>
      <c r="I25" s="21"/>
      <c r="J25" s="34">
        <f t="shared" ref="J25:J33" si="15">IF(H$12=0,0,H25/H$12)</f>
        <v>0.38361060566675331</v>
      </c>
      <c r="K25" s="4"/>
      <c r="L25" s="21">
        <f t="shared" ref="L25:L33" si="16">+D25-H25</f>
        <v>-826.42000000000007</v>
      </c>
      <c r="M25" s="4"/>
      <c r="N25" s="34">
        <f t="shared" ref="N25:N33" si="17">IF(H25=0,0,L25/H25)</f>
        <v>-1</v>
      </c>
      <c r="O25" s="10"/>
      <c r="P25" s="21">
        <f>SUM(OSRRefP22x_0)</f>
        <v>0</v>
      </c>
      <c r="Q25" s="21"/>
      <c r="R25" s="34">
        <f t="shared" ref="R25:R33" si="18">IF(P$12=0,0,P25/P$12)</f>
        <v>0</v>
      </c>
      <c r="S25" s="21"/>
      <c r="T25" s="21">
        <f>SUM(OSRRefT22x_0)</f>
        <v>826.42000000000007</v>
      </c>
      <c r="U25" s="21"/>
      <c r="V25" s="34">
        <f t="shared" ref="V25:V33" si="19">IF(T$12=0,0,T25/T$12)</f>
        <v>0.38361060566675331</v>
      </c>
      <c r="W25" s="4"/>
      <c r="X25" s="21">
        <f t="shared" ref="X25:X33" si="20">+P25-T25</f>
        <v>-826.42000000000007</v>
      </c>
      <c r="Y25" s="4"/>
      <c r="Z25" s="34">
        <f t="shared" ref="Z25:Z33" si="21">IF(T25=0,0,X25/T25)</f>
        <v>-1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4"/>
        <v>0</v>
      </c>
      <c r="G26" s="1"/>
      <c r="H26" s="1">
        <f>SUM(OSRRefH22_0x_0)</f>
        <v>413.47</v>
      </c>
      <c r="I26" s="1"/>
      <c r="J26" s="5">
        <f t="shared" si="15"/>
        <v>0.19192599056778936</v>
      </c>
      <c r="K26" s="1"/>
      <c r="L26" s="1">
        <f t="shared" si="16"/>
        <v>-413.47</v>
      </c>
      <c r="M26" s="1"/>
      <c r="N26" s="5">
        <f t="shared" si="17"/>
        <v>-1</v>
      </c>
      <c r="O26" s="14"/>
      <c r="P26" s="1">
        <f>SUM(OSRRefP22_0x_0)</f>
        <v>0</v>
      </c>
      <c r="Q26" s="1"/>
      <c r="R26" s="5">
        <f t="shared" si="18"/>
        <v>0</v>
      </c>
      <c r="S26" s="1"/>
      <c r="T26" s="1">
        <f>SUM(OSRRefT22_0x_0)</f>
        <v>413.47</v>
      </c>
      <c r="U26" s="1"/>
      <c r="V26" s="5">
        <f t="shared" si="19"/>
        <v>0.19192599056778936</v>
      </c>
      <c r="W26" s="1"/>
      <c r="X26" s="1">
        <f t="shared" si="20"/>
        <v>-413.47</v>
      </c>
      <c r="Y26" s="1"/>
      <c r="Z26" s="5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8"/>
      <c r="E27" s="3"/>
      <c r="F27" s="7">
        <f t="shared" si="14"/>
        <v>0</v>
      </c>
      <c r="G27" s="3"/>
      <c r="H27" s="8">
        <v>73.44</v>
      </c>
      <c r="I27" s="3"/>
      <c r="J27" s="7">
        <f t="shared" si="15"/>
        <v>3.4089643135653012E-2</v>
      </c>
      <c r="K27" s="3"/>
      <c r="L27" s="8">
        <f t="shared" si="16"/>
        <v>-73.44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73.44</v>
      </c>
      <c r="U27" s="3"/>
      <c r="V27" s="7">
        <f t="shared" si="19"/>
        <v>3.4089643135653012E-2</v>
      </c>
      <c r="W27" s="3"/>
      <c r="X27" s="8">
        <f t="shared" si="20"/>
        <v>-73.44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8"/>
      <c r="E28" s="3"/>
      <c r="F28" s="7">
        <f t="shared" si="14"/>
        <v>0</v>
      </c>
      <c r="G28" s="3"/>
      <c r="H28" s="8">
        <v>18.239999999999998</v>
      </c>
      <c r="I28" s="3"/>
      <c r="J28" s="7">
        <f t="shared" si="15"/>
        <v>8.4667087526458448E-3</v>
      </c>
      <c r="K28" s="3"/>
      <c r="L28" s="8">
        <f t="shared" si="16"/>
        <v>-18.239999999999998</v>
      </c>
      <c r="M28" s="3"/>
      <c r="N28" s="7">
        <f t="shared" si="17"/>
        <v>-1</v>
      </c>
      <c r="O28" s="11"/>
      <c r="P28" s="8"/>
      <c r="Q28" s="3"/>
      <c r="R28" s="7">
        <f t="shared" si="18"/>
        <v>0</v>
      </c>
      <c r="S28" s="3"/>
      <c r="T28" s="8">
        <v>18.239999999999998</v>
      </c>
      <c r="U28" s="3"/>
      <c r="V28" s="7">
        <f t="shared" si="19"/>
        <v>8.4667087526458448E-3</v>
      </c>
      <c r="W28" s="3"/>
      <c r="X28" s="8">
        <f t="shared" si="20"/>
        <v>-18.239999999999998</v>
      </c>
      <c r="Y28" s="3"/>
      <c r="Z28" s="7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8"/>
      <c r="E29" s="3"/>
      <c r="F29" s="7">
        <f t="shared" si="14"/>
        <v>0</v>
      </c>
      <c r="G29" s="3"/>
      <c r="H29" s="8">
        <v>152.63</v>
      </c>
      <c r="I29" s="3"/>
      <c r="J29" s="7">
        <f t="shared" si="15"/>
        <v>7.0848341936202597E-2</v>
      </c>
      <c r="K29" s="3"/>
      <c r="L29" s="8">
        <f t="shared" si="16"/>
        <v>-152.63</v>
      </c>
      <c r="M29" s="3"/>
      <c r="N29" s="7">
        <f t="shared" si="17"/>
        <v>-1</v>
      </c>
      <c r="O29" s="11"/>
      <c r="P29" s="8"/>
      <c r="Q29" s="3"/>
      <c r="R29" s="7">
        <f t="shared" si="18"/>
        <v>0</v>
      </c>
      <c r="S29" s="3"/>
      <c r="T29" s="8">
        <v>152.63</v>
      </c>
      <c r="U29" s="3"/>
      <c r="V29" s="7">
        <f t="shared" si="19"/>
        <v>7.0848341936202597E-2</v>
      </c>
      <c r="W29" s="3"/>
      <c r="X29" s="8">
        <f t="shared" si="20"/>
        <v>-152.63</v>
      </c>
      <c r="Y29" s="3"/>
      <c r="Z29" s="7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8"/>
      <c r="E30" s="3"/>
      <c r="F30" s="7">
        <f t="shared" si="14"/>
        <v>0</v>
      </c>
      <c r="G30" s="3"/>
      <c r="H30" s="8">
        <v>2.5</v>
      </c>
      <c r="I30" s="3"/>
      <c r="J30" s="7">
        <f t="shared" si="15"/>
        <v>1.1604589847376433E-3</v>
      </c>
      <c r="K30" s="3"/>
      <c r="L30" s="8">
        <f t="shared" si="16"/>
        <v>-2.5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2.5</v>
      </c>
      <c r="U30" s="3"/>
      <c r="V30" s="7">
        <f t="shared" si="19"/>
        <v>1.1604589847376433E-3</v>
      </c>
      <c r="W30" s="3"/>
      <c r="X30" s="8">
        <f t="shared" si="20"/>
        <v>-2.5</v>
      </c>
      <c r="Y30" s="3"/>
      <c r="Z30" s="7">
        <f t="shared" si="21"/>
        <v>-1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8"/>
      <c r="E31" s="3"/>
      <c r="F31" s="7">
        <f t="shared" si="14"/>
        <v>0</v>
      </c>
      <c r="G31" s="3"/>
      <c r="H31" s="8">
        <v>67.06</v>
      </c>
      <c r="I31" s="3"/>
      <c r="J31" s="7">
        <f t="shared" si="15"/>
        <v>3.1128151806602545E-2</v>
      </c>
      <c r="K31" s="3"/>
      <c r="L31" s="8">
        <f t="shared" si="16"/>
        <v>-67.06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67.06</v>
      </c>
      <c r="U31" s="3"/>
      <c r="V31" s="7">
        <f t="shared" si="19"/>
        <v>3.1128151806602545E-2</v>
      </c>
      <c r="W31" s="3"/>
      <c r="X31" s="8">
        <f t="shared" si="20"/>
        <v>-67.06</v>
      </c>
      <c r="Y31" s="3"/>
      <c r="Z31" s="7">
        <f t="shared" si="21"/>
        <v>-1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8"/>
      <c r="E32" s="3"/>
      <c r="F32" s="7">
        <f t="shared" si="14"/>
        <v>0</v>
      </c>
      <c r="G32" s="3"/>
      <c r="H32" s="8">
        <v>55.32</v>
      </c>
      <c r="I32" s="3"/>
      <c r="J32" s="7">
        <f t="shared" si="15"/>
        <v>2.5678636414274571E-2</v>
      </c>
      <c r="K32" s="3"/>
      <c r="L32" s="8">
        <f t="shared" si="16"/>
        <v>-55.32</v>
      </c>
      <c r="M32" s="3"/>
      <c r="N32" s="7">
        <f t="shared" si="17"/>
        <v>-1</v>
      </c>
      <c r="O32" s="11"/>
      <c r="P32" s="8"/>
      <c r="Q32" s="3"/>
      <c r="R32" s="7">
        <f t="shared" si="18"/>
        <v>0</v>
      </c>
      <c r="S32" s="3"/>
      <c r="T32" s="8">
        <v>55.32</v>
      </c>
      <c r="U32" s="3"/>
      <c r="V32" s="7">
        <f t="shared" si="19"/>
        <v>2.5678636414274571E-2</v>
      </c>
      <c r="W32" s="3"/>
      <c r="X32" s="8">
        <f t="shared" si="20"/>
        <v>-55.32</v>
      </c>
      <c r="Y32" s="3"/>
      <c r="Z32" s="7">
        <f t="shared" si="21"/>
        <v>-1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8"/>
      <c r="E33" s="3"/>
      <c r="F33" s="7">
        <f t="shared" si="14"/>
        <v>0</v>
      </c>
      <c r="G33" s="3"/>
      <c r="H33" s="8">
        <v>44.28</v>
      </c>
      <c r="I33" s="3"/>
      <c r="J33" s="7">
        <f t="shared" si="15"/>
        <v>2.055404953767314E-2</v>
      </c>
      <c r="K33" s="3"/>
      <c r="L33" s="8">
        <f t="shared" si="16"/>
        <v>-44.28</v>
      </c>
      <c r="M33" s="3"/>
      <c r="N33" s="7">
        <f t="shared" si="17"/>
        <v>-1</v>
      </c>
      <c r="O33" s="11"/>
      <c r="P33" s="8"/>
      <c r="Q33" s="3"/>
      <c r="R33" s="7">
        <f t="shared" si="18"/>
        <v>0</v>
      </c>
      <c r="S33" s="3"/>
      <c r="T33" s="8">
        <v>44.28</v>
      </c>
      <c r="U33" s="3"/>
      <c r="V33" s="7">
        <f t="shared" si="19"/>
        <v>2.055404953767314E-2</v>
      </c>
      <c r="W33" s="3"/>
      <c r="X33" s="8">
        <f t="shared" si="20"/>
        <v>-44.28</v>
      </c>
      <c r="Y33" s="3"/>
      <c r="Z33" s="7">
        <f t="shared" si="21"/>
        <v>-1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0</v>
      </c>
      <c r="E34" s="1"/>
      <c r="F34" s="5">
        <f t="shared" ref="F34:F36" si="22">IF(D$12=0,0,D34/D$12)</f>
        <v>0</v>
      </c>
      <c r="G34" s="1"/>
      <c r="H34" s="1">
        <f>SUM(OSRRefH22_1x_0)</f>
        <v>1315</v>
      </c>
      <c r="I34" s="1"/>
      <c r="J34" s="5">
        <f t="shared" ref="J34:J36" si="23">IF(H$12=0,0,H34/H$12)</f>
        <v>0.61040142597200042</v>
      </c>
      <c r="K34" s="1"/>
      <c r="L34" s="1">
        <f t="shared" ref="L34:L36" si="24">+D34-H34</f>
        <v>-1315</v>
      </c>
      <c r="M34" s="1"/>
      <c r="N34" s="5">
        <f t="shared" ref="N34:N36" si="25">IF(H34=0,0,L34/H34)</f>
        <v>-1</v>
      </c>
      <c r="O34" s="14"/>
      <c r="P34" s="1">
        <f>SUM(OSRRefP22_1x_0)</f>
        <v>0</v>
      </c>
      <c r="Q34" s="1"/>
      <c r="R34" s="5">
        <f t="shared" ref="R34:R36" si="26">IF(P$12=0,0,P34/P$12)</f>
        <v>0</v>
      </c>
      <c r="S34" s="1"/>
      <c r="T34" s="1">
        <f>SUM(OSRRefT22_1x_0)</f>
        <v>1315</v>
      </c>
      <c r="U34" s="1"/>
      <c r="V34" s="5">
        <f t="shared" ref="V34:V36" si="27">IF(T$12=0,0,T34/T$12)</f>
        <v>0.61040142597200042</v>
      </c>
      <c r="W34" s="1"/>
      <c r="X34" s="1">
        <f t="shared" ref="X34:X36" si="28">+P34-T34</f>
        <v>-1315</v>
      </c>
      <c r="Y34" s="1"/>
      <c r="Z34" s="5">
        <f t="shared" ref="Z34:Z36" si="29">IF(T34=0,0,X34/T34)</f>
        <v>-1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8"/>
      <c r="E35" s="3"/>
      <c r="F35" s="7">
        <f t="shared" si="22"/>
        <v>0</v>
      </c>
      <c r="G35" s="3"/>
      <c r="H35" s="8">
        <v>1200</v>
      </c>
      <c r="I35" s="3"/>
      <c r="J35" s="7">
        <f t="shared" si="23"/>
        <v>0.55702031267406882</v>
      </c>
      <c r="K35" s="3"/>
      <c r="L35" s="8">
        <f t="shared" si="24"/>
        <v>-1200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1200</v>
      </c>
      <c r="U35" s="3"/>
      <c r="V35" s="7">
        <f t="shared" si="27"/>
        <v>0.55702031267406882</v>
      </c>
      <c r="W35" s="3"/>
      <c r="X35" s="8">
        <f t="shared" si="28"/>
        <v>-1200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22"/>
        <v>0</v>
      </c>
      <c r="G36" s="3"/>
      <c r="H36" s="8">
        <v>115</v>
      </c>
      <c r="I36" s="3"/>
      <c r="J36" s="7">
        <f t="shared" si="23"/>
        <v>5.3381113297931597E-2</v>
      </c>
      <c r="K36" s="3"/>
      <c r="L36" s="8">
        <f t="shared" si="24"/>
        <v>-115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115</v>
      </c>
      <c r="U36" s="3"/>
      <c r="V36" s="7">
        <f t="shared" si="27"/>
        <v>5.3381113297931597E-2</v>
      </c>
      <c r="W36" s="3"/>
      <c r="X36" s="8">
        <f t="shared" si="28"/>
        <v>-115</v>
      </c>
      <c r="Y36" s="3"/>
      <c r="Z36" s="7">
        <f t="shared" si="29"/>
        <v>-1</v>
      </c>
    </row>
    <row r="37" spans="1:26" s="27" customFormat="1" outlineLevel="1" collapsed="1" x14ac:dyDescent="0.25">
      <c r="A37" s="28"/>
      <c r="B37" s="14" t="str">
        <f>CONCATENATE("     ","Discounts and Markdowns                           ")</f>
        <v xml:space="preserve">     Discounts and Markdowns                           </v>
      </c>
      <c r="C37" s="14"/>
      <c r="D37" s="1">
        <f>SUM(OSRRefD22_2x_0)</f>
        <v>0</v>
      </c>
      <c r="E37" s="1"/>
      <c r="F37" s="5">
        <f t="shared" ref="F37:F41" si="30">IF(D$12=0,0,D37/D$12)</f>
        <v>0</v>
      </c>
      <c r="G37" s="1"/>
      <c r="H37" s="1">
        <f>SUM(OSRRefH22_2x_0)</f>
        <v>5.25</v>
      </c>
      <c r="I37" s="1"/>
      <c r="J37" s="5">
        <f t="shared" ref="J37:J41" si="31">IF(H$12=0,0,H37/H$12)</f>
        <v>2.4369638679490511E-3</v>
      </c>
      <c r="K37" s="1"/>
      <c r="L37" s="1">
        <f t="shared" ref="L37:L41" si="32">+D37-H37</f>
        <v>-5.25</v>
      </c>
      <c r="M37" s="1"/>
      <c r="N37" s="5">
        <f t="shared" ref="N37:N41" si="33">IF(H37=0,0,L37/H37)</f>
        <v>-1</v>
      </c>
      <c r="O37" s="14"/>
      <c r="P37" s="1">
        <f>SUM(OSRRefP22_2x_0)</f>
        <v>0</v>
      </c>
      <c r="Q37" s="1"/>
      <c r="R37" s="5">
        <f t="shared" ref="R37:R41" si="34">IF(P$12=0,0,P37/P$12)</f>
        <v>0</v>
      </c>
      <c r="S37" s="1"/>
      <c r="T37" s="1">
        <f>SUM(OSRRefT22_2x_0)</f>
        <v>5.25</v>
      </c>
      <c r="U37" s="1"/>
      <c r="V37" s="5">
        <f t="shared" ref="V37:V41" si="35">IF(T$12=0,0,T37/T$12)</f>
        <v>2.4369638679490511E-3</v>
      </c>
      <c r="W37" s="1"/>
      <c r="X37" s="1">
        <f t="shared" ref="X37:X41" si="36">+P37-T37</f>
        <v>-5.25</v>
      </c>
      <c r="Y37" s="1"/>
      <c r="Z37" s="5">
        <f t="shared" ref="Z37:Z41" si="37">IF(T37=0,0,X37/T37)</f>
        <v>-1</v>
      </c>
    </row>
    <row r="38" spans="1:26" s="24" customFormat="1" hidden="1" outlineLevel="2" x14ac:dyDescent="0.25">
      <c r="A38" s="29"/>
      <c r="B38" s="11" t="str">
        <f>CONCATENATE("          ", "6382", " - ", "DISCOUNTS/MARK DOWNS")</f>
        <v xml:space="preserve">          6382 - DISCOUNTS/MARK DOWNS</v>
      </c>
      <c r="C38" s="11"/>
      <c r="D38" s="8"/>
      <c r="E38" s="3"/>
      <c r="F38" s="7">
        <f t="shared" si="30"/>
        <v>0</v>
      </c>
      <c r="G38" s="3"/>
      <c r="H38" s="8">
        <v>5.25</v>
      </c>
      <c r="I38" s="3"/>
      <c r="J38" s="7">
        <f t="shared" si="31"/>
        <v>2.4369638679490511E-3</v>
      </c>
      <c r="K38" s="3"/>
      <c r="L38" s="8">
        <f t="shared" si="32"/>
        <v>-5.25</v>
      </c>
      <c r="M38" s="3"/>
      <c r="N38" s="7">
        <f t="shared" si="33"/>
        <v>-1</v>
      </c>
      <c r="O38" s="11"/>
      <c r="P38" s="8"/>
      <c r="Q38" s="3"/>
      <c r="R38" s="7">
        <f t="shared" si="34"/>
        <v>0</v>
      </c>
      <c r="S38" s="3"/>
      <c r="T38" s="8">
        <v>5.25</v>
      </c>
      <c r="U38" s="3"/>
      <c r="V38" s="7">
        <f t="shared" si="35"/>
        <v>2.4369638679490511E-3</v>
      </c>
      <c r="W38" s="3"/>
      <c r="X38" s="8">
        <f t="shared" si="36"/>
        <v>-5.25</v>
      </c>
      <c r="Y38" s="3"/>
      <c r="Z38" s="7">
        <f t="shared" si="37"/>
        <v>-1</v>
      </c>
    </row>
    <row r="39" spans="1:26" s="27" customFormat="1" outlineLevel="1" collapsed="1" x14ac:dyDescent="0.25">
      <c r="A39" s="28"/>
      <c r="B39" s="14" t="str">
        <f>CONCATENATE("     ","Freight out/Postage                               ")</f>
        <v xml:space="preserve">     Freight out/Postage 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-2596.42</v>
      </c>
      <c r="I39" s="1"/>
      <c r="J39" s="5">
        <f t="shared" si="31"/>
        <v>-1.2052155668610047</v>
      </c>
      <c r="K39" s="1"/>
      <c r="L39" s="1">
        <f t="shared" si="32"/>
        <v>2596.42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-2596.42</v>
      </c>
      <c r="U39" s="1"/>
      <c r="V39" s="5">
        <f t="shared" si="35"/>
        <v>-1.2052155668610047</v>
      </c>
      <c r="W39" s="1"/>
      <c r="X39" s="1">
        <f t="shared" si="36"/>
        <v>2596.42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"6305", " - ", "FREIGHT OUT")</f>
        <v xml:space="preserve">          6305 - FREIGHT OUT</v>
      </c>
      <c r="C40" s="11"/>
      <c r="D40" s="8"/>
      <c r="E40" s="3"/>
      <c r="F40" s="7">
        <f t="shared" si="30"/>
        <v>0</v>
      </c>
      <c r="G40" s="3"/>
      <c r="H40" s="8">
        <v>1053.1300000000001</v>
      </c>
      <c r="I40" s="3"/>
      <c r="J40" s="7">
        <f t="shared" si="31"/>
        <v>0.48884566823870179</v>
      </c>
      <c r="K40" s="3"/>
      <c r="L40" s="8">
        <f t="shared" si="32"/>
        <v>-1053.1300000000001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1053.1300000000001</v>
      </c>
      <c r="U40" s="3"/>
      <c r="V40" s="7">
        <f t="shared" si="35"/>
        <v>0.48884566823870179</v>
      </c>
      <c r="W40" s="3"/>
      <c r="X40" s="8">
        <f t="shared" si="36"/>
        <v>-1053.1300000000001</v>
      </c>
      <c r="Y40" s="3"/>
      <c r="Z40" s="7">
        <f t="shared" si="37"/>
        <v>-1</v>
      </c>
    </row>
    <row r="41" spans="1:26" s="24" customFormat="1" hidden="1" outlineLevel="2" x14ac:dyDescent="0.25">
      <c r="A41" s="29"/>
      <c r="B41" s="11" t="str">
        <f>CONCATENATE("          ", "6307", " - ", "POSTAGE")</f>
        <v xml:space="preserve">          6307 - POSTAGE</v>
      </c>
      <c r="C41" s="11"/>
      <c r="D41" s="8"/>
      <c r="E41" s="3"/>
      <c r="F41" s="7">
        <f t="shared" si="30"/>
        <v>0</v>
      </c>
      <c r="G41" s="3"/>
      <c r="H41" s="8">
        <v>-3649.55</v>
      </c>
      <c r="I41" s="3"/>
      <c r="J41" s="7">
        <f t="shared" si="31"/>
        <v>-1.6940612350997066</v>
      </c>
      <c r="K41" s="3"/>
      <c r="L41" s="8">
        <f t="shared" si="32"/>
        <v>3649.55</v>
      </c>
      <c r="M41" s="3"/>
      <c r="N41" s="7">
        <f t="shared" si="33"/>
        <v>-1</v>
      </c>
      <c r="O41" s="11"/>
      <c r="P41" s="8"/>
      <c r="Q41" s="3"/>
      <c r="R41" s="7">
        <f t="shared" si="34"/>
        <v>0</v>
      </c>
      <c r="S41" s="3"/>
      <c r="T41" s="8">
        <v>-3649.55</v>
      </c>
      <c r="U41" s="3"/>
      <c r="V41" s="7">
        <f t="shared" si="35"/>
        <v>-1.6940612350997066</v>
      </c>
      <c r="W41" s="3"/>
      <c r="X41" s="8">
        <f t="shared" si="36"/>
        <v>3649.55</v>
      </c>
      <c r="Y41" s="3"/>
      <c r="Z41" s="7">
        <f t="shared" si="37"/>
        <v>-1</v>
      </c>
    </row>
    <row r="42" spans="1:26" s="27" customFormat="1" outlineLevel="1" collapsed="1" x14ac:dyDescent="0.25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SUM(OSRRefD22_4x_0)</f>
        <v>0</v>
      </c>
      <c r="E42" s="1"/>
      <c r="F42" s="5">
        <f t="shared" ref="F42:F45" si="38">IF(D$12=0,0,D42/D$12)</f>
        <v>0</v>
      </c>
      <c r="G42" s="1"/>
      <c r="H42" s="1">
        <f>SUM(OSRRefH22_4x_0)</f>
        <v>1585.32</v>
      </c>
      <c r="I42" s="1"/>
      <c r="J42" s="5">
        <f t="shared" ref="J42:J45" si="39">IF(H$12=0,0,H42/H$12)</f>
        <v>0.73587953507371229</v>
      </c>
      <c r="K42" s="1"/>
      <c r="L42" s="1">
        <f t="shared" ref="L42:L45" si="40">+D42-H42</f>
        <v>-1585.32</v>
      </c>
      <c r="M42" s="1"/>
      <c r="N42" s="5">
        <f t="shared" ref="N42:N45" si="41">IF(H42=0,0,L42/H42)</f>
        <v>-1</v>
      </c>
      <c r="O42" s="14"/>
      <c r="P42" s="1">
        <f>SUM(OSRRefP22_4x_0)</f>
        <v>0</v>
      </c>
      <c r="Q42" s="1"/>
      <c r="R42" s="5">
        <f t="shared" ref="R42:R45" si="42">IF(P$12=0,0,P42/P$12)</f>
        <v>0</v>
      </c>
      <c r="S42" s="1"/>
      <c r="T42" s="1">
        <f>SUM(OSRRefT22_4x_0)</f>
        <v>1585.32</v>
      </c>
      <c r="U42" s="1"/>
      <c r="V42" s="5">
        <f t="shared" ref="V42:V45" si="43">IF(T$12=0,0,T42/T$12)</f>
        <v>0.73587953507371229</v>
      </c>
      <c r="W42" s="1"/>
      <c r="X42" s="1">
        <f t="shared" ref="X42:X45" si="44">+P42-T42</f>
        <v>-1585.32</v>
      </c>
      <c r="Y42" s="1"/>
      <c r="Z42" s="5">
        <f t="shared" ref="Z42:Z45" si="45">IF(T42=0,0,X42/T42)</f>
        <v>-1</v>
      </c>
    </row>
    <row r="43" spans="1:26" s="24" customFormat="1" hidden="1" outlineLevel="2" x14ac:dyDescent="0.25">
      <c r="A43" s="29"/>
      <c r="B43" s="11" t="str">
        <f>CONCATENATE("          ", "6247", " - ", "STORE SUPPLIES")</f>
        <v xml:space="preserve">          6247 - STORE SUPPLIES</v>
      </c>
      <c r="C43" s="11"/>
      <c r="D43" s="8"/>
      <c r="E43" s="3"/>
      <c r="F43" s="7">
        <f t="shared" si="38"/>
        <v>0</v>
      </c>
      <c r="G43" s="3"/>
      <c r="H43" s="8">
        <v>1585.32</v>
      </c>
      <c r="I43" s="3"/>
      <c r="J43" s="7">
        <f t="shared" si="39"/>
        <v>0.73587953507371229</v>
      </c>
      <c r="K43" s="3"/>
      <c r="L43" s="8">
        <f t="shared" si="40"/>
        <v>-1585.32</v>
      </c>
      <c r="M43" s="3"/>
      <c r="N43" s="7">
        <f t="shared" si="41"/>
        <v>-1</v>
      </c>
      <c r="O43" s="11"/>
      <c r="P43" s="8"/>
      <c r="Q43" s="3"/>
      <c r="R43" s="7">
        <f t="shared" si="42"/>
        <v>0</v>
      </c>
      <c r="S43" s="3"/>
      <c r="T43" s="8">
        <v>1585.32</v>
      </c>
      <c r="U43" s="3"/>
      <c r="V43" s="7">
        <f t="shared" si="43"/>
        <v>0.73587953507371229</v>
      </c>
      <c r="W43" s="3"/>
      <c r="X43" s="8">
        <f t="shared" si="44"/>
        <v>-1585.32</v>
      </c>
      <c r="Y43" s="3"/>
      <c r="Z43" s="7">
        <f t="shared" si="45"/>
        <v>-1</v>
      </c>
    </row>
    <row r="44" spans="1:26" s="27" customFormat="1" outlineLevel="1" collapsed="1" x14ac:dyDescent="0.25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SUM(OSRRefD22_5x_0)</f>
        <v>0</v>
      </c>
      <c r="E44" s="1"/>
      <c r="F44" s="5">
        <f t="shared" si="38"/>
        <v>0</v>
      </c>
      <c r="G44" s="1"/>
      <c r="H44" s="1">
        <f>SUM(OSRRefH22_5x_0)</f>
        <v>103.8</v>
      </c>
      <c r="I44" s="1"/>
      <c r="J44" s="5">
        <f t="shared" si="39"/>
        <v>4.818225704630695E-2</v>
      </c>
      <c r="K44" s="1"/>
      <c r="L44" s="1">
        <f t="shared" si="40"/>
        <v>-103.8</v>
      </c>
      <c r="M44" s="1"/>
      <c r="N44" s="5">
        <f t="shared" si="41"/>
        <v>-1</v>
      </c>
      <c r="O44" s="14"/>
      <c r="P44" s="1">
        <f>SUM(OSRRefP22_5x_0)</f>
        <v>0</v>
      </c>
      <c r="Q44" s="1"/>
      <c r="R44" s="5">
        <f t="shared" si="42"/>
        <v>0</v>
      </c>
      <c r="S44" s="1"/>
      <c r="T44" s="1">
        <f>SUM(OSRRefT22_5x_0)</f>
        <v>103.8</v>
      </c>
      <c r="U44" s="1"/>
      <c r="V44" s="5">
        <f t="shared" si="43"/>
        <v>4.818225704630695E-2</v>
      </c>
      <c r="W44" s="1"/>
      <c r="X44" s="1">
        <f t="shared" si="44"/>
        <v>-103.8</v>
      </c>
      <c r="Y44" s="1"/>
      <c r="Z44" s="5">
        <f t="shared" si="45"/>
        <v>-1</v>
      </c>
    </row>
    <row r="45" spans="1:26" s="24" customFormat="1" hidden="1" outlineLevel="2" x14ac:dyDescent="0.25">
      <c r="A45" s="29"/>
      <c r="B45" s="11" t="str">
        <f>CONCATENATE("          ", "6309", " - ", "TELEPHONE")</f>
        <v xml:space="preserve">          6309 - TELEPHONE</v>
      </c>
      <c r="C45" s="11"/>
      <c r="D45" s="8"/>
      <c r="E45" s="3"/>
      <c r="F45" s="7">
        <f t="shared" si="38"/>
        <v>0</v>
      </c>
      <c r="G45" s="3"/>
      <c r="H45" s="8">
        <v>103.8</v>
      </c>
      <c r="I45" s="3"/>
      <c r="J45" s="7">
        <f t="shared" si="39"/>
        <v>4.818225704630695E-2</v>
      </c>
      <c r="K45" s="3"/>
      <c r="L45" s="8">
        <f t="shared" si="40"/>
        <v>-103.8</v>
      </c>
      <c r="M45" s="3"/>
      <c r="N45" s="7">
        <f t="shared" si="41"/>
        <v>-1</v>
      </c>
      <c r="O45" s="11"/>
      <c r="P45" s="8"/>
      <c r="Q45" s="3"/>
      <c r="R45" s="7">
        <f t="shared" si="42"/>
        <v>0</v>
      </c>
      <c r="S45" s="3"/>
      <c r="T45" s="8">
        <v>103.8</v>
      </c>
      <c r="U45" s="3"/>
      <c r="V45" s="7">
        <f t="shared" si="43"/>
        <v>4.818225704630695E-2</v>
      </c>
      <c r="W45" s="3"/>
      <c r="X45" s="8">
        <f t="shared" si="44"/>
        <v>-103.8</v>
      </c>
      <c r="Y45" s="3"/>
      <c r="Z45" s="7">
        <f t="shared" si="45"/>
        <v>-1</v>
      </c>
    </row>
    <row r="46" spans="1:26" s="61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collapsed="1" x14ac:dyDescent="0.25">
      <c r="A47" s="10"/>
      <c r="B47" s="25" t="s">
        <v>0</v>
      </c>
      <c r="C47" s="10"/>
      <c r="D47" s="4">
        <f>SUM(OSRRefD25x_0)</f>
        <v>0</v>
      </c>
      <c r="E47" s="4"/>
      <c r="F47" s="12">
        <f t="shared" ref="F47:F49" si="46">IF(D$12=0,0,D47/D$12)</f>
        <v>0</v>
      </c>
      <c r="G47" s="4"/>
      <c r="H47" s="4">
        <f>SUM(OSRRefH25x_0)</f>
        <v>329.7</v>
      </c>
      <c r="I47" s="4"/>
      <c r="J47" s="12">
        <f t="shared" ref="J47:J49" si="47">IF(H$12=0,0,H47/H$12)</f>
        <v>0.1530413309072004</v>
      </c>
      <c r="K47" s="4"/>
      <c r="L47" s="4">
        <f t="shared" ref="L47:L49" si="48">+D47-H47</f>
        <v>-329.7</v>
      </c>
      <c r="M47" s="4"/>
      <c r="N47" s="12">
        <f t="shared" ref="N47:N49" si="49">IF(H47=0,0,L47/H47)</f>
        <v>-1</v>
      </c>
      <c r="O47" s="10"/>
      <c r="P47" s="4">
        <f>SUM(OSRRefP25x_0)</f>
        <v>0</v>
      </c>
      <c r="Q47" s="4"/>
      <c r="R47" s="12">
        <f t="shared" ref="R47:R49" si="50">IF(P$12=0,0,P47/P$12)</f>
        <v>0</v>
      </c>
      <c r="S47" s="4"/>
      <c r="T47" s="4">
        <f>SUM(OSRRefT25x_0)</f>
        <v>329.7</v>
      </c>
      <c r="U47" s="4"/>
      <c r="V47" s="12">
        <f t="shared" ref="V47:V49" si="51">IF(T$12=0,0,T47/T$12)</f>
        <v>0.1530413309072004</v>
      </c>
      <c r="W47" s="4"/>
      <c r="X47" s="4">
        <f t="shared" ref="X47:X49" si="52">+P47-T47</f>
        <v>-329.7</v>
      </c>
      <c r="Y47" s="4"/>
      <c r="Z47" s="12">
        <f t="shared" ref="Z47:Z49" si="53">IF(T47=0,0,X47/T47)</f>
        <v>-1</v>
      </c>
    </row>
    <row r="48" spans="1:26" s="24" customFormat="1" hidden="1" outlineLevel="1" x14ac:dyDescent="0.25">
      <c r="A48" s="50"/>
      <c r="B48" s="11" t="str">
        <f>CONCATENATE("          ", "4098", " - ", "TAXABLE SALES-GRAD RENTALS")</f>
        <v xml:space="preserve">          4098 - TAXABLE SALES-GRAD RENTALS</v>
      </c>
      <c r="C48" s="11"/>
      <c r="D48" s="3">
        <f t="shared" ref="D48:D49" si="54">0</f>
        <v>0</v>
      </c>
      <c r="E48" s="3"/>
      <c r="F48" s="22">
        <f t="shared" si="46"/>
        <v>0</v>
      </c>
      <c r="G48" s="3"/>
      <c r="H48" s="3">
        <f>--74.7</f>
        <v>74.7</v>
      </c>
      <c r="I48" s="3"/>
      <c r="J48" s="22">
        <f t="shared" si="47"/>
        <v>3.4674514463960783E-2</v>
      </c>
      <c r="K48" s="3"/>
      <c r="L48" s="3">
        <f t="shared" si="48"/>
        <v>-74.7</v>
      </c>
      <c r="M48" s="3"/>
      <c r="N48" s="22">
        <f t="shared" si="49"/>
        <v>-1</v>
      </c>
      <c r="O48" s="11"/>
      <c r="P48" s="3">
        <f t="shared" ref="P48:P49" si="55">0</f>
        <v>0</v>
      </c>
      <c r="Q48" s="3"/>
      <c r="R48" s="22">
        <f t="shared" si="50"/>
        <v>0</v>
      </c>
      <c r="S48" s="3"/>
      <c r="T48" s="3">
        <f>--74.7</f>
        <v>74.7</v>
      </c>
      <c r="U48" s="3"/>
      <c r="V48" s="22">
        <f t="shared" si="51"/>
        <v>3.4674514463960783E-2</v>
      </c>
      <c r="W48" s="3"/>
      <c r="X48" s="3">
        <f t="shared" si="52"/>
        <v>-74.7</v>
      </c>
      <c r="Y48" s="3"/>
      <c r="Z48" s="22">
        <f t="shared" si="53"/>
        <v>-1</v>
      </c>
    </row>
    <row r="49" spans="1:26" s="24" customFormat="1" hidden="1" outlineLevel="1" x14ac:dyDescent="0.25">
      <c r="A49" s="50"/>
      <c r="B49" s="11" t="str">
        <f>CONCATENATE("          ", "4198", " - ", "NON-TAXABLE SALES-GRAD RENTALS")</f>
        <v xml:space="preserve">          4198 - NON-TAXABLE SALES-GRAD RENTALS</v>
      </c>
      <c r="C49" s="11"/>
      <c r="D49" s="3">
        <f t="shared" si="54"/>
        <v>0</v>
      </c>
      <c r="E49" s="3"/>
      <c r="F49" s="22">
        <f t="shared" si="46"/>
        <v>0</v>
      </c>
      <c r="G49" s="3"/>
      <c r="H49" s="3">
        <f>--255</f>
        <v>255</v>
      </c>
      <c r="I49" s="3"/>
      <c r="J49" s="22">
        <f t="shared" si="47"/>
        <v>0.11836681644323963</v>
      </c>
      <c r="K49" s="3"/>
      <c r="L49" s="3">
        <f t="shared" si="48"/>
        <v>-255</v>
      </c>
      <c r="M49" s="3"/>
      <c r="N49" s="22">
        <f t="shared" si="49"/>
        <v>-1</v>
      </c>
      <c r="O49" s="11"/>
      <c r="P49" s="3">
        <f t="shared" si="55"/>
        <v>0</v>
      </c>
      <c r="Q49" s="3"/>
      <c r="R49" s="22">
        <f t="shared" si="50"/>
        <v>0</v>
      </c>
      <c r="S49" s="3"/>
      <c r="T49" s="3">
        <f>--255</f>
        <v>255</v>
      </c>
      <c r="U49" s="3"/>
      <c r="V49" s="22">
        <f t="shared" si="51"/>
        <v>0.11836681644323963</v>
      </c>
      <c r="W49" s="3"/>
      <c r="X49" s="3">
        <f t="shared" si="52"/>
        <v>-255</v>
      </c>
      <c r="Y49" s="3"/>
      <c r="Z49" s="22">
        <f t="shared" si="53"/>
        <v>-1</v>
      </c>
    </row>
    <row r="50" spans="1:26" x14ac:dyDescent="0.25">
      <c r="A50" s="9"/>
      <c r="B50" s="10"/>
      <c r="C50" s="10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O50" s="10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x14ac:dyDescent="0.25">
      <c r="A51" s="10"/>
      <c r="B51" s="26" t="s">
        <v>3</v>
      </c>
      <c r="C51" s="26"/>
      <c r="D51" s="19">
        <f>+D23-D25+D47</f>
        <v>0</v>
      </c>
      <c r="E51" s="13"/>
      <c r="F51" s="20">
        <f>IF(D$12=0,0,D51/D$12)</f>
        <v>0</v>
      </c>
      <c r="G51" s="13"/>
      <c r="H51" s="19">
        <f>+H23-H25+H47</f>
        <v>613.15000000000032</v>
      </c>
      <c r="I51" s="13"/>
      <c r="J51" s="20">
        <f>IF(H$12=0,0,H51/H$12)</f>
        <v>0.28461417059675453</v>
      </c>
      <c r="K51" s="16"/>
      <c r="L51" s="19">
        <f>+D51-H51</f>
        <v>-613.15000000000032</v>
      </c>
      <c r="M51" s="16"/>
      <c r="N51" s="20">
        <f>IF(H51=0,0,L51/H51)</f>
        <v>-1</v>
      </c>
      <c r="O51" s="25"/>
      <c r="P51" s="19">
        <f>+P23-P25+P47</f>
        <v>0</v>
      </c>
      <c r="Q51" s="13"/>
      <c r="R51" s="20">
        <f>IF(P$12=0,0,P51/P$12)</f>
        <v>0</v>
      </c>
      <c r="S51" s="13"/>
      <c r="T51" s="19">
        <f>+T23-T25+T47</f>
        <v>613.15000000000032</v>
      </c>
      <c r="U51" s="13"/>
      <c r="V51" s="20">
        <f>IF(T$12=0,0,T51/T$12)</f>
        <v>0.28461417059675453</v>
      </c>
      <c r="W51" s="16"/>
      <c r="X51" s="19">
        <f>+P51-T51</f>
        <v>-613.15000000000032</v>
      </c>
      <c r="Y51" s="16"/>
      <c r="Z51" s="20">
        <f>IF(T51=0,0,X51/T51)</f>
        <v>-1</v>
      </c>
    </row>
    <row r="52" spans="1:26" x14ac:dyDescent="0.25">
      <c r="A52" s="9"/>
      <c r="B52" s="10"/>
      <c r="C52" s="9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>
        <v>447.95</v>
      </c>
      <c r="I53" s="4"/>
      <c r="J53" s="12">
        <f>IF(H$12=0,0,H53/H$12)</f>
        <v>0.20793104088529094</v>
      </c>
      <c r="K53" s="4"/>
      <c r="L53" s="4">
        <f>+D53-H53</f>
        <v>-447.95</v>
      </c>
      <c r="M53" s="4"/>
      <c r="N53" s="12">
        <f>IF(H53=0,0,L53/H53)</f>
        <v>-1</v>
      </c>
      <c r="O53" s="10"/>
      <c r="P53" s="4"/>
      <c r="Q53" s="4"/>
      <c r="R53" s="12">
        <f>IF(P$12=0,0,P53/P$12)</f>
        <v>0</v>
      </c>
      <c r="S53" s="4"/>
      <c r="T53" s="4">
        <v>447.95</v>
      </c>
      <c r="U53" s="4"/>
      <c r="V53" s="12">
        <f>IF(T$12=0,0,T53/T$12)</f>
        <v>0.20793104088529094</v>
      </c>
      <c r="W53" s="4"/>
      <c r="X53" s="4">
        <f>+P53-T53</f>
        <v>-447.95</v>
      </c>
      <c r="Y53" s="4"/>
      <c r="Z53" s="12">
        <f>IF(T53=0,0,X53/T53)</f>
        <v>-1</v>
      </c>
    </row>
    <row r="54" spans="1:26" x14ac:dyDescent="0.25">
      <c r="A54" s="9"/>
      <c r="B54" s="10"/>
      <c r="C54" s="10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10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.75" thickBot="1" x14ac:dyDescent="0.3">
      <c r="A55" s="10"/>
      <c r="B55" s="26" t="s">
        <v>4</v>
      </c>
      <c r="C55" s="26"/>
      <c r="D55" s="35">
        <f>+D51-D53</f>
        <v>0</v>
      </c>
      <c r="E55" s="13"/>
      <c r="F55" s="30">
        <f>IF(D$12=0,0,D55/D$12)</f>
        <v>0</v>
      </c>
      <c r="G55" s="13"/>
      <c r="H55" s="35">
        <f>+H51-H53</f>
        <v>165.20000000000033</v>
      </c>
      <c r="I55" s="13"/>
      <c r="J55" s="30">
        <f>IF(H$12=0,0,H55/H$12)</f>
        <v>7.6683129711463627E-2</v>
      </c>
      <c r="K55" s="16"/>
      <c r="L55" s="35">
        <f>D55-H55</f>
        <v>-165.20000000000033</v>
      </c>
      <c r="M55" s="16"/>
      <c r="N55" s="30">
        <f>IF(H55=0,0,L55/H55)</f>
        <v>-1</v>
      </c>
      <c r="O55" s="25"/>
      <c r="P55" s="35">
        <f>+P51-P53</f>
        <v>0</v>
      </c>
      <c r="Q55" s="13"/>
      <c r="R55" s="30">
        <f>IF(P$12=0,0,P55/P$12)</f>
        <v>0</v>
      </c>
      <c r="S55" s="13"/>
      <c r="T55" s="35">
        <f>+T51-T53</f>
        <v>165.20000000000033</v>
      </c>
      <c r="U55" s="13"/>
      <c r="V55" s="30">
        <f>IF(T$12=0,0,T55/T$12)</f>
        <v>7.6683129711463627E-2</v>
      </c>
      <c r="W55" s="16"/>
      <c r="X55" s="35">
        <f>P55-T55</f>
        <v>-165.20000000000033</v>
      </c>
      <c r="Y55" s="16"/>
      <c r="Z55" s="30">
        <f>IF(T55=0,0,X55/T55)</f>
        <v>-1</v>
      </c>
    </row>
    <row r="56" spans="1:26" ht="15.75" thickTop="1" x14ac:dyDescent="0.25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x14ac:dyDescent="0.25">
      <c r="A57" s="9"/>
      <c r="B57" s="9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ht="15.75" thickBot="1" x14ac:dyDescent="0.3">
      <c r="A58" s="10"/>
      <c r="B58" s="26" t="s">
        <v>5</v>
      </c>
      <c r="C58" s="26"/>
      <c r="D58" s="31">
        <f>SUM(D55:D57)</f>
        <v>0</v>
      </c>
      <c r="E58" s="13"/>
      <c r="F58" s="32">
        <f>IF(D$12=0,0,D58/D$12)</f>
        <v>0</v>
      </c>
      <c r="G58" s="13"/>
      <c r="H58" s="31">
        <f>SUM(H55:H57)</f>
        <v>165.20000000000033</v>
      </c>
      <c r="I58" s="13"/>
      <c r="J58" s="32">
        <f>IF(H$12=0,0,H58/H$12)</f>
        <v>7.6683129711463627E-2</v>
      </c>
      <c r="K58" s="16"/>
      <c r="L58" s="31">
        <f>+D58-H58</f>
        <v>-165.20000000000033</v>
      </c>
      <c r="M58" s="16"/>
      <c r="N58" s="32">
        <f>IF(H58=0,0,L58/H58)</f>
        <v>-1</v>
      </c>
      <c r="O58" s="25"/>
      <c r="P58" s="31">
        <f>SUM(P55:P57)</f>
        <v>0</v>
      </c>
      <c r="Q58" s="13"/>
      <c r="R58" s="32">
        <f>IF(P$12=0,0,P58/P$12)</f>
        <v>0</v>
      </c>
      <c r="S58" s="13"/>
      <c r="T58" s="31">
        <f>SUM(T55:T57)</f>
        <v>165.20000000000033</v>
      </c>
      <c r="U58" s="13"/>
      <c r="V58" s="32">
        <f>IF(T$12=0,0,T58/T$12)</f>
        <v>7.6683129711463627E-2</v>
      </c>
      <c r="W58" s="16"/>
      <c r="X58" s="31">
        <f>+P58-T58</f>
        <v>-165.20000000000033</v>
      </c>
      <c r="Y58" s="16"/>
      <c r="Z58" s="32">
        <f>IF(T58=0,0,X58/T58)</f>
        <v>-1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9">
        <v>44109.414339467592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62" t="s">
        <v>313</v>
      </c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6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58824.94</v>
      </c>
      <c r="I12" s="4"/>
      <c r="J12" s="12"/>
      <c r="K12" s="4"/>
      <c r="L12" s="4">
        <f t="shared" ref="L12:L20" si="0">+D12-H12</f>
        <v>-58824.94</v>
      </c>
      <c r="M12" s="4"/>
      <c r="N12" s="12">
        <f t="shared" ref="N12:N20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58824.94</v>
      </c>
      <c r="U12" s="4"/>
      <c r="V12" s="12"/>
      <c r="W12" s="4"/>
      <c r="X12" s="4">
        <f t="shared" ref="X12:X20" si="2">+P12-T12</f>
        <v>-58824.94</v>
      </c>
      <c r="Y12" s="4"/>
      <c r="Z12" s="12">
        <f t="shared" ref="Z12:Z20" si="3">IF(T12=0,0,X12/T12)</f>
        <v>-1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3">
        <f t="shared" ref="D13:D20" si="4">0</f>
        <v>0</v>
      </c>
      <c r="E13" s="3"/>
      <c r="F13" s="22"/>
      <c r="G13" s="3"/>
      <c r="H13" s="3">
        <f>--6880.26</f>
        <v>6880.26</v>
      </c>
      <c r="I13" s="3"/>
      <c r="J13" s="22"/>
      <c r="K13" s="3"/>
      <c r="L13" s="3">
        <f t="shared" si="0"/>
        <v>-6880.26</v>
      </c>
      <c r="M13" s="3"/>
      <c r="N13" s="22">
        <f t="shared" si="1"/>
        <v>-1</v>
      </c>
      <c r="O13" s="11"/>
      <c r="P13" s="3">
        <f t="shared" ref="P13:P20" si="5">0</f>
        <v>0</v>
      </c>
      <c r="Q13" s="3"/>
      <c r="R13" s="22"/>
      <c r="S13" s="3"/>
      <c r="T13" s="3">
        <f>--6880.26</f>
        <v>6880.26</v>
      </c>
      <c r="U13" s="3"/>
      <c r="V13" s="22"/>
      <c r="W13" s="3"/>
      <c r="X13" s="3">
        <f t="shared" si="2"/>
        <v>-6880.26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3">
        <f t="shared" si="4"/>
        <v>0</v>
      </c>
      <c r="E14" s="3"/>
      <c r="F14" s="22"/>
      <c r="G14" s="3"/>
      <c r="H14" s="3">
        <f>--288.75</f>
        <v>288.75</v>
      </c>
      <c r="I14" s="3"/>
      <c r="J14" s="22"/>
      <c r="K14" s="3"/>
      <c r="L14" s="3">
        <f t="shared" si="0"/>
        <v>-288.75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--288.75</f>
        <v>288.75</v>
      </c>
      <c r="U14" s="3"/>
      <c r="V14" s="22"/>
      <c r="W14" s="3"/>
      <c r="X14" s="3">
        <f t="shared" si="2"/>
        <v>-288.75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3">
        <f t="shared" si="4"/>
        <v>0</v>
      </c>
      <c r="E15" s="3"/>
      <c r="F15" s="22"/>
      <c r="G15" s="3"/>
      <c r="H15" s="3">
        <f>--3727.67</f>
        <v>3727.67</v>
      </c>
      <c r="I15" s="3"/>
      <c r="J15" s="22"/>
      <c r="K15" s="3"/>
      <c r="L15" s="3">
        <f t="shared" si="0"/>
        <v>-3727.67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--3727.67</f>
        <v>3727.67</v>
      </c>
      <c r="U15" s="3"/>
      <c r="V15" s="22"/>
      <c r="W15" s="3"/>
      <c r="X15" s="3">
        <f t="shared" si="2"/>
        <v>-3727.67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"4132", " - ", "NON-TAXABLE SALES-JUICE")</f>
        <v xml:space="preserve">          4132 - NON-TAXABLE SALES-JUICE</v>
      </c>
      <c r="C16" s="11"/>
      <c r="D16" s="3">
        <f t="shared" si="4"/>
        <v>0</v>
      </c>
      <c r="E16" s="3"/>
      <c r="F16" s="22"/>
      <c r="G16" s="3"/>
      <c r="H16" s="3">
        <f>--32087.63</f>
        <v>32087.63</v>
      </c>
      <c r="I16" s="3"/>
      <c r="J16" s="22"/>
      <c r="K16" s="3"/>
      <c r="L16" s="3">
        <f t="shared" si="0"/>
        <v>-32087.63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--32087.63</f>
        <v>32087.63</v>
      </c>
      <c r="U16" s="3"/>
      <c r="V16" s="22"/>
      <c r="W16" s="3"/>
      <c r="X16" s="3">
        <f t="shared" si="2"/>
        <v>-32087.63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"4134", " - ", "NON-TAXABLE SALES-SODA")</f>
        <v xml:space="preserve">          4134 - NON-TAXABLE SALES-SODA</v>
      </c>
      <c r="C17" s="11"/>
      <c r="D17" s="3">
        <f t="shared" si="4"/>
        <v>0</v>
      </c>
      <c r="E17" s="3"/>
      <c r="F17" s="22"/>
      <c r="G17" s="3"/>
      <c r="H17" s="3">
        <f>-3.39</f>
        <v>-3.39</v>
      </c>
      <c r="I17" s="3"/>
      <c r="J17" s="22"/>
      <c r="K17" s="3"/>
      <c r="L17" s="3">
        <f t="shared" si="0"/>
        <v>3.39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-3.39</f>
        <v>-3.39</v>
      </c>
      <c r="U17" s="3"/>
      <c r="V17" s="22"/>
      <c r="W17" s="3"/>
      <c r="X17" s="3">
        <f t="shared" si="2"/>
        <v>3.39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"4137", " - ", "NON-TAXABLE SALES-WATER")</f>
        <v xml:space="preserve">          4137 - NON-TAXABLE SALES-WATER</v>
      </c>
      <c r="C18" s="11"/>
      <c r="D18" s="3">
        <f t="shared" si="4"/>
        <v>0</v>
      </c>
      <c r="E18" s="3"/>
      <c r="F18" s="22"/>
      <c r="G18" s="3"/>
      <c r="H18" s="3">
        <f>--210.5</f>
        <v>210.5</v>
      </c>
      <c r="I18" s="3"/>
      <c r="J18" s="22"/>
      <c r="K18" s="3"/>
      <c r="L18" s="3">
        <f t="shared" si="0"/>
        <v>-210.5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--210.5</f>
        <v>210.5</v>
      </c>
      <c r="U18" s="3"/>
      <c r="V18" s="22"/>
      <c r="W18" s="3"/>
      <c r="X18" s="3">
        <f t="shared" si="2"/>
        <v>-210.5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"4151", " - ", "NON-TAXABLE SALES-FOOD")</f>
        <v xml:space="preserve">          4151 - NON-TAXABLE SALES-FOOD</v>
      </c>
      <c r="C19" s="11"/>
      <c r="D19" s="3">
        <f t="shared" si="4"/>
        <v>0</v>
      </c>
      <c r="E19" s="3"/>
      <c r="F19" s="22"/>
      <c r="G19" s="3"/>
      <c r="H19" s="3">
        <f>--15396.52</f>
        <v>15396.52</v>
      </c>
      <c r="I19" s="3"/>
      <c r="J19" s="22"/>
      <c r="K19" s="3"/>
      <c r="L19" s="3">
        <f t="shared" si="0"/>
        <v>-15396.52</v>
      </c>
      <c r="M19" s="3"/>
      <c r="N19" s="22">
        <f t="shared" si="1"/>
        <v>-1</v>
      </c>
      <c r="O19" s="11"/>
      <c r="P19" s="3">
        <f t="shared" si="5"/>
        <v>0</v>
      </c>
      <c r="Q19" s="3"/>
      <c r="R19" s="22"/>
      <c r="S19" s="3"/>
      <c r="T19" s="3">
        <f>--15396.52</f>
        <v>15396.52</v>
      </c>
      <c r="U19" s="3"/>
      <c r="V19" s="22"/>
      <c r="W19" s="3"/>
      <c r="X19" s="3">
        <f t="shared" si="2"/>
        <v>-15396.52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"4153", " - ", "NON-TAXABLE SALES-FOOD")</f>
        <v xml:space="preserve">          4153 - NON-TAXABLE SALES-FOOD</v>
      </c>
      <c r="C20" s="11"/>
      <c r="D20" s="3">
        <f t="shared" si="4"/>
        <v>0</v>
      </c>
      <c r="E20" s="3"/>
      <c r="F20" s="22"/>
      <c r="G20" s="3"/>
      <c r="H20" s="3">
        <f>--237</f>
        <v>237</v>
      </c>
      <c r="I20" s="3"/>
      <c r="J20" s="22"/>
      <c r="K20" s="3"/>
      <c r="L20" s="3">
        <f t="shared" si="0"/>
        <v>-237</v>
      </c>
      <c r="M20" s="3"/>
      <c r="N20" s="22">
        <f t="shared" si="1"/>
        <v>-1</v>
      </c>
      <c r="O20" s="11"/>
      <c r="P20" s="3">
        <f t="shared" si="5"/>
        <v>0</v>
      </c>
      <c r="Q20" s="3"/>
      <c r="R20" s="22"/>
      <c r="S20" s="3"/>
      <c r="T20" s="3">
        <f>--237</f>
        <v>237</v>
      </c>
      <c r="U20" s="3"/>
      <c r="V20" s="22"/>
      <c r="W20" s="3"/>
      <c r="X20" s="3">
        <f t="shared" si="2"/>
        <v>-237</v>
      </c>
      <c r="Y20" s="3"/>
      <c r="Z20" s="22">
        <f t="shared" si="3"/>
        <v>-1</v>
      </c>
    </row>
    <row r="21" spans="1:26" x14ac:dyDescent="0.25">
      <c r="A21" s="9"/>
      <c r="B21" s="10"/>
      <c r="C21" s="9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collapsed="1" x14ac:dyDescent="0.25">
      <c r="A22" s="10"/>
      <c r="B22" s="25" t="s">
        <v>8</v>
      </c>
      <c r="C22" s="10"/>
      <c r="D22" s="4">
        <f>SUM(OSRRefD16x_0)</f>
        <v>-226.87</v>
      </c>
      <c r="E22" s="4"/>
      <c r="F22" s="12">
        <f t="shared" ref="F22:F24" si="6">IF(D$12=0,0,D22/D$12)</f>
        <v>0</v>
      </c>
      <c r="G22" s="4"/>
      <c r="H22" s="4">
        <f>SUM(OSRRefH16x_0)</f>
        <v>25266.32</v>
      </c>
      <c r="I22" s="4"/>
      <c r="J22" s="12">
        <f t="shared" ref="J22:J24" si="7">IF(H$12=0,0,H22/H$12)</f>
        <v>0.42951714017897846</v>
      </c>
      <c r="K22" s="4"/>
      <c r="L22" s="4">
        <f t="shared" ref="L22:L24" si="8">+D22-H22</f>
        <v>-25493.19</v>
      </c>
      <c r="M22" s="4"/>
      <c r="N22" s="12">
        <f t="shared" ref="N22:N24" si="9">IF(H22=0,0,L22/H22)</f>
        <v>-1.0089791469434408</v>
      </c>
      <c r="O22" s="10"/>
      <c r="P22" s="4">
        <f>SUM(OSRRefP16x_0)</f>
        <v>-226.87</v>
      </c>
      <c r="Q22" s="4"/>
      <c r="R22" s="12">
        <f t="shared" ref="R22:R24" si="10">IF(P$12=0,0,P22/P$12)</f>
        <v>0</v>
      </c>
      <c r="S22" s="4"/>
      <c r="T22" s="4">
        <f>SUM(OSRRefT16x_0)</f>
        <v>25266.32</v>
      </c>
      <c r="U22" s="4"/>
      <c r="V22" s="12">
        <f t="shared" ref="V22:V24" si="11">IF(T$12=0,0,T22/T$12)</f>
        <v>0.42951714017897846</v>
      </c>
      <c r="W22" s="4"/>
      <c r="X22" s="4">
        <f t="shared" ref="X22:X24" si="12">+P22-T22</f>
        <v>-25493.19</v>
      </c>
      <c r="Y22" s="4"/>
      <c r="Z22" s="12">
        <f t="shared" ref="Z22:Z24" si="13">IF(T22=0,0,X22/T22)</f>
        <v>-1.0089791469434408</v>
      </c>
    </row>
    <row r="23" spans="1:26" s="24" customFormat="1" hidden="1" outlineLevel="1" x14ac:dyDescent="0.25">
      <c r="A23" s="50"/>
      <c r="B23" s="11" t="str">
        <f>CONCATENATE("          ", "5053", " - ", "PURCHASES @ COST-FOOD")</f>
        <v xml:space="preserve">          5053 - PURCHASES @ COST-FOOD</v>
      </c>
      <c r="C23" s="11"/>
      <c r="D23" s="3">
        <v>-226.87</v>
      </c>
      <c r="E23" s="3"/>
      <c r="F23" s="22">
        <f t="shared" si="6"/>
        <v>0</v>
      </c>
      <c r="G23" s="3"/>
      <c r="H23" s="3">
        <v>41557.07</v>
      </c>
      <c r="I23" s="3"/>
      <c r="J23" s="22">
        <f t="shared" si="7"/>
        <v>0.70645324925108288</v>
      </c>
      <c r="K23" s="3"/>
      <c r="L23" s="3">
        <f t="shared" si="8"/>
        <v>-41783.94</v>
      </c>
      <c r="M23" s="3"/>
      <c r="N23" s="22">
        <f t="shared" si="9"/>
        <v>-1.0054592395469653</v>
      </c>
      <c r="O23" s="11"/>
      <c r="P23" s="3">
        <v>-226.87</v>
      </c>
      <c r="Q23" s="3"/>
      <c r="R23" s="22">
        <f t="shared" si="10"/>
        <v>0</v>
      </c>
      <c r="S23" s="3"/>
      <c r="T23" s="3">
        <v>41557.07</v>
      </c>
      <c r="U23" s="3"/>
      <c r="V23" s="22">
        <f t="shared" si="11"/>
        <v>0.70645324925108288</v>
      </c>
      <c r="W23" s="3"/>
      <c r="X23" s="3">
        <f t="shared" si="12"/>
        <v>-41783.94</v>
      </c>
      <c r="Y23" s="3"/>
      <c r="Z23" s="22">
        <f t="shared" si="13"/>
        <v>-1.0054592395469653</v>
      </c>
    </row>
    <row r="24" spans="1:26" s="24" customFormat="1" hidden="1" outlineLevel="1" x14ac:dyDescent="0.25">
      <c r="A24" s="50"/>
      <c r="B24" s="11" t="str">
        <f>CONCATENATE("          ", "5059", " - ", "PURCHASES @ COST-FOOD")</f>
        <v xml:space="preserve">          5059 - PURCHASES @ COST-FOOD</v>
      </c>
      <c r="C24" s="11"/>
      <c r="D24" s="3"/>
      <c r="E24" s="3"/>
      <c r="F24" s="22">
        <f t="shared" si="6"/>
        <v>0</v>
      </c>
      <c r="G24" s="3"/>
      <c r="H24" s="3">
        <v>-16290.750000000002</v>
      </c>
      <c r="I24" s="3"/>
      <c r="J24" s="22">
        <f t="shared" si="7"/>
        <v>-0.27693610907210447</v>
      </c>
      <c r="K24" s="3"/>
      <c r="L24" s="3">
        <f t="shared" si="8"/>
        <v>16290.750000000002</v>
      </c>
      <c r="M24" s="3"/>
      <c r="N24" s="22">
        <f t="shared" si="9"/>
        <v>-1</v>
      </c>
      <c r="O24" s="11"/>
      <c r="P24" s="3"/>
      <c r="Q24" s="3"/>
      <c r="R24" s="22">
        <f t="shared" si="10"/>
        <v>0</v>
      </c>
      <c r="S24" s="3"/>
      <c r="T24" s="3">
        <v>-16290.750000000002</v>
      </c>
      <c r="U24" s="3"/>
      <c r="V24" s="22">
        <f t="shared" si="11"/>
        <v>-0.27693610907210447</v>
      </c>
      <c r="W24" s="3"/>
      <c r="X24" s="3">
        <f t="shared" si="12"/>
        <v>16290.750000000002</v>
      </c>
      <c r="Y24" s="3"/>
      <c r="Z24" s="22">
        <f t="shared" si="13"/>
        <v>-1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25">
      <c r="A26" s="10"/>
      <c r="B26" s="26" t="s">
        <v>6</v>
      </c>
      <c r="C26" s="26"/>
      <c r="D26" s="19">
        <f>D12-D22</f>
        <v>226.87</v>
      </c>
      <c r="E26" s="13"/>
      <c r="F26" s="20">
        <f>IF(D$12=0,0,D26/D$12)</f>
        <v>0</v>
      </c>
      <c r="G26" s="13"/>
      <c r="H26" s="19">
        <f>H12-H22</f>
        <v>33558.620000000003</v>
      </c>
      <c r="I26" s="13"/>
      <c r="J26" s="20">
        <f>IF(H$12=0,0,H26/H$12)</f>
        <v>0.57048285982102154</v>
      </c>
      <c r="K26" s="16"/>
      <c r="L26" s="19">
        <f>+D26-H26</f>
        <v>-33331.75</v>
      </c>
      <c r="M26" s="16"/>
      <c r="N26" s="20">
        <f>IF(H26=0,0,L26/H26)</f>
        <v>-0.99323959090093683</v>
      </c>
      <c r="O26" s="25"/>
      <c r="P26" s="19">
        <f>P12-P22</f>
        <v>226.87</v>
      </c>
      <c r="Q26" s="13"/>
      <c r="R26" s="20">
        <f>IF(P$12=0,0,P26/P$12)</f>
        <v>0</v>
      </c>
      <c r="S26" s="13"/>
      <c r="T26" s="19">
        <f>T12-T22</f>
        <v>33558.620000000003</v>
      </c>
      <c r="U26" s="13"/>
      <c r="V26" s="20">
        <f>IF(T$12=0,0,T26/T$12)</f>
        <v>0.57048285982102154</v>
      </c>
      <c r="W26" s="16"/>
      <c r="X26" s="19">
        <f>+P26-T26</f>
        <v>-33331.75</v>
      </c>
      <c r="Y26" s="16"/>
      <c r="Z26" s="20">
        <f>IF(T26=0,0,X26/T26)</f>
        <v>-0.99323959090093683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21">
        <f>SUM(OSRRefD22x_0)</f>
        <v>35275.079999999994</v>
      </c>
      <c r="E28" s="21"/>
      <c r="F28" s="34">
        <f t="shared" ref="F28:F37" si="14">IF(D$12=0,0,D28/D$12)</f>
        <v>0</v>
      </c>
      <c r="G28" s="21"/>
      <c r="H28" s="21">
        <f>SUM(OSRRefH22x_0)</f>
        <v>84723.679999999978</v>
      </c>
      <c r="I28" s="21"/>
      <c r="J28" s="34">
        <f t="shared" ref="J28:J37" si="15">IF(H$12=0,0,H28/H$12)</f>
        <v>1.440268022372823</v>
      </c>
      <c r="K28" s="4"/>
      <c r="L28" s="21">
        <f t="shared" ref="L28:L37" si="16">+D28-H28</f>
        <v>-49448.599999999984</v>
      </c>
      <c r="M28" s="4"/>
      <c r="N28" s="34">
        <f t="shared" ref="N28:N37" si="17">IF(H28=0,0,L28/H28)</f>
        <v>-0.5836455640264917</v>
      </c>
      <c r="O28" s="10"/>
      <c r="P28" s="21">
        <f>SUM(OSRRefP22x_0)</f>
        <v>35275.079999999994</v>
      </c>
      <c r="Q28" s="21"/>
      <c r="R28" s="34">
        <f t="shared" ref="R28:R37" si="18">IF(P$12=0,0,P28/P$12)</f>
        <v>0</v>
      </c>
      <c r="S28" s="21"/>
      <c r="T28" s="21">
        <f>SUM(OSRRefT22x_0)</f>
        <v>84723.679999999978</v>
      </c>
      <c r="U28" s="21"/>
      <c r="V28" s="34">
        <f t="shared" ref="V28:V37" si="19">IF(T$12=0,0,T28/T$12)</f>
        <v>1.440268022372823</v>
      </c>
      <c r="W28" s="4"/>
      <c r="X28" s="21">
        <f t="shared" ref="X28:X37" si="20">+P28-T28</f>
        <v>-49448.599999999984</v>
      </c>
      <c r="Y28" s="4"/>
      <c r="Z28" s="34">
        <f t="shared" ref="Z28:Z37" si="21">IF(T28=0,0,X28/T28)</f>
        <v>-0.5836455640264917</v>
      </c>
    </row>
    <row r="29" spans="1:26" s="27" customFormat="1" outlineLevel="1" collapsed="1" x14ac:dyDescent="0.25">
      <c r="A29" s="28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8995.1999999999989</v>
      </c>
      <c r="E29" s="1"/>
      <c r="F29" s="5">
        <f t="shared" si="14"/>
        <v>0</v>
      </c>
      <c r="G29" s="1"/>
      <c r="H29" s="1">
        <f>SUM(OSRRefH22_0x_0)</f>
        <v>14450.750000000002</v>
      </c>
      <c r="I29" s="1"/>
      <c r="J29" s="5">
        <f t="shared" si="15"/>
        <v>0.24565685914851765</v>
      </c>
      <c r="K29" s="1"/>
      <c r="L29" s="1">
        <f t="shared" si="16"/>
        <v>-5455.5500000000029</v>
      </c>
      <c r="M29" s="1"/>
      <c r="N29" s="5">
        <f t="shared" si="17"/>
        <v>-0.37752711796965571</v>
      </c>
      <c r="O29" s="14"/>
      <c r="P29" s="1">
        <f>SUM(OSRRefP22_0x_0)</f>
        <v>8995.1999999999989</v>
      </c>
      <c r="Q29" s="1"/>
      <c r="R29" s="5">
        <f t="shared" si="18"/>
        <v>0</v>
      </c>
      <c r="S29" s="1"/>
      <c r="T29" s="1">
        <f>SUM(OSRRefT22_0x_0)</f>
        <v>14450.750000000002</v>
      </c>
      <c r="U29" s="1"/>
      <c r="V29" s="5">
        <f t="shared" si="19"/>
        <v>0.24565685914851765</v>
      </c>
      <c r="W29" s="1"/>
      <c r="X29" s="1">
        <f t="shared" si="20"/>
        <v>-5455.5500000000029</v>
      </c>
      <c r="Y29" s="1"/>
      <c r="Z29" s="5">
        <f t="shared" si="21"/>
        <v>-0.37752711796965571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8">
        <v>861.18</v>
      </c>
      <c r="E30" s="3"/>
      <c r="F30" s="7">
        <f t="shared" si="14"/>
        <v>0</v>
      </c>
      <c r="G30" s="3"/>
      <c r="H30" s="8">
        <v>2207.41</v>
      </c>
      <c r="I30" s="3"/>
      <c r="J30" s="7">
        <f t="shared" si="15"/>
        <v>3.7525070148817827E-2</v>
      </c>
      <c r="K30" s="3"/>
      <c r="L30" s="8">
        <f t="shared" si="16"/>
        <v>-1346.23</v>
      </c>
      <c r="M30" s="3"/>
      <c r="N30" s="7">
        <f t="shared" si="17"/>
        <v>-0.60986857901341396</v>
      </c>
      <c r="O30" s="11"/>
      <c r="P30" s="8">
        <v>861.18</v>
      </c>
      <c r="Q30" s="3"/>
      <c r="R30" s="7">
        <f t="shared" si="18"/>
        <v>0</v>
      </c>
      <c r="S30" s="3"/>
      <c r="T30" s="8">
        <v>2207.41</v>
      </c>
      <c r="U30" s="3"/>
      <c r="V30" s="7">
        <f t="shared" si="19"/>
        <v>3.7525070148817827E-2</v>
      </c>
      <c r="W30" s="3"/>
      <c r="X30" s="8">
        <f t="shared" si="20"/>
        <v>-1346.23</v>
      </c>
      <c r="Y30" s="3"/>
      <c r="Z30" s="7">
        <f t="shared" si="21"/>
        <v>-0.60986857901341396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8">
        <v>169.78</v>
      </c>
      <c r="E31" s="3"/>
      <c r="F31" s="7">
        <f t="shared" si="14"/>
        <v>0</v>
      </c>
      <c r="G31" s="3"/>
      <c r="H31" s="8">
        <v>697.59</v>
      </c>
      <c r="I31" s="3"/>
      <c r="J31" s="7">
        <f t="shared" si="15"/>
        <v>1.1858745627279859E-2</v>
      </c>
      <c r="K31" s="3"/>
      <c r="L31" s="8">
        <f t="shared" si="16"/>
        <v>-527.81000000000006</v>
      </c>
      <c r="M31" s="3"/>
      <c r="N31" s="7">
        <f t="shared" si="17"/>
        <v>-0.75661921759199535</v>
      </c>
      <c r="O31" s="11"/>
      <c r="P31" s="8">
        <v>169.78</v>
      </c>
      <c r="Q31" s="3"/>
      <c r="R31" s="7">
        <f t="shared" si="18"/>
        <v>0</v>
      </c>
      <c r="S31" s="3"/>
      <c r="T31" s="8">
        <v>697.59</v>
      </c>
      <c r="U31" s="3"/>
      <c r="V31" s="7">
        <f t="shared" si="19"/>
        <v>1.1858745627279859E-2</v>
      </c>
      <c r="W31" s="3"/>
      <c r="X31" s="8">
        <f t="shared" si="20"/>
        <v>-527.81000000000006</v>
      </c>
      <c r="Y31" s="3"/>
      <c r="Z31" s="7">
        <f t="shared" si="21"/>
        <v>-0.75661921759199535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8">
        <v>4620.57</v>
      </c>
      <c r="E32" s="3"/>
      <c r="F32" s="7">
        <f t="shared" si="14"/>
        <v>0</v>
      </c>
      <c r="G32" s="3"/>
      <c r="H32" s="8">
        <v>6845.82</v>
      </c>
      <c r="I32" s="3"/>
      <c r="J32" s="7">
        <f t="shared" si="15"/>
        <v>0.11637614929993978</v>
      </c>
      <c r="K32" s="3"/>
      <c r="L32" s="8">
        <f t="shared" si="16"/>
        <v>-2225.25</v>
      </c>
      <c r="M32" s="3"/>
      <c r="N32" s="7">
        <f t="shared" si="17"/>
        <v>-0.32505236772220131</v>
      </c>
      <c r="O32" s="11"/>
      <c r="P32" s="8">
        <v>4620.57</v>
      </c>
      <c r="Q32" s="3"/>
      <c r="R32" s="7">
        <f t="shared" si="18"/>
        <v>0</v>
      </c>
      <c r="S32" s="3"/>
      <c r="T32" s="8">
        <v>6845.82</v>
      </c>
      <c r="U32" s="3"/>
      <c r="V32" s="7">
        <f t="shared" si="19"/>
        <v>0.11637614929993978</v>
      </c>
      <c r="W32" s="3"/>
      <c r="X32" s="8">
        <f t="shared" si="20"/>
        <v>-2225.25</v>
      </c>
      <c r="Y32" s="3"/>
      <c r="Z32" s="7">
        <f t="shared" si="21"/>
        <v>-0.32505236772220131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8">
        <v>23.86</v>
      </c>
      <c r="E33" s="3"/>
      <c r="F33" s="7">
        <f t="shared" si="14"/>
        <v>0</v>
      </c>
      <c r="G33" s="3"/>
      <c r="H33" s="8">
        <v>78.430000000000007</v>
      </c>
      <c r="I33" s="3"/>
      <c r="J33" s="7">
        <f t="shared" si="15"/>
        <v>1.3332780279928888E-3</v>
      </c>
      <c r="K33" s="3"/>
      <c r="L33" s="8">
        <f t="shared" si="16"/>
        <v>-54.570000000000007</v>
      </c>
      <c r="M33" s="3"/>
      <c r="N33" s="7">
        <f t="shared" si="17"/>
        <v>-0.69577967614433256</v>
      </c>
      <c r="O33" s="11"/>
      <c r="P33" s="8">
        <v>23.86</v>
      </c>
      <c r="Q33" s="3"/>
      <c r="R33" s="7">
        <f t="shared" si="18"/>
        <v>0</v>
      </c>
      <c r="S33" s="3"/>
      <c r="T33" s="8">
        <v>78.430000000000007</v>
      </c>
      <c r="U33" s="3"/>
      <c r="V33" s="7">
        <f t="shared" si="19"/>
        <v>1.3332780279928888E-3</v>
      </c>
      <c r="W33" s="3"/>
      <c r="X33" s="8">
        <f t="shared" si="20"/>
        <v>-54.570000000000007</v>
      </c>
      <c r="Y33" s="3"/>
      <c r="Z33" s="7">
        <f t="shared" si="21"/>
        <v>-0.69577967614433256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8">
        <v>1862.33</v>
      </c>
      <c r="E34" s="3"/>
      <c r="F34" s="7">
        <f t="shared" si="14"/>
        <v>0</v>
      </c>
      <c r="G34" s="3"/>
      <c r="H34" s="8">
        <v>1497.9</v>
      </c>
      <c r="I34" s="3"/>
      <c r="J34" s="7">
        <f t="shared" si="15"/>
        <v>2.5463689380728651E-2</v>
      </c>
      <c r="K34" s="3"/>
      <c r="L34" s="8">
        <f t="shared" si="16"/>
        <v>364.42999999999984</v>
      </c>
      <c r="M34" s="3"/>
      <c r="N34" s="7">
        <f t="shared" si="17"/>
        <v>0.24329394485613179</v>
      </c>
      <c r="O34" s="11"/>
      <c r="P34" s="8">
        <v>1862.33</v>
      </c>
      <c r="Q34" s="3"/>
      <c r="R34" s="7">
        <f t="shared" si="18"/>
        <v>0</v>
      </c>
      <c r="S34" s="3"/>
      <c r="T34" s="8">
        <v>1497.9</v>
      </c>
      <c r="U34" s="3"/>
      <c r="V34" s="7">
        <f t="shared" si="19"/>
        <v>2.5463689380728651E-2</v>
      </c>
      <c r="W34" s="3"/>
      <c r="X34" s="8">
        <f t="shared" si="20"/>
        <v>364.42999999999984</v>
      </c>
      <c r="Y34" s="3"/>
      <c r="Z34" s="7">
        <f t="shared" si="21"/>
        <v>0.24329394485613179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8">
        <v>798.88</v>
      </c>
      <c r="E35" s="3"/>
      <c r="F35" s="7">
        <f t="shared" si="14"/>
        <v>0</v>
      </c>
      <c r="G35" s="3"/>
      <c r="H35" s="8">
        <v>1365.87</v>
      </c>
      <c r="I35" s="3"/>
      <c r="J35" s="7">
        <f t="shared" si="15"/>
        <v>2.3219233202787796E-2</v>
      </c>
      <c r="K35" s="3"/>
      <c r="L35" s="8">
        <f t="shared" si="16"/>
        <v>-566.9899999999999</v>
      </c>
      <c r="M35" s="3"/>
      <c r="N35" s="7">
        <f t="shared" si="17"/>
        <v>-0.41511271204433797</v>
      </c>
      <c r="O35" s="11"/>
      <c r="P35" s="8">
        <v>798.88</v>
      </c>
      <c r="Q35" s="3"/>
      <c r="R35" s="7">
        <f t="shared" si="18"/>
        <v>0</v>
      </c>
      <c r="S35" s="3"/>
      <c r="T35" s="8">
        <v>1365.87</v>
      </c>
      <c r="U35" s="3"/>
      <c r="V35" s="7">
        <f t="shared" si="19"/>
        <v>2.3219233202787796E-2</v>
      </c>
      <c r="W35" s="3"/>
      <c r="X35" s="8">
        <f t="shared" si="20"/>
        <v>-566.9899999999999</v>
      </c>
      <c r="Y35" s="3"/>
      <c r="Z35" s="7">
        <f t="shared" si="21"/>
        <v>-0.41511271204433797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8">
        <v>652.62</v>
      </c>
      <c r="E36" s="3"/>
      <c r="F36" s="7">
        <f t="shared" si="14"/>
        <v>0</v>
      </c>
      <c r="G36" s="3"/>
      <c r="H36" s="8">
        <v>1192.54</v>
      </c>
      <c r="I36" s="3"/>
      <c r="J36" s="7">
        <f t="shared" si="15"/>
        <v>2.0272693860801216E-2</v>
      </c>
      <c r="K36" s="3"/>
      <c r="L36" s="8">
        <f t="shared" si="16"/>
        <v>-539.91999999999996</v>
      </c>
      <c r="M36" s="3"/>
      <c r="N36" s="7">
        <f t="shared" si="17"/>
        <v>-0.45274791621245408</v>
      </c>
      <c r="O36" s="11"/>
      <c r="P36" s="8">
        <v>652.62</v>
      </c>
      <c r="Q36" s="3"/>
      <c r="R36" s="7">
        <f t="shared" si="18"/>
        <v>0</v>
      </c>
      <c r="S36" s="3"/>
      <c r="T36" s="8">
        <v>1192.54</v>
      </c>
      <c r="U36" s="3"/>
      <c r="V36" s="7">
        <f t="shared" si="19"/>
        <v>2.0272693860801216E-2</v>
      </c>
      <c r="W36" s="3"/>
      <c r="X36" s="8">
        <f t="shared" si="20"/>
        <v>-539.91999999999996</v>
      </c>
      <c r="Y36" s="3"/>
      <c r="Z36" s="7">
        <f t="shared" si="21"/>
        <v>-0.45274791621245408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8">
        <v>5.98</v>
      </c>
      <c r="E37" s="3"/>
      <c r="F37" s="7">
        <f t="shared" si="14"/>
        <v>0</v>
      </c>
      <c r="G37" s="3"/>
      <c r="H37" s="8">
        <v>565.19000000000005</v>
      </c>
      <c r="I37" s="3"/>
      <c r="J37" s="7">
        <f t="shared" si="15"/>
        <v>9.6079996001695884E-3</v>
      </c>
      <c r="K37" s="3"/>
      <c r="L37" s="8">
        <f t="shared" si="16"/>
        <v>-559.21</v>
      </c>
      <c r="M37" s="3"/>
      <c r="N37" s="7">
        <f t="shared" si="17"/>
        <v>-0.98941948725207451</v>
      </c>
      <c r="O37" s="11"/>
      <c r="P37" s="8">
        <v>5.98</v>
      </c>
      <c r="Q37" s="3"/>
      <c r="R37" s="7">
        <f t="shared" si="18"/>
        <v>0</v>
      </c>
      <c r="S37" s="3"/>
      <c r="T37" s="8">
        <v>565.19000000000005</v>
      </c>
      <c r="U37" s="3"/>
      <c r="V37" s="7">
        <f t="shared" si="19"/>
        <v>9.6079996001695884E-3</v>
      </c>
      <c r="W37" s="3"/>
      <c r="X37" s="8">
        <f t="shared" si="20"/>
        <v>-559.21</v>
      </c>
      <c r="Y37" s="3"/>
      <c r="Z37" s="7">
        <f t="shared" si="21"/>
        <v>-0.98941948725207451</v>
      </c>
    </row>
    <row r="38" spans="1:26" s="27" customFormat="1" outlineLevel="1" collapsed="1" x14ac:dyDescent="0.25">
      <c r="A38" s="28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11477.03</v>
      </c>
      <c r="E38" s="1"/>
      <c r="F38" s="5">
        <f t="shared" ref="F38:F43" si="22">IF(D$12=0,0,D38/D$12)</f>
        <v>0</v>
      </c>
      <c r="G38" s="1"/>
      <c r="H38" s="1">
        <f>SUM(OSRRefH22_1x_0)</f>
        <v>37768.549999999996</v>
      </c>
      <c r="I38" s="1"/>
      <c r="J38" s="5">
        <f t="shared" ref="J38:J43" si="23">IF(H$12=0,0,H38/H$12)</f>
        <v>0.64204995364211159</v>
      </c>
      <c r="K38" s="1"/>
      <c r="L38" s="1">
        <f t="shared" ref="L38:L43" si="24">+D38-H38</f>
        <v>-26291.519999999997</v>
      </c>
      <c r="M38" s="1"/>
      <c r="N38" s="5">
        <f t="shared" ref="N38:N43" si="25">IF(H38=0,0,L38/H38)</f>
        <v>-0.69612203804488126</v>
      </c>
      <c r="O38" s="14"/>
      <c r="P38" s="1">
        <f>SUM(OSRRefP22_1x_0)</f>
        <v>11477.03</v>
      </c>
      <c r="Q38" s="1"/>
      <c r="R38" s="5">
        <f t="shared" ref="R38:R43" si="26">IF(P$12=0,0,P38/P$12)</f>
        <v>0</v>
      </c>
      <c r="S38" s="1"/>
      <c r="T38" s="1">
        <f>SUM(OSRRefT22_1x_0)</f>
        <v>37768.549999999996</v>
      </c>
      <c r="U38" s="1"/>
      <c r="V38" s="5">
        <f t="shared" ref="V38:V43" si="27">IF(T$12=0,0,T38/T$12)</f>
        <v>0.64204995364211159</v>
      </c>
      <c r="W38" s="1"/>
      <c r="X38" s="1">
        <f t="shared" ref="X38:X43" si="28">+P38-T38</f>
        <v>-26291.519999999997</v>
      </c>
      <c r="Y38" s="1"/>
      <c r="Z38" s="5">
        <f t="shared" ref="Z38:Z43" si="29">IF(T38=0,0,X38/T38)</f>
        <v>-0.69612203804488126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8">
        <v>11477.03</v>
      </c>
      <c r="E39" s="3"/>
      <c r="F39" s="7">
        <f t="shared" si="22"/>
        <v>0</v>
      </c>
      <c r="G39" s="3"/>
      <c r="H39" s="8">
        <v>19284.04</v>
      </c>
      <c r="I39" s="3"/>
      <c r="J39" s="7">
        <f t="shared" si="23"/>
        <v>0.32782081885676384</v>
      </c>
      <c r="K39" s="3"/>
      <c r="L39" s="8">
        <f t="shared" si="24"/>
        <v>-7807.01</v>
      </c>
      <c r="M39" s="3"/>
      <c r="N39" s="7">
        <f t="shared" si="25"/>
        <v>-0.4048430723022769</v>
      </c>
      <c r="O39" s="11"/>
      <c r="P39" s="8">
        <v>11477.03</v>
      </c>
      <c r="Q39" s="3"/>
      <c r="R39" s="7">
        <f t="shared" si="26"/>
        <v>0</v>
      </c>
      <c r="S39" s="3"/>
      <c r="T39" s="8">
        <v>19284.04</v>
      </c>
      <c r="U39" s="3"/>
      <c r="V39" s="7">
        <f t="shared" si="27"/>
        <v>0.32782081885676384</v>
      </c>
      <c r="W39" s="3"/>
      <c r="X39" s="8">
        <f t="shared" si="28"/>
        <v>-7807.01</v>
      </c>
      <c r="Y39" s="3"/>
      <c r="Z39" s="7">
        <f t="shared" si="29"/>
        <v>-0.4048430723022769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8"/>
      <c r="E40" s="3"/>
      <c r="F40" s="7">
        <f t="shared" si="22"/>
        <v>0</v>
      </c>
      <c r="G40" s="3"/>
      <c r="H40" s="8">
        <v>3457.41</v>
      </c>
      <c r="I40" s="3"/>
      <c r="J40" s="7">
        <f t="shared" si="23"/>
        <v>5.8774560586037139E-2</v>
      </c>
      <c r="K40" s="3"/>
      <c r="L40" s="8">
        <f t="shared" si="24"/>
        <v>-3457.41</v>
      </c>
      <c r="M40" s="3"/>
      <c r="N40" s="7">
        <f t="shared" si="25"/>
        <v>-1</v>
      </c>
      <c r="O40" s="11"/>
      <c r="P40" s="8"/>
      <c r="Q40" s="3"/>
      <c r="R40" s="7">
        <f t="shared" si="26"/>
        <v>0</v>
      </c>
      <c r="S40" s="3"/>
      <c r="T40" s="8">
        <v>3457.41</v>
      </c>
      <c r="U40" s="3"/>
      <c r="V40" s="7">
        <f t="shared" si="27"/>
        <v>5.8774560586037139E-2</v>
      </c>
      <c r="W40" s="3"/>
      <c r="X40" s="8">
        <f t="shared" si="28"/>
        <v>-3457.41</v>
      </c>
      <c r="Y40" s="3"/>
      <c r="Z40" s="7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8"/>
      <c r="E41" s="3"/>
      <c r="F41" s="7">
        <f t="shared" si="22"/>
        <v>0</v>
      </c>
      <c r="G41" s="3"/>
      <c r="H41" s="8">
        <v>726.75</v>
      </c>
      <c r="I41" s="3"/>
      <c r="J41" s="7">
        <f t="shared" si="23"/>
        <v>1.2354453740199309E-2</v>
      </c>
      <c r="K41" s="3"/>
      <c r="L41" s="8">
        <f t="shared" si="24"/>
        <v>-726.75</v>
      </c>
      <c r="M41" s="3"/>
      <c r="N41" s="7">
        <f t="shared" si="25"/>
        <v>-1</v>
      </c>
      <c r="O41" s="11"/>
      <c r="P41" s="8"/>
      <c r="Q41" s="3"/>
      <c r="R41" s="7">
        <f t="shared" si="26"/>
        <v>0</v>
      </c>
      <c r="S41" s="3"/>
      <c r="T41" s="8">
        <v>726.75</v>
      </c>
      <c r="U41" s="3"/>
      <c r="V41" s="7">
        <f t="shared" si="27"/>
        <v>1.2354453740199309E-2</v>
      </c>
      <c r="W41" s="3"/>
      <c r="X41" s="8">
        <f t="shared" si="28"/>
        <v>-726.75</v>
      </c>
      <c r="Y41" s="3"/>
      <c r="Z41" s="7">
        <f t="shared" si="29"/>
        <v>-1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8"/>
      <c r="E42" s="3"/>
      <c r="F42" s="7">
        <f t="shared" si="22"/>
        <v>0</v>
      </c>
      <c r="G42" s="3"/>
      <c r="H42" s="8">
        <v>12507.75</v>
      </c>
      <c r="I42" s="3"/>
      <c r="J42" s="7">
        <f t="shared" si="23"/>
        <v>0.21262665121290392</v>
      </c>
      <c r="K42" s="3"/>
      <c r="L42" s="8">
        <f t="shared" si="24"/>
        <v>-12507.75</v>
      </c>
      <c r="M42" s="3"/>
      <c r="N42" s="7">
        <f t="shared" si="25"/>
        <v>-1</v>
      </c>
      <c r="O42" s="11"/>
      <c r="P42" s="8"/>
      <c r="Q42" s="3"/>
      <c r="R42" s="7">
        <f t="shared" si="26"/>
        <v>0</v>
      </c>
      <c r="S42" s="3"/>
      <c r="T42" s="8">
        <v>12507.75</v>
      </c>
      <c r="U42" s="3"/>
      <c r="V42" s="7">
        <f t="shared" si="27"/>
        <v>0.21262665121290392</v>
      </c>
      <c r="W42" s="3"/>
      <c r="X42" s="8">
        <f t="shared" si="28"/>
        <v>-12507.75</v>
      </c>
      <c r="Y42" s="3"/>
      <c r="Z42" s="7">
        <f t="shared" si="29"/>
        <v>-1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8"/>
      <c r="E43" s="3"/>
      <c r="F43" s="7">
        <f t="shared" si="22"/>
        <v>0</v>
      </c>
      <c r="G43" s="3"/>
      <c r="H43" s="8">
        <v>1792.6</v>
      </c>
      <c r="I43" s="3"/>
      <c r="J43" s="7">
        <f t="shared" si="23"/>
        <v>3.0473469246207474E-2</v>
      </c>
      <c r="K43" s="3"/>
      <c r="L43" s="8">
        <f t="shared" si="24"/>
        <v>-1792.6</v>
      </c>
      <c r="M43" s="3"/>
      <c r="N43" s="7">
        <f t="shared" si="25"/>
        <v>-1</v>
      </c>
      <c r="O43" s="11"/>
      <c r="P43" s="8"/>
      <c r="Q43" s="3"/>
      <c r="R43" s="7">
        <f t="shared" si="26"/>
        <v>0</v>
      </c>
      <c r="S43" s="3"/>
      <c r="T43" s="8">
        <v>1792.6</v>
      </c>
      <c r="U43" s="3"/>
      <c r="V43" s="7">
        <f t="shared" si="27"/>
        <v>3.0473469246207474E-2</v>
      </c>
      <c r="W43" s="3"/>
      <c r="X43" s="8">
        <f t="shared" si="28"/>
        <v>-1792.6</v>
      </c>
      <c r="Y43" s="3"/>
      <c r="Z43" s="7">
        <f t="shared" si="29"/>
        <v>-1</v>
      </c>
    </row>
    <row r="44" spans="1:26" s="27" customFormat="1" outlineLevel="1" collapsed="1" x14ac:dyDescent="0.25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399.62</v>
      </c>
      <c r="I44" s="1"/>
      <c r="J44" s="5">
        <f t="shared" ref="J44:J52" si="31">IF(H$12=0,0,H44/H$12)</f>
        <v>6.7933770948172658E-3</v>
      </c>
      <c r="K44" s="1"/>
      <c r="L44" s="1">
        <f t="shared" ref="L44:L52" si="32">+D44-H44</f>
        <v>-399.62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399.62</v>
      </c>
      <c r="U44" s="1"/>
      <c r="V44" s="5">
        <f t="shared" ref="V44:V52" si="35">IF(T$12=0,0,T44/T$12)</f>
        <v>6.7933770948172658E-3</v>
      </c>
      <c r="W44" s="1"/>
      <c r="X44" s="1">
        <f t="shared" ref="X44:X52" si="36">+P44-T44</f>
        <v>-399.62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8"/>
      <c r="E45" s="3"/>
      <c r="F45" s="7">
        <f t="shared" si="30"/>
        <v>0</v>
      </c>
      <c r="G45" s="3"/>
      <c r="H45" s="8">
        <v>399.62</v>
      </c>
      <c r="I45" s="3"/>
      <c r="J45" s="7">
        <f t="shared" si="31"/>
        <v>6.7933770948172658E-3</v>
      </c>
      <c r="K45" s="3"/>
      <c r="L45" s="8">
        <f t="shared" si="32"/>
        <v>-399.62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399.62</v>
      </c>
      <c r="U45" s="3"/>
      <c r="V45" s="7">
        <f t="shared" si="35"/>
        <v>6.7933770948172658E-3</v>
      </c>
      <c r="W45" s="3"/>
      <c r="X45" s="8">
        <f t="shared" si="36"/>
        <v>-399.62</v>
      </c>
      <c r="Y45" s="3"/>
      <c r="Z45" s="7">
        <f t="shared" si="37"/>
        <v>-1</v>
      </c>
    </row>
    <row r="46" spans="1:26" s="27" customFormat="1" outlineLevel="1" collapsed="1" x14ac:dyDescent="0.25">
      <c r="A46" s="28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-2.1800000000000002</v>
      </c>
      <c r="I46" s="1"/>
      <c r="J46" s="5">
        <f t="shared" si="31"/>
        <v>-3.7059111322510487E-5</v>
      </c>
      <c r="K46" s="1"/>
      <c r="L46" s="1">
        <f t="shared" si="32"/>
        <v>2.1800000000000002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-2.1800000000000002</v>
      </c>
      <c r="U46" s="1"/>
      <c r="V46" s="5">
        <f t="shared" si="35"/>
        <v>-3.7059111322510487E-5</v>
      </c>
      <c r="W46" s="1"/>
      <c r="X46" s="1">
        <f t="shared" si="36"/>
        <v>2.1800000000000002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8"/>
      <c r="E47" s="3"/>
      <c r="F47" s="7">
        <f t="shared" si="30"/>
        <v>0</v>
      </c>
      <c r="G47" s="3"/>
      <c r="H47" s="8">
        <v>-2.1800000000000002</v>
      </c>
      <c r="I47" s="3"/>
      <c r="J47" s="7">
        <f t="shared" si="31"/>
        <v>-3.7059111322510487E-5</v>
      </c>
      <c r="K47" s="3"/>
      <c r="L47" s="8">
        <f t="shared" si="32"/>
        <v>2.1800000000000002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-2.1800000000000002</v>
      </c>
      <c r="U47" s="3"/>
      <c r="V47" s="7">
        <f t="shared" si="35"/>
        <v>-3.7059111322510487E-5</v>
      </c>
      <c r="W47" s="3"/>
      <c r="X47" s="8">
        <f t="shared" si="36"/>
        <v>2.1800000000000002</v>
      </c>
      <c r="Y47" s="3"/>
      <c r="Z47" s="7">
        <f t="shared" si="37"/>
        <v>-1</v>
      </c>
    </row>
    <row r="48" spans="1:26" s="27" customFormat="1" outlineLevel="1" collapsed="1" x14ac:dyDescent="0.25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60</v>
      </c>
      <c r="E48" s="1"/>
      <c r="F48" s="5">
        <f t="shared" si="30"/>
        <v>0</v>
      </c>
      <c r="G48" s="1"/>
      <c r="H48" s="1">
        <f>SUM(OSRRefH22_4x_0)</f>
        <v>1549.46</v>
      </c>
      <c r="I48" s="1"/>
      <c r="J48" s="5">
        <f t="shared" si="31"/>
        <v>2.6340188362283072E-2</v>
      </c>
      <c r="K48" s="1"/>
      <c r="L48" s="1">
        <f t="shared" si="32"/>
        <v>-1489.46</v>
      </c>
      <c r="M48" s="1"/>
      <c r="N48" s="5">
        <f t="shared" si="33"/>
        <v>-0.96127683192854285</v>
      </c>
      <c r="O48" s="14"/>
      <c r="P48" s="1">
        <f>SUM(OSRRefP22_4x_0)</f>
        <v>60</v>
      </c>
      <c r="Q48" s="1"/>
      <c r="R48" s="5">
        <f t="shared" si="34"/>
        <v>0</v>
      </c>
      <c r="S48" s="1"/>
      <c r="T48" s="1">
        <f>SUM(OSRRefT22_4x_0)</f>
        <v>1549.46</v>
      </c>
      <c r="U48" s="1"/>
      <c r="V48" s="5">
        <f t="shared" si="35"/>
        <v>2.6340188362283072E-2</v>
      </c>
      <c r="W48" s="1"/>
      <c r="X48" s="1">
        <f t="shared" si="36"/>
        <v>-1489.46</v>
      </c>
      <c r="Y48" s="1"/>
      <c r="Z48" s="5">
        <f t="shared" si="37"/>
        <v>-0.96127683192854285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8">
        <v>60</v>
      </c>
      <c r="E49" s="3"/>
      <c r="F49" s="7">
        <f t="shared" si="30"/>
        <v>0</v>
      </c>
      <c r="G49" s="3"/>
      <c r="H49" s="8">
        <v>1549.46</v>
      </c>
      <c r="I49" s="3"/>
      <c r="J49" s="7">
        <f t="shared" si="31"/>
        <v>2.6340188362283072E-2</v>
      </c>
      <c r="K49" s="3"/>
      <c r="L49" s="8">
        <f t="shared" si="32"/>
        <v>-1489.46</v>
      </c>
      <c r="M49" s="3"/>
      <c r="N49" s="7">
        <f t="shared" si="33"/>
        <v>-0.96127683192854285</v>
      </c>
      <c r="O49" s="11"/>
      <c r="P49" s="8">
        <v>60</v>
      </c>
      <c r="Q49" s="3"/>
      <c r="R49" s="7">
        <f t="shared" si="34"/>
        <v>0</v>
      </c>
      <c r="S49" s="3"/>
      <c r="T49" s="8">
        <v>1549.46</v>
      </c>
      <c r="U49" s="3"/>
      <c r="V49" s="7">
        <f t="shared" si="35"/>
        <v>2.6340188362283072E-2</v>
      </c>
      <c r="W49" s="3"/>
      <c r="X49" s="8">
        <f t="shared" si="36"/>
        <v>-1489.46</v>
      </c>
      <c r="Y49" s="3"/>
      <c r="Z49" s="7">
        <f t="shared" si="37"/>
        <v>-0.96127683192854285</v>
      </c>
    </row>
    <row r="50" spans="1:26" s="27" customFormat="1" outlineLevel="1" collapsed="1" x14ac:dyDescent="0.25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8990.73</v>
      </c>
      <c r="E50" s="1"/>
      <c r="F50" s="5">
        <f t="shared" si="30"/>
        <v>0</v>
      </c>
      <c r="G50" s="1"/>
      <c r="H50" s="1">
        <f>SUM(OSRRefH22_5x_0)</f>
        <v>8403.48</v>
      </c>
      <c r="I50" s="1"/>
      <c r="J50" s="5">
        <f t="shared" si="31"/>
        <v>0.142855734319491</v>
      </c>
      <c r="K50" s="1"/>
      <c r="L50" s="1">
        <f t="shared" si="32"/>
        <v>587.25</v>
      </c>
      <c r="M50" s="1"/>
      <c r="N50" s="5">
        <f t="shared" si="33"/>
        <v>6.9881763269502642E-2</v>
      </c>
      <c r="O50" s="14"/>
      <c r="P50" s="1">
        <f>SUM(OSRRefP22_5x_0)</f>
        <v>8990.73</v>
      </c>
      <c r="Q50" s="1"/>
      <c r="R50" s="5">
        <f t="shared" si="34"/>
        <v>0</v>
      </c>
      <c r="S50" s="1"/>
      <c r="T50" s="1">
        <f>SUM(OSRRefT22_5x_0)</f>
        <v>8403.48</v>
      </c>
      <c r="U50" s="1"/>
      <c r="V50" s="5">
        <f t="shared" si="35"/>
        <v>0.142855734319491</v>
      </c>
      <c r="W50" s="1"/>
      <c r="X50" s="1">
        <f t="shared" si="36"/>
        <v>587.25</v>
      </c>
      <c r="Y50" s="1"/>
      <c r="Z50" s="5">
        <f t="shared" si="37"/>
        <v>6.9881763269502642E-2</v>
      </c>
    </row>
    <row r="51" spans="1:26" s="24" customFormat="1" hidden="1" outlineLevel="2" x14ac:dyDescent="0.25">
      <c r="A51" s="29"/>
      <c r="B51" s="11" t="str">
        <f>CONCATENATE("          ", "6321", " - ", "BUILDING DEPRECIATION")</f>
        <v xml:space="preserve">          6321 - BUILDING DEPRECIATION</v>
      </c>
      <c r="C51" s="11"/>
      <c r="D51" s="8">
        <v>5080.51</v>
      </c>
      <c r="E51" s="3"/>
      <c r="F51" s="7">
        <f t="shared" si="30"/>
        <v>0</v>
      </c>
      <c r="G51" s="3"/>
      <c r="H51" s="8">
        <v>5080.51</v>
      </c>
      <c r="I51" s="3"/>
      <c r="J51" s="7">
        <f t="shared" si="31"/>
        <v>8.6366598928957677E-2</v>
      </c>
      <c r="K51" s="3"/>
      <c r="L51" s="8">
        <f t="shared" si="32"/>
        <v>0</v>
      </c>
      <c r="M51" s="3"/>
      <c r="N51" s="7">
        <f t="shared" si="33"/>
        <v>0</v>
      </c>
      <c r="O51" s="11"/>
      <c r="P51" s="8">
        <v>5080.51</v>
      </c>
      <c r="Q51" s="3"/>
      <c r="R51" s="7">
        <f t="shared" si="34"/>
        <v>0</v>
      </c>
      <c r="S51" s="3"/>
      <c r="T51" s="8">
        <v>5080.51</v>
      </c>
      <c r="U51" s="3"/>
      <c r="V51" s="7">
        <f t="shared" si="35"/>
        <v>8.6366598928957677E-2</v>
      </c>
      <c r="W51" s="3"/>
      <c r="X51" s="8">
        <f t="shared" si="36"/>
        <v>0</v>
      </c>
      <c r="Y51" s="3"/>
      <c r="Z51" s="7">
        <f t="shared" si="37"/>
        <v>0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8">
        <v>3910.22</v>
      </c>
      <c r="E52" s="3"/>
      <c r="F52" s="7">
        <f t="shared" si="30"/>
        <v>0</v>
      </c>
      <c r="G52" s="3"/>
      <c r="H52" s="8">
        <v>3322.97</v>
      </c>
      <c r="I52" s="3"/>
      <c r="J52" s="7">
        <f t="shared" si="31"/>
        <v>5.6489135390533331E-2</v>
      </c>
      <c r="K52" s="3"/>
      <c r="L52" s="8">
        <f t="shared" si="32"/>
        <v>587.25</v>
      </c>
      <c r="M52" s="3"/>
      <c r="N52" s="7">
        <f t="shared" si="33"/>
        <v>0.17672443627237081</v>
      </c>
      <c r="O52" s="11"/>
      <c r="P52" s="8">
        <v>3910.22</v>
      </c>
      <c r="Q52" s="3"/>
      <c r="R52" s="7">
        <f t="shared" si="34"/>
        <v>0</v>
      </c>
      <c r="S52" s="3"/>
      <c r="T52" s="8">
        <v>3322.97</v>
      </c>
      <c r="U52" s="3"/>
      <c r="V52" s="7">
        <f t="shared" si="35"/>
        <v>5.6489135390533331E-2</v>
      </c>
      <c r="W52" s="3"/>
      <c r="X52" s="8">
        <f t="shared" si="36"/>
        <v>587.25</v>
      </c>
      <c r="Y52" s="3"/>
      <c r="Z52" s="7">
        <f t="shared" si="37"/>
        <v>0.17672443627237081</v>
      </c>
    </row>
    <row r="53" spans="1:26" s="27" customFormat="1" outlineLevel="1" collapsed="1" x14ac:dyDescent="0.25">
      <c r="A53" s="28"/>
      <c r="B53" s="14" t="str">
        <f>CONCATENATE("     ","Discounts and Markdowns                           ")</f>
        <v xml:space="preserve">     Discounts and Markdowns                           </v>
      </c>
      <c r="C53" s="14"/>
      <c r="D53" s="1">
        <f>SUM(OSRRefD22_6x_0)</f>
        <v>0</v>
      </c>
      <c r="E53" s="1"/>
      <c r="F53" s="5">
        <f t="shared" ref="F53:F73" si="38">IF(D$12=0,0,D53/D$12)</f>
        <v>0</v>
      </c>
      <c r="G53" s="1"/>
      <c r="H53" s="1">
        <f>SUM(OSRRefH22_6x_0)</f>
        <v>13.91</v>
      </c>
      <c r="I53" s="1"/>
      <c r="J53" s="5">
        <f t="shared" ref="J53:J73" si="39">IF(H$12=0,0,H53/H$12)</f>
        <v>2.3646432958537655E-4</v>
      </c>
      <c r="K53" s="1"/>
      <c r="L53" s="1">
        <f t="shared" ref="L53:L73" si="40">+D53-H53</f>
        <v>-13.91</v>
      </c>
      <c r="M53" s="1"/>
      <c r="N53" s="5">
        <f t="shared" ref="N53:N73" si="41">IF(H53=0,0,L53/H53)</f>
        <v>-1</v>
      </c>
      <c r="O53" s="14"/>
      <c r="P53" s="1">
        <f>SUM(OSRRefP22_6x_0)</f>
        <v>0</v>
      </c>
      <c r="Q53" s="1"/>
      <c r="R53" s="5">
        <f t="shared" ref="R53:R73" si="42">IF(P$12=0,0,P53/P$12)</f>
        <v>0</v>
      </c>
      <c r="S53" s="1"/>
      <c r="T53" s="1">
        <f>SUM(OSRRefT22_6x_0)</f>
        <v>13.91</v>
      </c>
      <c r="U53" s="1"/>
      <c r="V53" s="5">
        <f t="shared" ref="V53:V73" si="43">IF(T$12=0,0,T53/T$12)</f>
        <v>2.3646432958537655E-4</v>
      </c>
      <c r="W53" s="1"/>
      <c r="X53" s="1">
        <f t="shared" ref="X53:X73" si="44">+P53-T53</f>
        <v>-13.91</v>
      </c>
      <c r="Y53" s="1"/>
      <c r="Z53" s="5">
        <f t="shared" ref="Z53:Z73" si="45">IF(T53=0,0,X53/T53)</f>
        <v>-1</v>
      </c>
    </row>
    <row r="54" spans="1:26" s="24" customFormat="1" hidden="1" outlineLevel="2" x14ac:dyDescent="0.25">
      <c r="A54" s="29"/>
      <c r="B54" s="11" t="str">
        <f>CONCATENATE("          ", "6382", " - ", "DISCOUNTS/MARK DOWNS")</f>
        <v xml:space="preserve">          6382 - DISCOUNTS/MARK DOWNS</v>
      </c>
      <c r="C54" s="11"/>
      <c r="D54" s="8"/>
      <c r="E54" s="3"/>
      <c r="F54" s="7">
        <f t="shared" si="38"/>
        <v>0</v>
      </c>
      <c r="G54" s="3"/>
      <c r="H54" s="8">
        <v>13.91</v>
      </c>
      <c r="I54" s="3"/>
      <c r="J54" s="7">
        <f t="shared" si="39"/>
        <v>2.3646432958537655E-4</v>
      </c>
      <c r="K54" s="3"/>
      <c r="L54" s="8">
        <f t="shared" si="40"/>
        <v>-13.91</v>
      </c>
      <c r="M54" s="3"/>
      <c r="N54" s="7">
        <f t="shared" si="41"/>
        <v>-1</v>
      </c>
      <c r="O54" s="11"/>
      <c r="P54" s="8"/>
      <c r="Q54" s="3"/>
      <c r="R54" s="7">
        <f t="shared" si="42"/>
        <v>0</v>
      </c>
      <c r="S54" s="3"/>
      <c r="T54" s="8">
        <v>13.91</v>
      </c>
      <c r="U54" s="3"/>
      <c r="V54" s="7">
        <f t="shared" si="43"/>
        <v>2.3646432958537655E-4</v>
      </c>
      <c r="W54" s="3"/>
      <c r="X54" s="8">
        <f t="shared" si="44"/>
        <v>-13.91</v>
      </c>
      <c r="Y54" s="3"/>
      <c r="Z54" s="7">
        <f t="shared" si="45"/>
        <v>-1</v>
      </c>
    </row>
    <row r="55" spans="1:26" s="27" customFormat="1" outlineLevel="1" collapsed="1" x14ac:dyDescent="0.25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146.47</v>
      </c>
      <c r="I55" s="1"/>
      <c r="J55" s="5">
        <f t="shared" si="39"/>
        <v>2.4899302914716103E-3</v>
      </c>
      <c r="K55" s="1"/>
      <c r="L55" s="1">
        <f t="shared" si="40"/>
        <v>-146.47</v>
      </c>
      <c r="M55" s="1"/>
      <c r="N55" s="5">
        <f t="shared" si="41"/>
        <v>-1</v>
      </c>
      <c r="O55" s="14"/>
      <c r="P55" s="1">
        <f>SUM(OSRRefP22_7x_0)</f>
        <v>0</v>
      </c>
      <c r="Q55" s="1"/>
      <c r="R55" s="5">
        <f t="shared" si="42"/>
        <v>0</v>
      </c>
      <c r="S55" s="1"/>
      <c r="T55" s="1">
        <f>SUM(OSRRefT22_7x_0)</f>
        <v>146.47</v>
      </c>
      <c r="U55" s="1"/>
      <c r="V55" s="5">
        <f t="shared" si="43"/>
        <v>2.4899302914716103E-3</v>
      </c>
      <c r="W55" s="1"/>
      <c r="X55" s="1">
        <f t="shared" si="44"/>
        <v>-146.47</v>
      </c>
      <c r="Y55" s="1"/>
      <c r="Z55" s="5">
        <f t="shared" si="45"/>
        <v>-1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8"/>
      <c r="E56" s="3"/>
      <c r="F56" s="7">
        <f t="shared" si="38"/>
        <v>0</v>
      </c>
      <c r="G56" s="3"/>
      <c r="H56" s="8">
        <v>146.47</v>
      </c>
      <c r="I56" s="3"/>
      <c r="J56" s="7">
        <f t="shared" si="39"/>
        <v>2.4899302914716103E-3</v>
      </c>
      <c r="K56" s="3"/>
      <c r="L56" s="8">
        <f t="shared" si="40"/>
        <v>-146.47</v>
      </c>
      <c r="M56" s="3"/>
      <c r="N56" s="7">
        <f t="shared" si="41"/>
        <v>-1</v>
      </c>
      <c r="O56" s="11"/>
      <c r="P56" s="8"/>
      <c r="Q56" s="3"/>
      <c r="R56" s="7">
        <f t="shared" si="42"/>
        <v>0</v>
      </c>
      <c r="S56" s="3"/>
      <c r="T56" s="8">
        <v>146.47</v>
      </c>
      <c r="U56" s="3"/>
      <c r="V56" s="7">
        <f t="shared" si="43"/>
        <v>2.4899302914716103E-3</v>
      </c>
      <c r="W56" s="3"/>
      <c r="X56" s="8">
        <f t="shared" si="44"/>
        <v>-146.47</v>
      </c>
      <c r="Y56" s="3"/>
      <c r="Z56" s="7">
        <f t="shared" si="45"/>
        <v>-1</v>
      </c>
    </row>
    <row r="57" spans="1:26" s="27" customFormat="1" outlineLevel="1" collapsed="1" x14ac:dyDescent="0.25">
      <c r="A57" s="28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71.69</v>
      </c>
      <c r="I57" s="1"/>
      <c r="J57" s="5">
        <f t="shared" si="39"/>
        <v>1.2187007755554021E-3</v>
      </c>
      <c r="K57" s="1"/>
      <c r="L57" s="1">
        <f t="shared" si="40"/>
        <v>-71.69</v>
      </c>
      <c r="M57" s="1"/>
      <c r="N57" s="5">
        <f t="shared" si="41"/>
        <v>-1</v>
      </c>
      <c r="O57" s="14"/>
      <c r="P57" s="1">
        <f>SUM(OSRRefP22_8x_0)</f>
        <v>0</v>
      </c>
      <c r="Q57" s="1"/>
      <c r="R57" s="5">
        <f t="shared" si="42"/>
        <v>0</v>
      </c>
      <c r="S57" s="1"/>
      <c r="T57" s="1">
        <f>SUM(OSRRefT22_8x_0)</f>
        <v>71.69</v>
      </c>
      <c r="U57" s="1"/>
      <c r="V57" s="5">
        <f t="shared" si="43"/>
        <v>1.2187007755554021E-3</v>
      </c>
      <c r="W57" s="1"/>
      <c r="X57" s="1">
        <f t="shared" si="44"/>
        <v>-71.69</v>
      </c>
      <c r="Y57" s="1"/>
      <c r="Z57" s="5">
        <f t="shared" si="45"/>
        <v>-1</v>
      </c>
    </row>
    <row r="58" spans="1:26" s="24" customFormat="1" hidden="1" outlineLevel="2" x14ac:dyDescent="0.25">
      <c r="A58" s="29"/>
      <c r="B58" s="11" t="str">
        <f>CONCATENATE("          ", "6305", " - ", "FREIGHT OUT")</f>
        <v xml:space="preserve">          6305 - FREIGHT OUT</v>
      </c>
      <c r="C58" s="11"/>
      <c r="D58" s="8"/>
      <c r="E58" s="3"/>
      <c r="F58" s="7">
        <f t="shared" si="38"/>
        <v>0</v>
      </c>
      <c r="G58" s="3"/>
      <c r="H58" s="8">
        <v>71.69</v>
      </c>
      <c r="I58" s="3"/>
      <c r="J58" s="7">
        <f t="shared" si="39"/>
        <v>1.2187007755554021E-3</v>
      </c>
      <c r="K58" s="3"/>
      <c r="L58" s="8">
        <f t="shared" si="40"/>
        <v>-71.69</v>
      </c>
      <c r="M58" s="3"/>
      <c r="N58" s="7">
        <f t="shared" si="41"/>
        <v>-1</v>
      </c>
      <c r="O58" s="11"/>
      <c r="P58" s="8"/>
      <c r="Q58" s="3"/>
      <c r="R58" s="7">
        <f t="shared" si="42"/>
        <v>0</v>
      </c>
      <c r="S58" s="3"/>
      <c r="T58" s="8">
        <v>71.69</v>
      </c>
      <c r="U58" s="3"/>
      <c r="V58" s="7">
        <f t="shared" si="43"/>
        <v>1.2187007755554021E-3</v>
      </c>
      <c r="W58" s="3"/>
      <c r="X58" s="8">
        <f t="shared" si="44"/>
        <v>-71.69</v>
      </c>
      <c r="Y58" s="3"/>
      <c r="Z58" s="7">
        <f t="shared" si="45"/>
        <v>-1</v>
      </c>
    </row>
    <row r="59" spans="1:26" s="27" customFormat="1" outlineLevel="1" collapsed="1" x14ac:dyDescent="0.25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SUM(OSRRefD22_9x_0)</f>
        <v>1509.1</v>
      </c>
      <c r="E59" s="1"/>
      <c r="F59" s="5">
        <f t="shared" si="38"/>
        <v>0</v>
      </c>
      <c r="G59" s="1"/>
      <c r="H59" s="1">
        <f>SUM(OSRRefH22_9x_0)</f>
        <v>4428.8</v>
      </c>
      <c r="I59" s="1"/>
      <c r="J59" s="5">
        <f t="shared" si="39"/>
        <v>7.5287794598685523E-2</v>
      </c>
      <c r="K59" s="1"/>
      <c r="L59" s="1">
        <f t="shared" si="40"/>
        <v>-2919.7000000000003</v>
      </c>
      <c r="M59" s="1"/>
      <c r="N59" s="5">
        <f t="shared" si="41"/>
        <v>-0.65925307080924855</v>
      </c>
      <c r="O59" s="14"/>
      <c r="P59" s="1">
        <f>SUM(OSRRefP22_9x_0)</f>
        <v>1509.1</v>
      </c>
      <c r="Q59" s="1"/>
      <c r="R59" s="5">
        <f t="shared" si="42"/>
        <v>0</v>
      </c>
      <c r="S59" s="1"/>
      <c r="T59" s="1">
        <f>SUM(OSRRefT22_9x_0)</f>
        <v>4428.8</v>
      </c>
      <c r="U59" s="1"/>
      <c r="V59" s="5">
        <f t="shared" si="43"/>
        <v>7.5287794598685523E-2</v>
      </c>
      <c r="W59" s="1"/>
      <c r="X59" s="1">
        <f t="shared" si="44"/>
        <v>-2919.7000000000003</v>
      </c>
      <c r="Y59" s="1"/>
      <c r="Z59" s="5">
        <f t="shared" si="45"/>
        <v>-0.65925307080924855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8">
        <v>1509.1</v>
      </c>
      <c r="E60" s="3"/>
      <c r="F60" s="7">
        <f t="shared" si="38"/>
        <v>0</v>
      </c>
      <c r="G60" s="3"/>
      <c r="H60" s="8">
        <v>4428.8</v>
      </c>
      <c r="I60" s="3"/>
      <c r="J60" s="7">
        <f t="shared" si="39"/>
        <v>7.5287794598685523E-2</v>
      </c>
      <c r="K60" s="3"/>
      <c r="L60" s="8">
        <f t="shared" si="40"/>
        <v>-2919.7000000000003</v>
      </c>
      <c r="M60" s="3"/>
      <c r="N60" s="7">
        <f t="shared" si="41"/>
        <v>-0.65925307080924855</v>
      </c>
      <c r="O60" s="11"/>
      <c r="P60" s="8">
        <v>1509.1</v>
      </c>
      <c r="Q60" s="3"/>
      <c r="R60" s="7">
        <f t="shared" si="42"/>
        <v>0</v>
      </c>
      <c r="S60" s="3"/>
      <c r="T60" s="8">
        <v>4428.8</v>
      </c>
      <c r="U60" s="3"/>
      <c r="V60" s="7">
        <f t="shared" si="43"/>
        <v>7.5287794598685523E-2</v>
      </c>
      <c r="W60" s="3"/>
      <c r="X60" s="8">
        <f t="shared" si="44"/>
        <v>-2919.7000000000003</v>
      </c>
      <c r="Y60" s="3"/>
      <c r="Z60" s="7">
        <f t="shared" si="45"/>
        <v>-0.65925307080924855</v>
      </c>
    </row>
    <row r="61" spans="1:26" s="27" customFormat="1" outlineLevel="1" collapsed="1" x14ac:dyDescent="0.25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SUM(OSRRefD22_10x_0)</f>
        <v>243.54</v>
      </c>
      <c r="E61" s="1"/>
      <c r="F61" s="5">
        <f t="shared" si="38"/>
        <v>0</v>
      </c>
      <c r="G61" s="1"/>
      <c r="H61" s="1">
        <f>SUM(OSRRefH22_10x_0)</f>
        <v>243.54</v>
      </c>
      <c r="I61" s="1"/>
      <c r="J61" s="5">
        <f t="shared" si="39"/>
        <v>4.1400807208643135E-3</v>
      </c>
      <c r="K61" s="1"/>
      <c r="L61" s="1">
        <f t="shared" si="40"/>
        <v>0</v>
      </c>
      <c r="M61" s="1"/>
      <c r="N61" s="5">
        <f t="shared" si="41"/>
        <v>0</v>
      </c>
      <c r="O61" s="14"/>
      <c r="P61" s="1">
        <f>SUM(OSRRefP22_10x_0)</f>
        <v>243.54</v>
      </c>
      <c r="Q61" s="1"/>
      <c r="R61" s="5">
        <f t="shared" si="42"/>
        <v>0</v>
      </c>
      <c r="S61" s="1"/>
      <c r="T61" s="1">
        <f>SUM(OSRRefT22_10x_0)</f>
        <v>243.54</v>
      </c>
      <c r="U61" s="1"/>
      <c r="V61" s="5">
        <f t="shared" si="43"/>
        <v>4.1400807208643135E-3</v>
      </c>
      <c r="W61" s="1"/>
      <c r="X61" s="1">
        <f t="shared" si="44"/>
        <v>0</v>
      </c>
      <c r="Y61" s="1"/>
      <c r="Z61" s="5">
        <f t="shared" si="45"/>
        <v>0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8">
        <v>243.54</v>
      </c>
      <c r="E62" s="3"/>
      <c r="F62" s="7">
        <f t="shared" si="38"/>
        <v>0</v>
      </c>
      <c r="G62" s="3"/>
      <c r="H62" s="8">
        <v>243.54</v>
      </c>
      <c r="I62" s="3"/>
      <c r="J62" s="7">
        <f t="shared" si="39"/>
        <v>4.1400807208643135E-3</v>
      </c>
      <c r="K62" s="3"/>
      <c r="L62" s="8">
        <f t="shared" si="40"/>
        <v>0</v>
      </c>
      <c r="M62" s="3"/>
      <c r="N62" s="7">
        <f t="shared" si="41"/>
        <v>0</v>
      </c>
      <c r="O62" s="11"/>
      <c r="P62" s="8">
        <v>243.54</v>
      </c>
      <c r="Q62" s="3"/>
      <c r="R62" s="7">
        <f t="shared" si="42"/>
        <v>0</v>
      </c>
      <c r="S62" s="3"/>
      <c r="T62" s="8">
        <v>243.54</v>
      </c>
      <c r="U62" s="3"/>
      <c r="V62" s="7">
        <f t="shared" si="43"/>
        <v>4.1400807208643135E-3</v>
      </c>
      <c r="W62" s="3"/>
      <c r="X62" s="8">
        <f t="shared" si="44"/>
        <v>0</v>
      </c>
      <c r="Y62" s="3"/>
      <c r="Z62" s="7">
        <f t="shared" si="45"/>
        <v>0</v>
      </c>
    </row>
    <row r="63" spans="1:26" s="27" customFormat="1" outlineLevel="1" collapsed="1" x14ac:dyDescent="0.25">
      <c r="A63" s="28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SUM(OSRRefD22_11x_0)</f>
        <v>4044</v>
      </c>
      <c r="E63" s="1"/>
      <c r="F63" s="5">
        <f t="shared" si="38"/>
        <v>0</v>
      </c>
      <c r="G63" s="1"/>
      <c r="H63" s="1">
        <f>SUM(OSRRefH22_11x_0)</f>
        <v>4110</v>
      </c>
      <c r="I63" s="1"/>
      <c r="J63" s="5">
        <f t="shared" si="39"/>
        <v>6.9868324557577105E-2</v>
      </c>
      <c r="K63" s="1"/>
      <c r="L63" s="1">
        <f t="shared" si="40"/>
        <v>-66</v>
      </c>
      <c r="M63" s="1"/>
      <c r="N63" s="5">
        <f t="shared" si="41"/>
        <v>-1.6058394160583942E-2</v>
      </c>
      <c r="O63" s="14"/>
      <c r="P63" s="1">
        <f>SUM(OSRRefP22_11x_0)</f>
        <v>4044</v>
      </c>
      <c r="Q63" s="1"/>
      <c r="R63" s="5">
        <f t="shared" si="42"/>
        <v>0</v>
      </c>
      <c r="S63" s="1"/>
      <c r="T63" s="1">
        <f>SUM(OSRRefT22_11x_0)</f>
        <v>4110</v>
      </c>
      <c r="U63" s="1"/>
      <c r="V63" s="5">
        <f t="shared" si="43"/>
        <v>6.9868324557577105E-2</v>
      </c>
      <c r="W63" s="1"/>
      <c r="X63" s="1">
        <f t="shared" si="44"/>
        <v>-66</v>
      </c>
      <c r="Y63" s="1"/>
      <c r="Z63" s="5">
        <f t="shared" si="45"/>
        <v>-1.6058394160583942E-2</v>
      </c>
    </row>
    <row r="64" spans="1:26" s="24" customFormat="1" hidden="1" outlineLevel="2" x14ac:dyDescent="0.25">
      <c r="A64" s="29"/>
      <c r="B64" s="11" t="str">
        <f>CONCATENATE("          ", "6401", " - ", "INTEREST EXPENSE")</f>
        <v xml:space="preserve">          6401 - INTEREST EXPENSE</v>
      </c>
      <c r="C64" s="11"/>
      <c r="D64" s="8">
        <v>4044</v>
      </c>
      <c r="E64" s="3"/>
      <c r="F64" s="7">
        <f t="shared" si="38"/>
        <v>0</v>
      </c>
      <c r="G64" s="3"/>
      <c r="H64" s="8">
        <v>4110</v>
      </c>
      <c r="I64" s="3"/>
      <c r="J64" s="7">
        <f t="shared" si="39"/>
        <v>6.9868324557577105E-2</v>
      </c>
      <c r="K64" s="3"/>
      <c r="L64" s="8">
        <f t="shared" si="40"/>
        <v>-66</v>
      </c>
      <c r="M64" s="3"/>
      <c r="N64" s="7">
        <f t="shared" si="41"/>
        <v>-1.6058394160583942E-2</v>
      </c>
      <c r="O64" s="11"/>
      <c r="P64" s="8">
        <v>4044</v>
      </c>
      <c r="Q64" s="3"/>
      <c r="R64" s="7">
        <f t="shared" si="42"/>
        <v>0</v>
      </c>
      <c r="S64" s="3"/>
      <c r="T64" s="8">
        <v>4110</v>
      </c>
      <c r="U64" s="3"/>
      <c r="V64" s="7">
        <f t="shared" si="43"/>
        <v>6.9868324557577105E-2</v>
      </c>
      <c r="W64" s="3"/>
      <c r="X64" s="8">
        <f t="shared" si="44"/>
        <v>-66</v>
      </c>
      <c r="Y64" s="3"/>
      <c r="Z64" s="7">
        <f t="shared" si="45"/>
        <v>-1.6058394160583942E-2</v>
      </c>
    </row>
    <row r="65" spans="1:26" s="27" customFormat="1" outlineLevel="1" collapsed="1" x14ac:dyDescent="0.25">
      <c r="A65" s="28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SUM(OSRRefD22_12x_0)</f>
        <v>0</v>
      </c>
      <c r="E65" s="1"/>
      <c r="F65" s="5">
        <f t="shared" si="38"/>
        <v>0</v>
      </c>
      <c r="G65" s="1"/>
      <c r="H65" s="1">
        <f>SUM(OSRRefH22_12x_0)</f>
        <v>1150</v>
      </c>
      <c r="I65" s="1"/>
      <c r="J65" s="5">
        <f t="shared" si="39"/>
        <v>1.954953120224177E-2</v>
      </c>
      <c r="K65" s="1"/>
      <c r="L65" s="1">
        <f t="shared" si="40"/>
        <v>-1150</v>
      </c>
      <c r="M65" s="1"/>
      <c r="N65" s="5">
        <f t="shared" si="41"/>
        <v>-1</v>
      </c>
      <c r="O65" s="14"/>
      <c r="P65" s="1">
        <f>SUM(OSRRefP22_12x_0)</f>
        <v>0</v>
      </c>
      <c r="Q65" s="1"/>
      <c r="R65" s="5">
        <f t="shared" si="42"/>
        <v>0</v>
      </c>
      <c r="S65" s="1"/>
      <c r="T65" s="1">
        <f>SUM(OSRRefT22_12x_0)</f>
        <v>1150</v>
      </c>
      <c r="U65" s="1"/>
      <c r="V65" s="5">
        <f t="shared" si="43"/>
        <v>1.954953120224177E-2</v>
      </c>
      <c r="W65" s="1"/>
      <c r="X65" s="1">
        <f t="shared" si="44"/>
        <v>-1150</v>
      </c>
      <c r="Y65" s="1"/>
      <c r="Z65" s="5">
        <f t="shared" si="45"/>
        <v>-1</v>
      </c>
    </row>
    <row r="66" spans="1:26" s="24" customFormat="1" hidden="1" outlineLevel="2" x14ac:dyDescent="0.25">
      <c r="A66" s="29"/>
      <c r="B66" s="11" t="str">
        <f>CONCATENATE("          ", "6273", " - ", "RENT")</f>
        <v xml:space="preserve">          6273 - RENT</v>
      </c>
      <c r="C66" s="11"/>
      <c r="D66" s="8"/>
      <c r="E66" s="3"/>
      <c r="F66" s="7">
        <f t="shared" si="38"/>
        <v>0</v>
      </c>
      <c r="G66" s="3"/>
      <c r="H66" s="8">
        <v>1150</v>
      </c>
      <c r="I66" s="3"/>
      <c r="J66" s="7">
        <f t="shared" si="39"/>
        <v>1.954953120224177E-2</v>
      </c>
      <c r="K66" s="3"/>
      <c r="L66" s="8">
        <f t="shared" si="40"/>
        <v>-1150</v>
      </c>
      <c r="M66" s="3"/>
      <c r="N66" s="7">
        <f t="shared" si="41"/>
        <v>-1</v>
      </c>
      <c r="O66" s="11"/>
      <c r="P66" s="8"/>
      <c r="Q66" s="3"/>
      <c r="R66" s="7">
        <f t="shared" si="42"/>
        <v>0</v>
      </c>
      <c r="S66" s="3"/>
      <c r="T66" s="8">
        <v>1150</v>
      </c>
      <c r="U66" s="3"/>
      <c r="V66" s="7">
        <f t="shared" si="43"/>
        <v>1.954953120224177E-2</v>
      </c>
      <c r="W66" s="3"/>
      <c r="X66" s="8">
        <f t="shared" si="44"/>
        <v>-1150</v>
      </c>
      <c r="Y66" s="3"/>
      <c r="Z66" s="7">
        <f t="shared" si="45"/>
        <v>-1</v>
      </c>
    </row>
    <row r="67" spans="1:26" s="27" customFormat="1" outlineLevel="1" collapsed="1" x14ac:dyDescent="0.25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SUM(OSRRefD22_13x_0)</f>
        <v>114</v>
      </c>
      <c r="E67" s="1"/>
      <c r="F67" s="5">
        <f t="shared" si="38"/>
        <v>0</v>
      </c>
      <c r="G67" s="1"/>
      <c r="H67" s="1">
        <f>SUM(OSRRefH22_13x_0)</f>
        <v>1762.79</v>
      </c>
      <c r="I67" s="1"/>
      <c r="J67" s="5">
        <f t="shared" si="39"/>
        <v>2.9966711398260668E-2</v>
      </c>
      <c r="K67" s="1"/>
      <c r="L67" s="1">
        <f t="shared" si="40"/>
        <v>-1648.79</v>
      </c>
      <c r="M67" s="1"/>
      <c r="N67" s="5">
        <f t="shared" si="41"/>
        <v>-0.93532978970836</v>
      </c>
      <c r="O67" s="14"/>
      <c r="P67" s="1">
        <f>SUM(OSRRefP22_13x_0)</f>
        <v>114</v>
      </c>
      <c r="Q67" s="1"/>
      <c r="R67" s="5">
        <f t="shared" si="42"/>
        <v>0</v>
      </c>
      <c r="S67" s="1"/>
      <c r="T67" s="1">
        <f>SUM(OSRRefT22_13x_0)</f>
        <v>1762.79</v>
      </c>
      <c r="U67" s="1"/>
      <c r="V67" s="5">
        <f t="shared" si="43"/>
        <v>2.9966711398260668E-2</v>
      </c>
      <c r="W67" s="1"/>
      <c r="X67" s="1">
        <f t="shared" si="44"/>
        <v>-1648.79</v>
      </c>
      <c r="Y67" s="1"/>
      <c r="Z67" s="5">
        <f t="shared" si="45"/>
        <v>-0.93532978970836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8">
        <v>114</v>
      </c>
      <c r="E68" s="3"/>
      <c r="F68" s="7">
        <f t="shared" si="38"/>
        <v>0</v>
      </c>
      <c r="G68" s="3"/>
      <c r="H68" s="8">
        <v>1762.79</v>
      </c>
      <c r="I68" s="3"/>
      <c r="J68" s="7">
        <f t="shared" si="39"/>
        <v>2.9966711398260668E-2</v>
      </c>
      <c r="K68" s="3"/>
      <c r="L68" s="8">
        <f t="shared" si="40"/>
        <v>-1648.79</v>
      </c>
      <c r="M68" s="3"/>
      <c r="N68" s="7">
        <f t="shared" si="41"/>
        <v>-0.93532978970836</v>
      </c>
      <c r="O68" s="11"/>
      <c r="P68" s="8">
        <v>114</v>
      </c>
      <c r="Q68" s="3"/>
      <c r="R68" s="7">
        <f t="shared" si="42"/>
        <v>0</v>
      </c>
      <c r="S68" s="3"/>
      <c r="T68" s="8">
        <v>1762.79</v>
      </c>
      <c r="U68" s="3"/>
      <c r="V68" s="7">
        <f t="shared" si="43"/>
        <v>2.9966711398260668E-2</v>
      </c>
      <c r="W68" s="3"/>
      <c r="X68" s="8">
        <f t="shared" si="44"/>
        <v>-1648.79</v>
      </c>
      <c r="Y68" s="3"/>
      <c r="Z68" s="7">
        <f t="shared" si="45"/>
        <v>-0.93532978970836</v>
      </c>
    </row>
    <row r="69" spans="1:26" s="27" customFormat="1" outlineLevel="1" collapsed="1" x14ac:dyDescent="0.25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-804.6</v>
      </c>
      <c r="E69" s="1"/>
      <c r="F69" s="5">
        <f t="shared" si="38"/>
        <v>0</v>
      </c>
      <c r="G69" s="1"/>
      <c r="H69" s="1">
        <f>SUM(OSRRefH22_14x_0)</f>
        <v>1452.44</v>
      </c>
      <c r="I69" s="1"/>
      <c r="J69" s="5">
        <f t="shared" si="39"/>
        <v>2.4690887912507859E-2</v>
      </c>
      <c r="K69" s="1"/>
      <c r="L69" s="1">
        <f t="shared" si="40"/>
        <v>-2257.04</v>
      </c>
      <c r="M69" s="1"/>
      <c r="N69" s="5">
        <f t="shared" si="41"/>
        <v>-1.5539643634160447</v>
      </c>
      <c r="O69" s="14"/>
      <c r="P69" s="1">
        <f>SUM(OSRRefP22_14x_0)</f>
        <v>-804.6</v>
      </c>
      <c r="Q69" s="1"/>
      <c r="R69" s="5">
        <f t="shared" si="42"/>
        <v>0</v>
      </c>
      <c r="S69" s="1"/>
      <c r="T69" s="1">
        <f>SUM(OSRRefT22_14x_0)</f>
        <v>1452.44</v>
      </c>
      <c r="U69" s="1"/>
      <c r="V69" s="5">
        <f t="shared" si="43"/>
        <v>2.4690887912507859E-2</v>
      </c>
      <c r="W69" s="1"/>
      <c r="X69" s="1">
        <f t="shared" si="44"/>
        <v>-2257.04</v>
      </c>
      <c r="Y69" s="1"/>
      <c r="Z69" s="5">
        <f t="shared" si="45"/>
        <v>-1.5539643634160447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8"/>
      <c r="E70" s="3"/>
      <c r="F70" s="7">
        <f t="shared" si="38"/>
        <v>0</v>
      </c>
      <c r="G70" s="3"/>
      <c r="H70" s="8">
        <v>602.09</v>
      </c>
      <c r="I70" s="3"/>
      <c r="J70" s="7">
        <f t="shared" si="39"/>
        <v>1.0235284557876301E-2</v>
      </c>
      <c r="K70" s="3"/>
      <c r="L70" s="8">
        <f t="shared" si="40"/>
        <v>-602.09</v>
      </c>
      <c r="M70" s="3"/>
      <c r="N70" s="7">
        <f t="shared" si="41"/>
        <v>-1</v>
      </c>
      <c r="O70" s="11"/>
      <c r="P70" s="8"/>
      <c r="Q70" s="3"/>
      <c r="R70" s="7">
        <f t="shared" si="42"/>
        <v>0</v>
      </c>
      <c r="S70" s="3"/>
      <c r="T70" s="8">
        <v>602.09</v>
      </c>
      <c r="U70" s="3"/>
      <c r="V70" s="7">
        <f t="shared" si="43"/>
        <v>1.0235284557876301E-2</v>
      </c>
      <c r="W70" s="3"/>
      <c r="X70" s="8">
        <f t="shared" si="44"/>
        <v>-602.09</v>
      </c>
      <c r="Y70" s="3"/>
      <c r="Z70" s="7">
        <f t="shared" si="45"/>
        <v>-1</v>
      </c>
    </row>
    <row r="71" spans="1:26" s="24" customFormat="1" hidden="1" outlineLevel="2" x14ac:dyDescent="0.25">
      <c r="A71" s="29"/>
      <c r="B71" s="11" t="str">
        <f>CONCATENATE("          ", "6284", " - ", "TRASH REMOVAL EXPENSE")</f>
        <v xml:space="preserve">          6284 - TRASH REMOVAL EXPENSE</v>
      </c>
      <c r="C71" s="11"/>
      <c r="D71" s="8"/>
      <c r="E71" s="3"/>
      <c r="F71" s="7">
        <f t="shared" si="38"/>
        <v>0</v>
      </c>
      <c r="G71" s="3"/>
      <c r="H71" s="8">
        <v>237</v>
      </c>
      <c r="I71" s="3"/>
      <c r="J71" s="7">
        <f t="shared" si="39"/>
        <v>4.0289033868967823E-3</v>
      </c>
      <c r="K71" s="3"/>
      <c r="L71" s="8">
        <f t="shared" si="40"/>
        <v>-237</v>
      </c>
      <c r="M71" s="3"/>
      <c r="N71" s="7">
        <f t="shared" si="41"/>
        <v>-1</v>
      </c>
      <c r="O71" s="11"/>
      <c r="P71" s="8"/>
      <c r="Q71" s="3"/>
      <c r="R71" s="7">
        <f t="shared" si="42"/>
        <v>0</v>
      </c>
      <c r="S71" s="3"/>
      <c r="T71" s="8">
        <v>237</v>
      </c>
      <c r="U71" s="3"/>
      <c r="V71" s="7">
        <f t="shared" si="43"/>
        <v>4.0289033868967823E-3</v>
      </c>
      <c r="W71" s="3"/>
      <c r="X71" s="8">
        <f t="shared" si="44"/>
        <v>-237</v>
      </c>
      <c r="Y71" s="3"/>
      <c r="Z71" s="7">
        <f t="shared" si="45"/>
        <v>-1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8">
        <v>-804.6</v>
      </c>
      <c r="E72" s="3"/>
      <c r="F72" s="7">
        <f t="shared" si="38"/>
        <v>0</v>
      </c>
      <c r="G72" s="3"/>
      <c r="H72" s="8">
        <v>22.62</v>
      </c>
      <c r="I72" s="3"/>
      <c r="J72" s="7">
        <f t="shared" si="39"/>
        <v>3.8453077895192071E-4</v>
      </c>
      <c r="K72" s="3"/>
      <c r="L72" s="8">
        <f t="shared" si="40"/>
        <v>-827.22</v>
      </c>
      <c r="M72" s="3"/>
      <c r="N72" s="7">
        <f t="shared" si="41"/>
        <v>-36.570291777188331</v>
      </c>
      <c r="O72" s="11"/>
      <c r="P72" s="8">
        <v>-804.6</v>
      </c>
      <c r="Q72" s="3"/>
      <c r="R72" s="7">
        <f t="shared" si="42"/>
        <v>0</v>
      </c>
      <c r="S72" s="3"/>
      <c r="T72" s="8">
        <v>22.62</v>
      </c>
      <c r="U72" s="3"/>
      <c r="V72" s="7">
        <f t="shared" si="43"/>
        <v>3.8453077895192071E-4</v>
      </c>
      <c r="W72" s="3"/>
      <c r="X72" s="8">
        <f t="shared" si="44"/>
        <v>-827.22</v>
      </c>
      <c r="Y72" s="3"/>
      <c r="Z72" s="7">
        <f t="shared" si="45"/>
        <v>-36.570291777188331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8"/>
      <c r="E73" s="3"/>
      <c r="F73" s="7">
        <f t="shared" si="38"/>
        <v>0</v>
      </c>
      <c r="G73" s="3"/>
      <c r="H73" s="8">
        <v>590.73</v>
      </c>
      <c r="I73" s="3"/>
      <c r="J73" s="7">
        <f t="shared" si="39"/>
        <v>1.0042169188782852E-2</v>
      </c>
      <c r="K73" s="3"/>
      <c r="L73" s="8">
        <f t="shared" si="40"/>
        <v>-590.73</v>
      </c>
      <c r="M73" s="3"/>
      <c r="N73" s="7">
        <f t="shared" si="41"/>
        <v>-1</v>
      </c>
      <c r="O73" s="11"/>
      <c r="P73" s="8"/>
      <c r="Q73" s="3"/>
      <c r="R73" s="7">
        <f t="shared" si="42"/>
        <v>0</v>
      </c>
      <c r="S73" s="3"/>
      <c r="T73" s="8">
        <v>590.73</v>
      </c>
      <c r="U73" s="3"/>
      <c r="V73" s="7">
        <f t="shared" si="43"/>
        <v>1.0042169188782852E-2</v>
      </c>
      <c r="W73" s="3"/>
      <c r="X73" s="8">
        <f t="shared" si="44"/>
        <v>-590.73</v>
      </c>
      <c r="Y73" s="3"/>
      <c r="Z73" s="7">
        <f t="shared" si="45"/>
        <v>-1</v>
      </c>
    </row>
    <row r="74" spans="1:26" s="27" customFormat="1" outlineLevel="1" collapsed="1" x14ac:dyDescent="0.25">
      <c r="A74" s="28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SUM(OSRRefD22_15x_0)</f>
        <v>0</v>
      </c>
      <c r="E74" s="1"/>
      <c r="F74" s="5">
        <f t="shared" ref="F74:F80" si="46">IF(D$12=0,0,D74/D$12)</f>
        <v>0</v>
      </c>
      <c r="G74" s="1"/>
      <c r="H74" s="1">
        <f>SUM(OSRRefH22_15x_0)</f>
        <v>176.4</v>
      </c>
      <c r="I74" s="1"/>
      <c r="J74" s="5">
        <f t="shared" ref="J74:J80" si="47">IF(H$12=0,0,H74/H$12)</f>
        <v>2.9987280905003897E-3</v>
      </c>
      <c r="K74" s="1"/>
      <c r="L74" s="1">
        <f t="shared" ref="L74:L80" si="48">+D74-H74</f>
        <v>-176.4</v>
      </c>
      <c r="M74" s="1"/>
      <c r="N74" s="5">
        <f t="shared" ref="N74:N80" si="49">IF(H74=0,0,L74/H74)</f>
        <v>-1</v>
      </c>
      <c r="O74" s="14"/>
      <c r="P74" s="1">
        <f>SUM(OSRRefP22_15x_0)</f>
        <v>0</v>
      </c>
      <c r="Q74" s="1"/>
      <c r="R74" s="5">
        <f t="shared" ref="R74:R80" si="50">IF(P$12=0,0,P74/P$12)</f>
        <v>0</v>
      </c>
      <c r="S74" s="1"/>
      <c r="T74" s="1">
        <f>SUM(OSRRefT22_15x_0)</f>
        <v>176.4</v>
      </c>
      <c r="U74" s="1"/>
      <c r="V74" s="5">
        <f t="shared" ref="V74:V80" si="51">IF(T$12=0,0,T74/T$12)</f>
        <v>2.9987280905003897E-3</v>
      </c>
      <c r="W74" s="1"/>
      <c r="X74" s="1">
        <f t="shared" ref="X74:X80" si="52">+P74-T74</f>
        <v>-176.4</v>
      </c>
      <c r="Y74" s="1"/>
      <c r="Z74" s="5">
        <f t="shared" ref="Z74:Z80" si="53">IF(T74=0,0,X74/T74)</f>
        <v>-1</v>
      </c>
    </row>
    <row r="75" spans="1:26" s="24" customFormat="1" hidden="1" outlineLevel="2" x14ac:dyDescent="0.25">
      <c r="A75" s="29"/>
      <c r="B75" s="11" t="str">
        <f>CONCATENATE("          ", "6275", " - ", "SUBSCRIPTIONS")</f>
        <v xml:space="preserve">          6275 - SUBSCRIPTIONS</v>
      </c>
      <c r="C75" s="11"/>
      <c r="D75" s="8"/>
      <c r="E75" s="3"/>
      <c r="F75" s="7">
        <f t="shared" si="46"/>
        <v>0</v>
      </c>
      <c r="G75" s="3"/>
      <c r="H75" s="8">
        <v>176.4</v>
      </c>
      <c r="I75" s="3"/>
      <c r="J75" s="7">
        <f t="shared" si="47"/>
        <v>2.9987280905003897E-3</v>
      </c>
      <c r="K75" s="3"/>
      <c r="L75" s="8">
        <f t="shared" si="48"/>
        <v>-176.4</v>
      </c>
      <c r="M75" s="3"/>
      <c r="N75" s="7">
        <f t="shared" si="49"/>
        <v>-1</v>
      </c>
      <c r="O75" s="11"/>
      <c r="P75" s="8"/>
      <c r="Q75" s="3"/>
      <c r="R75" s="7">
        <f t="shared" si="50"/>
        <v>0</v>
      </c>
      <c r="S75" s="3"/>
      <c r="T75" s="8">
        <v>176.4</v>
      </c>
      <c r="U75" s="3"/>
      <c r="V75" s="7">
        <f t="shared" si="51"/>
        <v>2.9987280905003897E-3</v>
      </c>
      <c r="W75" s="3"/>
      <c r="X75" s="8">
        <f t="shared" si="52"/>
        <v>-176.4</v>
      </c>
      <c r="Y75" s="3"/>
      <c r="Z75" s="7">
        <f t="shared" si="53"/>
        <v>-1</v>
      </c>
    </row>
    <row r="76" spans="1:26" s="27" customFormat="1" outlineLevel="1" collapsed="1" x14ac:dyDescent="0.25">
      <c r="A76" s="28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SUM(OSRRefD22_16x_0)</f>
        <v>207.27</v>
      </c>
      <c r="E76" s="1"/>
      <c r="F76" s="5">
        <f t="shared" si="46"/>
        <v>0</v>
      </c>
      <c r="G76" s="1"/>
      <c r="H76" s="1">
        <f>SUM(OSRRefH22_16x_0)</f>
        <v>7402.15</v>
      </c>
      <c r="I76" s="1"/>
      <c r="J76" s="5">
        <f t="shared" si="47"/>
        <v>0.12583353251189036</v>
      </c>
      <c r="K76" s="1"/>
      <c r="L76" s="1">
        <f t="shared" si="48"/>
        <v>-7194.8799999999992</v>
      </c>
      <c r="M76" s="1"/>
      <c r="N76" s="5">
        <f t="shared" si="49"/>
        <v>-0.97199867606033374</v>
      </c>
      <c r="O76" s="14"/>
      <c r="P76" s="1">
        <f>SUM(OSRRefP22_16x_0)</f>
        <v>207.27</v>
      </c>
      <c r="Q76" s="1"/>
      <c r="R76" s="5">
        <f t="shared" si="50"/>
        <v>0</v>
      </c>
      <c r="S76" s="1"/>
      <c r="T76" s="1">
        <f>SUM(OSRRefT22_16x_0)</f>
        <v>7402.15</v>
      </c>
      <c r="U76" s="1"/>
      <c r="V76" s="5">
        <f t="shared" si="51"/>
        <v>0.12583353251189036</v>
      </c>
      <c r="W76" s="1"/>
      <c r="X76" s="1">
        <f t="shared" si="52"/>
        <v>-7194.8799999999992</v>
      </c>
      <c r="Y76" s="1"/>
      <c r="Z76" s="5">
        <f t="shared" si="53"/>
        <v>-0.97199867606033374</v>
      </c>
    </row>
    <row r="77" spans="1:26" s="24" customFormat="1" hidden="1" outlineLevel="2" x14ac:dyDescent="0.25">
      <c r="A77" s="29"/>
      <c r="B77" s="11" t="str">
        <f>CONCATENATE("          ", "6235", " - ", "COVID-19 EXPENSES")</f>
        <v xml:space="preserve">          6235 - COVID-19 EXPENSES</v>
      </c>
      <c r="C77" s="11"/>
      <c r="D77" s="8">
        <v>207.27</v>
      </c>
      <c r="E77" s="3"/>
      <c r="F77" s="7">
        <f t="shared" si="46"/>
        <v>0</v>
      </c>
      <c r="G77" s="3"/>
      <c r="H77" s="8"/>
      <c r="I77" s="3"/>
      <c r="J77" s="7">
        <f t="shared" si="47"/>
        <v>0</v>
      </c>
      <c r="K77" s="3"/>
      <c r="L77" s="8">
        <f t="shared" si="48"/>
        <v>207.27</v>
      </c>
      <c r="M77" s="3"/>
      <c r="N77" s="7">
        <f t="shared" si="49"/>
        <v>0</v>
      </c>
      <c r="O77" s="11"/>
      <c r="P77" s="8">
        <v>207.27</v>
      </c>
      <c r="Q77" s="3"/>
      <c r="R77" s="7">
        <f t="shared" si="50"/>
        <v>0</v>
      </c>
      <c r="S77" s="3"/>
      <c r="T77" s="8"/>
      <c r="U77" s="3"/>
      <c r="V77" s="7">
        <f t="shared" si="51"/>
        <v>0</v>
      </c>
      <c r="W77" s="3"/>
      <c r="X77" s="8">
        <f t="shared" si="52"/>
        <v>207.27</v>
      </c>
      <c r="Y77" s="3"/>
      <c r="Z77" s="7">
        <f t="shared" si="53"/>
        <v>0</v>
      </c>
    </row>
    <row r="78" spans="1:26" s="24" customFormat="1" hidden="1" outlineLevel="2" x14ac:dyDescent="0.25">
      <c r="A78" s="29"/>
      <c r="B78" s="11" t="str">
        <f>CONCATENATE("          ", "6237", " - ", "JANITORIAL SUPPLIES")</f>
        <v xml:space="preserve">          6237 - JANITORIAL SUPPLIES</v>
      </c>
      <c r="C78" s="11"/>
      <c r="D78" s="8"/>
      <c r="E78" s="3"/>
      <c r="F78" s="7">
        <f t="shared" si="46"/>
        <v>0</v>
      </c>
      <c r="G78" s="3"/>
      <c r="H78" s="8">
        <v>377.32</v>
      </c>
      <c r="I78" s="3"/>
      <c r="J78" s="7">
        <f t="shared" si="47"/>
        <v>6.4142861854172735E-3</v>
      </c>
      <c r="K78" s="3"/>
      <c r="L78" s="8">
        <f t="shared" si="48"/>
        <v>-377.32</v>
      </c>
      <c r="M78" s="3"/>
      <c r="N78" s="7">
        <f t="shared" si="49"/>
        <v>-1</v>
      </c>
      <c r="O78" s="11"/>
      <c r="P78" s="8"/>
      <c r="Q78" s="3"/>
      <c r="R78" s="7">
        <f t="shared" si="50"/>
        <v>0</v>
      </c>
      <c r="S78" s="3"/>
      <c r="T78" s="8">
        <v>377.32</v>
      </c>
      <c r="U78" s="3"/>
      <c r="V78" s="7">
        <f t="shared" si="51"/>
        <v>6.4142861854172735E-3</v>
      </c>
      <c r="W78" s="3"/>
      <c r="X78" s="8">
        <f t="shared" si="52"/>
        <v>-377.32</v>
      </c>
      <c r="Y78" s="3"/>
      <c r="Z78" s="7">
        <f t="shared" si="53"/>
        <v>-1</v>
      </c>
    </row>
    <row r="79" spans="1:26" s="24" customFormat="1" hidden="1" outlineLevel="2" x14ac:dyDescent="0.25">
      <c r="A79" s="29"/>
      <c r="B79" s="11" t="str">
        <f>CONCATENATE("          ", "6241", " - ", "OFFICE EXPENSE")</f>
        <v xml:space="preserve">          6241 - OFFICE EXPENSE</v>
      </c>
      <c r="C79" s="11"/>
      <c r="D79" s="8"/>
      <c r="E79" s="3"/>
      <c r="F79" s="7">
        <f t="shared" si="46"/>
        <v>0</v>
      </c>
      <c r="G79" s="3"/>
      <c r="H79" s="8">
        <v>273.74</v>
      </c>
      <c r="I79" s="3"/>
      <c r="J79" s="7">
        <f t="shared" si="47"/>
        <v>4.6534684098275322E-3</v>
      </c>
      <c r="K79" s="3"/>
      <c r="L79" s="8">
        <f t="shared" si="48"/>
        <v>-273.74</v>
      </c>
      <c r="M79" s="3"/>
      <c r="N79" s="7">
        <f t="shared" si="49"/>
        <v>-1</v>
      </c>
      <c r="O79" s="11"/>
      <c r="P79" s="8"/>
      <c r="Q79" s="3"/>
      <c r="R79" s="7">
        <f t="shared" si="50"/>
        <v>0</v>
      </c>
      <c r="S79" s="3"/>
      <c r="T79" s="8">
        <v>273.74</v>
      </c>
      <c r="U79" s="3"/>
      <c r="V79" s="7">
        <f t="shared" si="51"/>
        <v>4.6534684098275322E-3</v>
      </c>
      <c r="W79" s="3"/>
      <c r="X79" s="8">
        <f t="shared" si="52"/>
        <v>-273.74</v>
      </c>
      <c r="Y79" s="3"/>
      <c r="Z79" s="7">
        <f t="shared" si="53"/>
        <v>-1</v>
      </c>
    </row>
    <row r="80" spans="1:26" s="24" customFormat="1" hidden="1" outlineLevel="2" x14ac:dyDescent="0.25">
      <c r="A80" s="29"/>
      <c r="B80" s="11" t="str">
        <f>CONCATENATE("          ", "6247", " - ", "STORE SUPPLIES")</f>
        <v xml:space="preserve">          6247 - STORE SUPPLIES</v>
      </c>
      <c r="C80" s="11"/>
      <c r="D80" s="8"/>
      <c r="E80" s="3"/>
      <c r="F80" s="7">
        <f t="shared" si="46"/>
        <v>0</v>
      </c>
      <c r="G80" s="3"/>
      <c r="H80" s="8">
        <v>6751.09</v>
      </c>
      <c r="I80" s="3"/>
      <c r="J80" s="7">
        <f t="shared" si="47"/>
        <v>0.11476577791664555</v>
      </c>
      <c r="K80" s="3"/>
      <c r="L80" s="8">
        <f t="shared" si="48"/>
        <v>-6751.09</v>
      </c>
      <c r="M80" s="3"/>
      <c r="N80" s="7">
        <f t="shared" si="49"/>
        <v>-1</v>
      </c>
      <c r="O80" s="11"/>
      <c r="P80" s="8"/>
      <c r="Q80" s="3"/>
      <c r="R80" s="7">
        <f t="shared" si="50"/>
        <v>0</v>
      </c>
      <c r="S80" s="3"/>
      <c r="T80" s="8">
        <v>6751.09</v>
      </c>
      <c r="U80" s="3"/>
      <c r="V80" s="7">
        <f t="shared" si="51"/>
        <v>0.11476577791664555</v>
      </c>
      <c r="W80" s="3"/>
      <c r="X80" s="8">
        <f t="shared" si="52"/>
        <v>-6751.09</v>
      </c>
      <c r="Y80" s="3"/>
      <c r="Z80" s="7">
        <f t="shared" si="53"/>
        <v>-1</v>
      </c>
    </row>
    <row r="81" spans="1:26" s="27" customFormat="1" outlineLevel="1" collapsed="1" x14ac:dyDescent="0.25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SUM(OSRRefD22_17x_0)</f>
        <v>388.81</v>
      </c>
      <c r="E81" s="1"/>
      <c r="F81" s="5">
        <f t="shared" ref="F81:F84" si="54">IF(D$12=0,0,D81/D$12)</f>
        <v>0</v>
      </c>
      <c r="G81" s="1"/>
      <c r="H81" s="1">
        <f>SUM(OSRRefH22_17x_0)</f>
        <v>236.81</v>
      </c>
      <c r="I81" s="1"/>
      <c r="J81" s="5">
        <f t="shared" ref="J81:J84" si="55">IF(H$12=0,0,H81/H$12)</f>
        <v>4.0256734643503251E-3</v>
      </c>
      <c r="K81" s="1"/>
      <c r="L81" s="1">
        <f t="shared" ref="L81:L84" si="56">+D81-H81</f>
        <v>152</v>
      </c>
      <c r="M81" s="1"/>
      <c r="N81" s="5">
        <f t="shared" ref="N81:N84" si="57">IF(H81=0,0,L81/H81)</f>
        <v>0.64186478611545117</v>
      </c>
      <c r="O81" s="14"/>
      <c r="P81" s="1">
        <f>SUM(OSRRefP22_17x_0)</f>
        <v>388.81</v>
      </c>
      <c r="Q81" s="1"/>
      <c r="R81" s="5">
        <f t="shared" ref="R81:R84" si="58">IF(P$12=0,0,P81/P$12)</f>
        <v>0</v>
      </c>
      <c r="S81" s="1"/>
      <c r="T81" s="1">
        <f>SUM(OSRRefT22_17x_0)</f>
        <v>236.81</v>
      </c>
      <c r="U81" s="1"/>
      <c r="V81" s="5">
        <f t="shared" ref="V81:V84" si="59">IF(T$12=0,0,T81/T$12)</f>
        <v>4.0256734643503251E-3</v>
      </c>
      <c r="W81" s="1"/>
      <c r="X81" s="1">
        <f t="shared" ref="X81:X84" si="60">+P81-T81</f>
        <v>152</v>
      </c>
      <c r="Y81" s="1"/>
      <c r="Z81" s="5">
        <f t="shared" ref="Z81:Z84" si="61">IF(T81=0,0,X81/T81)</f>
        <v>0.64186478611545117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8">
        <v>388.81</v>
      </c>
      <c r="E82" s="3"/>
      <c r="F82" s="7">
        <f t="shared" si="54"/>
        <v>0</v>
      </c>
      <c r="G82" s="3"/>
      <c r="H82" s="8">
        <v>236.81</v>
      </c>
      <c r="I82" s="3"/>
      <c r="J82" s="7">
        <f t="shared" si="55"/>
        <v>4.0256734643503251E-3</v>
      </c>
      <c r="K82" s="3"/>
      <c r="L82" s="8">
        <f t="shared" si="56"/>
        <v>152</v>
      </c>
      <c r="M82" s="3"/>
      <c r="N82" s="7">
        <f t="shared" si="57"/>
        <v>0.64186478611545117</v>
      </c>
      <c r="O82" s="11"/>
      <c r="P82" s="8">
        <v>388.81</v>
      </c>
      <c r="Q82" s="3"/>
      <c r="R82" s="7">
        <f t="shared" si="58"/>
        <v>0</v>
      </c>
      <c r="S82" s="3"/>
      <c r="T82" s="8">
        <v>236.81</v>
      </c>
      <c r="U82" s="3"/>
      <c r="V82" s="7">
        <f t="shared" si="59"/>
        <v>4.0256734643503251E-3</v>
      </c>
      <c r="W82" s="3"/>
      <c r="X82" s="8">
        <f t="shared" si="60"/>
        <v>152</v>
      </c>
      <c r="Y82" s="3"/>
      <c r="Z82" s="7">
        <f t="shared" si="61"/>
        <v>0.64186478611545117</v>
      </c>
    </row>
    <row r="83" spans="1:26" s="27" customFormat="1" outlineLevel="1" collapsed="1" x14ac:dyDescent="0.25">
      <c r="A83" s="28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SUM(OSRRefD22_18x_0)</f>
        <v>50</v>
      </c>
      <c r="E83" s="1"/>
      <c r="F83" s="5">
        <f t="shared" si="54"/>
        <v>0</v>
      </c>
      <c r="G83" s="1"/>
      <c r="H83" s="1">
        <f>SUM(OSRRefH22_18x_0)</f>
        <v>959</v>
      </c>
      <c r="I83" s="1"/>
      <c r="J83" s="5">
        <f t="shared" si="55"/>
        <v>1.6302609063434659E-2</v>
      </c>
      <c r="K83" s="1"/>
      <c r="L83" s="1">
        <f t="shared" si="56"/>
        <v>-909</v>
      </c>
      <c r="M83" s="1"/>
      <c r="N83" s="5">
        <f t="shared" si="57"/>
        <v>-0.94786235662148066</v>
      </c>
      <c r="O83" s="14"/>
      <c r="P83" s="1">
        <f>SUM(OSRRefP22_18x_0)</f>
        <v>50</v>
      </c>
      <c r="Q83" s="1"/>
      <c r="R83" s="5">
        <f t="shared" si="58"/>
        <v>0</v>
      </c>
      <c r="S83" s="1"/>
      <c r="T83" s="1">
        <f>SUM(OSRRefT22_18x_0)</f>
        <v>959</v>
      </c>
      <c r="U83" s="1"/>
      <c r="V83" s="5">
        <f t="shared" si="59"/>
        <v>1.6302609063434659E-2</v>
      </c>
      <c r="W83" s="1"/>
      <c r="X83" s="1">
        <f t="shared" si="60"/>
        <v>-909</v>
      </c>
      <c r="Y83" s="1"/>
      <c r="Z83" s="5">
        <f t="shared" si="61"/>
        <v>-0.94786235662148066</v>
      </c>
    </row>
    <row r="84" spans="1:26" s="24" customFormat="1" hidden="1" outlineLevel="2" x14ac:dyDescent="0.25">
      <c r="A84" s="29"/>
      <c r="B84" s="11" t="str">
        <f>CONCATENATE("          ", "6274", " - ", "UTILITIES")</f>
        <v xml:space="preserve">          6274 - UTILITIES</v>
      </c>
      <c r="C84" s="11"/>
      <c r="D84" s="8">
        <v>50</v>
      </c>
      <c r="E84" s="3"/>
      <c r="F84" s="7">
        <f t="shared" si="54"/>
        <v>0</v>
      </c>
      <c r="G84" s="3"/>
      <c r="H84" s="8">
        <v>959</v>
      </c>
      <c r="I84" s="3"/>
      <c r="J84" s="7">
        <f t="shared" si="55"/>
        <v>1.6302609063434659E-2</v>
      </c>
      <c r="K84" s="3"/>
      <c r="L84" s="8">
        <f t="shared" si="56"/>
        <v>-909</v>
      </c>
      <c r="M84" s="3"/>
      <c r="N84" s="7">
        <f t="shared" si="57"/>
        <v>-0.94786235662148066</v>
      </c>
      <c r="O84" s="11"/>
      <c r="P84" s="8">
        <v>50</v>
      </c>
      <c r="Q84" s="3"/>
      <c r="R84" s="7">
        <f t="shared" si="58"/>
        <v>0</v>
      </c>
      <c r="S84" s="3"/>
      <c r="T84" s="8">
        <v>959</v>
      </c>
      <c r="U84" s="3"/>
      <c r="V84" s="7">
        <f t="shared" si="59"/>
        <v>1.6302609063434659E-2</v>
      </c>
      <c r="W84" s="3"/>
      <c r="X84" s="8">
        <f t="shared" si="60"/>
        <v>-909</v>
      </c>
      <c r="Y84" s="3"/>
      <c r="Z84" s="7">
        <f t="shared" si="61"/>
        <v>-0.94786235662148066</v>
      </c>
    </row>
    <row r="85" spans="1:26" s="61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10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25">
      <c r="A88" s="10"/>
      <c r="B88" s="26" t="s">
        <v>3</v>
      </c>
      <c r="C88" s="26"/>
      <c r="D88" s="19">
        <f>+D26-D28+D86</f>
        <v>-35048.209999999992</v>
      </c>
      <c r="E88" s="13"/>
      <c r="F88" s="20">
        <f>IF(D$12=0,0,D88/D$12)</f>
        <v>0</v>
      </c>
      <c r="G88" s="13"/>
      <c r="H88" s="19">
        <f>+H26-H28+H86</f>
        <v>-51165.059999999976</v>
      </c>
      <c r="I88" s="13"/>
      <c r="J88" s="20">
        <f>IF(H$12=0,0,H88/H$12)</f>
        <v>-0.8697851625518016</v>
      </c>
      <c r="K88" s="16"/>
      <c r="L88" s="19">
        <f>+D88-H88</f>
        <v>16116.849999999984</v>
      </c>
      <c r="M88" s="16"/>
      <c r="N88" s="20">
        <f>IF(H88=0,0,L88/H88)</f>
        <v>-0.31499718753383638</v>
      </c>
      <c r="O88" s="25"/>
      <c r="P88" s="19">
        <f>+P26-P28+P86</f>
        <v>-35048.209999999992</v>
      </c>
      <c r="Q88" s="13"/>
      <c r="R88" s="20">
        <f>IF(P$12=0,0,P88/P$12)</f>
        <v>0</v>
      </c>
      <c r="S88" s="13"/>
      <c r="T88" s="19">
        <f>+T26-T28+T86</f>
        <v>-51165.059999999976</v>
      </c>
      <c r="U88" s="13"/>
      <c r="V88" s="20">
        <f>IF(T$12=0,0,T88/T$12)</f>
        <v>-0.8697851625518016</v>
      </c>
      <c r="W88" s="16"/>
      <c r="X88" s="19">
        <f>+P88-T88</f>
        <v>16116.849999999984</v>
      </c>
      <c r="Y88" s="16"/>
      <c r="Z88" s="20">
        <f>IF(T88=0,0,X88/T88)</f>
        <v>-0.31499718753383638</v>
      </c>
    </row>
    <row r="89" spans="1:26" x14ac:dyDescent="0.25">
      <c r="A89" s="9"/>
      <c r="B89" s="10"/>
      <c r="C89" s="9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25">
      <c r="A90" s="51"/>
      <c r="B90" s="10" t="s">
        <v>13</v>
      </c>
      <c r="C90" s="10"/>
      <c r="D90" s="4"/>
      <c r="E90" s="4"/>
      <c r="F90" s="12">
        <f>IF(D$12=0,0,D90/D$12)</f>
        <v>0</v>
      </c>
      <c r="G90" s="4"/>
      <c r="H90" s="4">
        <v>12231.43</v>
      </c>
      <c r="I90" s="4"/>
      <c r="J90" s="12">
        <f>IF(H$12=0,0,H90/H$12)</f>
        <v>0.20792932385481397</v>
      </c>
      <c r="K90" s="4"/>
      <c r="L90" s="4">
        <f>+D90-H90</f>
        <v>-12231.43</v>
      </c>
      <c r="M90" s="4"/>
      <c r="N90" s="12">
        <f>IF(H90=0,0,L90/H90)</f>
        <v>-1</v>
      </c>
      <c r="O90" s="10"/>
      <c r="P90" s="4"/>
      <c r="Q90" s="4"/>
      <c r="R90" s="12">
        <f>IF(P$12=0,0,P90/P$12)</f>
        <v>0</v>
      </c>
      <c r="S90" s="4"/>
      <c r="T90" s="4">
        <v>12231.43</v>
      </c>
      <c r="U90" s="4"/>
      <c r="V90" s="12">
        <f>IF(T$12=0,0,T90/T$12)</f>
        <v>0.20792932385481397</v>
      </c>
      <c r="W90" s="4"/>
      <c r="X90" s="4">
        <f>+P90-T90</f>
        <v>-12231.43</v>
      </c>
      <c r="Y90" s="4"/>
      <c r="Z90" s="12">
        <f>IF(T90=0,0,X90/T90)</f>
        <v>-1</v>
      </c>
    </row>
    <row r="91" spans="1:26" x14ac:dyDescent="0.25">
      <c r="A91" s="9"/>
      <c r="B91" s="10"/>
      <c r="C91" s="10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10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.75" thickBot="1" x14ac:dyDescent="0.3">
      <c r="A92" s="10"/>
      <c r="B92" s="26" t="s">
        <v>4</v>
      </c>
      <c r="C92" s="26"/>
      <c r="D92" s="35">
        <f>+D88-D90</f>
        <v>-35048.209999999992</v>
      </c>
      <c r="E92" s="13"/>
      <c r="F92" s="30">
        <f>IF(D$12=0,0,D92/D$12)</f>
        <v>0</v>
      </c>
      <c r="G92" s="13"/>
      <c r="H92" s="35">
        <f>+H88-H90</f>
        <v>-63396.489999999976</v>
      </c>
      <c r="I92" s="13"/>
      <c r="J92" s="30">
        <f>IF(H$12=0,0,H92/H$12)</f>
        <v>-1.0777144864066155</v>
      </c>
      <c r="K92" s="16"/>
      <c r="L92" s="35">
        <f>D92-H92</f>
        <v>28348.279999999984</v>
      </c>
      <c r="M92" s="16"/>
      <c r="N92" s="30">
        <f>IF(H92=0,0,L92/H92)</f>
        <v>-0.44715850987964784</v>
      </c>
      <c r="O92" s="25"/>
      <c r="P92" s="35">
        <f>+P88-P90</f>
        <v>-35048.209999999992</v>
      </c>
      <c r="Q92" s="13"/>
      <c r="R92" s="30">
        <f>IF(P$12=0,0,P92/P$12)</f>
        <v>0</v>
      </c>
      <c r="S92" s="13"/>
      <c r="T92" s="35">
        <f>+T88-T90</f>
        <v>-63396.489999999976</v>
      </c>
      <c r="U92" s="13"/>
      <c r="V92" s="30">
        <f>IF(T$12=0,0,T92/T$12)</f>
        <v>-1.0777144864066155</v>
      </c>
      <c r="W92" s="16"/>
      <c r="X92" s="35">
        <f>P92-T92</f>
        <v>28348.279999999984</v>
      </c>
      <c r="Y92" s="16"/>
      <c r="Z92" s="30">
        <f>IF(T92=0,0,X92/T92)</f>
        <v>-0.44715850987964784</v>
      </c>
    </row>
    <row r="93" spans="1:26" ht="15.75" thickTop="1" x14ac:dyDescent="0.25">
      <c r="A93" s="9"/>
      <c r="B93" s="9"/>
      <c r="C93" s="9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x14ac:dyDescent="0.25">
      <c r="A94" s="9"/>
      <c r="B94" s="9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3" customFormat="1" ht="15.75" thickBot="1" x14ac:dyDescent="0.3">
      <c r="A95" s="10"/>
      <c r="B95" s="26" t="s">
        <v>5</v>
      </c>
      <c r="C95" s="26"/>
      <c r="D95" s="31">
        <f>SUM(D92:D94)</f>
        <v>-35048.209999999992</v>
      </c>
      <c r="E95" s="13"/>
      <c r="F95" s="32">
        <f>IF(D$12=0,0,D95/D$12)</f>
        <v>0</v>
      </c>
      <c r="G95" s="13"/>
      <c r="H95" s="31">
        <f>SUM(H92:H94)</f>
        <v>-63396.489999999976</v>
      </c>
      <c r="I95" s="13"/>
      <c r="J95" s="32">
        <f>IF(H$12=0,0,H95/H$12)</f>
        <v>-1.0777144864066155</v>
      </c>
      <c r="K95" s="16"/>
      <c r="L95" s="31">
        <f>+D95-H95</f>
        <v>28348.279999999984</v>
      </c>
      <c r="M95" s="16"/>
      <c r="N95" s="32">
        <f>IF(H95=0,0,L95/H95)</f>
        <v>-0.44715850987964784</v>
      </c>
      <c r="O95" s="25"/>
      <c r="P95" s="31">
        <f>SUM(P92:P94)</f>
        <v>-35048.209999999992</v>
      </c>
      <c r="Q95" s="13"/>
      <c r="R95" s="32">
        <f>IF(P$12=0,0,P95/P$12)</f>
        <v>0</v>
      </c>
      <c r="S95" s="13"/>
      <c r="T95" s="31">
        <f>SUM(T92:T94)</f>
        <v>-63396.489999999976</v>
      </c>
      <c r="U95" s="13"/>
      <c r="V95" s="32">
        <f>IF(T$12=0,0,T95/T$12)</f>
        <v>-1.0777144864066155</v>
      </c>
      <c r="W95" s="16"/>
      <c r="X95" s="31">
        <f>+P95-T95</f>
        <v>28348.279999999984</v>
      </c>
      <c r="Y95" s="16"/>
      <c r="Z95" s="32">
        <f>IF(T95=0,0,X95/T95)</f>
        <v>-0.44715850987964784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9">
        <v>44109.413659062498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2" t="s">
        <v>313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56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4762.9799999999996</v>
      </c>
      <c r="I12" s="4"/>
      <c r="J12" s="12"/>
      <c r="K12" s="4"/>
      <c r="L12" s="4">
        <f t="shared" ref="L12:L14" si="0">+D12-H12</f>
        <v>-4762.9799999999996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4762.9799999999996</v>
      </c>
      <c r="U12" s="4"/>
      <c r="V12" s="12"/>
      <c r="W12" s="4"/>
      <c r="X12" s="4">
        <f t="shared" ref="X12:X14" si="2">+P12-T12</f>
        <v>-4762.9799999999996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4" si="4">0</f>
        <v>0</v>
      </c>
      <c r="E13" s="3"/>
      <c r="F13" s="22"/>
      <c r="G13" s="3"/>
      <c r="H13" s="3">
        <f>--894.03</f>
        <v>894.03</v>
      </c>
      <c r="I13" s="3"/>
      <c r="J13" s="22"/>
      <c r="K13" s="3"/>
      <c r="L13" s="3">
        <f t="shared" si="0"/>
        <v>-894.03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--894.03</f>
        <v>894.03</v>
      </c>
      <c r="U13" s="3"/>
      <c r="V13" s="22"/>
      <c r="W13" s="3"/>
      <c r="X13" s="3">
        <f t="shared" si="2"/>
        <v>-894.03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--3868.95</f>
        <v>3868.95</v>
      </c>
      <c r="I14" s="3"/>
      <c r="J14" s="22"/>
      <c r="K14" s="3"/>
      <c r="L14" s="3">
        <f t="shared" si="0"/>
        <v>-3868.95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--3868.95</f>
        <v>3868.95</v>
      </c>
      <c r="U14" s="3"/>
      <c r="V14" s="22"/>
      <c r="W14" s="3"/>
      <c r="X14" s="3">
        <f t="shared" si="2"/>
        <v>-3868.95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2331.6099999999997</v>
      </c>
      <c r="I16" s="4"/>
      <c r="J16" s="12">
        <f t="shared" ref="J16:J18" si="7">IF(H$12=0,0,H16/H$12)</f>
        <v>0.48952756467589614</v>
      </c>
      <c r="K16" s="4"/>
      <c r="L16" s="4">
        <f t="shared" ref="L16:L18" si="8">+D16-H16</f>
        <v>-2331.6099999999997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2331.6099999999997</v>
      </c>
      <c r="U16" s="4"/>
      <c r="V16" s="12">
        <f t="shared" ref="V16:V18" si="11">IF(T$12=0,0,T16/T$12)</f>
        <v>0.48952756467589614</v>
      </c>
      <c r="W16" s="4"/>
      <c r="X16" s="4">
        <f t="shared" ref="X16:X18" si="12">+P16-T16</f>
        <v>-2331.6099999999997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3083.47</v>
      </c>
      <c r="I17" s="3"/>
      <c r="J17" s="22">
        <f t="shared" si="7"/>
        <v>0.6473825210267522</v>
      </c>
      <c r="K17" s="3"/>
      <c r="L17" s="3">
        <f t="shared" si="8"/>
        <v>-3083.47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3083.47</v>
      </c>
      <c r="U17" s="3"/>
      <c r="V17" s="22">
        <f t="shared" si="11"/>
        <v>0.6473825210267522</v>
      </c>
      <c r="W17" s="3"/>
      <c r="X17" s="3">
        <f t="shared" si="12"/>
        <v>-3083.47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-751.86</v>
      </c>
      <c r="I18" s="3"/>
      <c r="J18" s="22">
        <f t="shared" si="7"/>
        <v>-0.157854956350856</v>
      </c>
      <c r="K18" s="3"/>
      <c r="L18" s="3">
        <f t="shared" si="8"/>
        <v>751.86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-751.86</v>
      </c>
      <c r="U18" s="3"/>
      <c r="V18" s="22">
        <f t="shared" si="11"/>
        <v>-0.157854956350856</v>
      </c>
      <c r="W18" s="3"/>
      <c r="X18" s="3">
        <f t="shared" si="12"/>
        <v>751.86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2431.37</v>
      </c>
      <c r="I20" s="13"/>
      <c r="J20" s="20">
        <f>IF(H$12=0,0,H20/H$12)</f>
        <v>0.5104724353241038</v>
      </c>
      <c r="K20" s="16"/>
      <c r="L20" s="19">
        <f>+D20-H20</f>
        <v>-2431.37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2431.37</v>
      </c>
      <c r="U20" s="13"/>
      <c r="V20" s="20">
        <f>IF(T$12=0,0,T20/T$12)</f>
        <v>0.5104724353241038</v>
      </c>
      <c r="W20" s="16"/>
      <c r="X20" s="19">
        <f>+P20-T20</f>
        <v>-2431.37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347.4</v>
      </c>
      <c r="E22" s="21"/>
      <c r="F22" s="34">
        <f t="shared" ref="F22:F31" si="14">IF(D$12=0,0,D22/D$12)</f>
        <v>0</v>
      </c>
      <c r="G22" s="21"/>
      <c r="H22" s="21">
        <f>SUM(OSRRefH22x_0)</f>
        <v>14234.230000000001</v>
      </c>
      <c r="I22" s="21"/>
      <c r="J22" s="34">
        <f t="shared" ref="J22:J31" si="15">IF(H$12=0,0,H22/H$12)</f>
        <v>2.9885134936531337</v>
      </c>
      <c r="K22" s="4"/>
      <c r="L22" s="21">
        <f t="shared" ref="L22:L31" si="16">+D22-H22</f>
        <v>-13886.830000000002</v>
      </c>
      <c r="M22" s="4"/>
      <c r="N22" s="34">
        <f t="shared" ref="N22:N31" si="17">IF(H22=0,0,L22/H22)</f>
        <v>-0.97559404337291167</v>
      </c>
      <c r="O22" s="10"/>
      <c r="P22" s="21">
        <f>SUM(OSRRefP22x_0)</f>
        <v>347.4</v>
      </c>
      <c r="Q22" s="21"/>
      <c r="R22" s="34">
        <f t="shared" ref="R22:R31" si="18">IF(P$12=0,0,P22/P$12)</f>
        <v>0</v>
      </c>
      <c r="S22" s="21"/>
      <c r="T22" s="21">
        <f>SUM(OSRRefT22x_0)</f>
        <v>14234.230000000001</v>
      </c>
      <c r="U22" s="21"/>
      <c r="V22" s="34">
        <f t="shared" ref="V22:V31" si="19">IF(T$12=0,0,T22/T$12)</f>
        <v>2.9885134936531337</v>
      </c>
      <c r="W22" s="4"/>
      <c r="X22" s="21">
        <f t="shared" ref="X22:X31" si="20">+P22-T22</f>
        <v>-13886.830000000002</v>
      </c>
      <c r="Y22" s="4"/>
      <c r="Z22" s="34">
        <f t="shared" ref="Z22:Z31" si="21">IF(T22=0,0,X22/T22)</f>
        <v>-0.97559404337291167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2062.08</v>
      </c>
      <c r="I23" s="1"/>
      <c r="J23" s="5">
        <f t="shared" si="15"/>
        <v>0.43293904236423419</v>
      </c>
      <c r="K23" s="1"/>
      <c r="L23" s="1">
        <f t="shared" si="16"/>
        <v>-2062.08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2062.08</v>
      </c>
      <c r="U23" s="1"/>
      <c r="V23" s="5">
        <f t="shared" si="19"/>
        <v>0.43293904236423419</v>
      </c>
      <c r="W23" s="1"/>
      <c r="X23" s="1">
        <f t="shared" si="20"/>
        <v>-2062.08</v>
      </c>
      <c r="Y23" s="1"/>
      <c r="Z23" s="5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/>
      <c r="E24" s="3"/>
      <c r="F24" s="7">
        <f t="shared" si="14"/>
        <v>0</v>
      </c>
      <c r="G24" s="3"/>
      <c r="H24" s="8">
        <v>305.08</v>
      </c>
      <c r="I24" s="3"/>
      <c r="J24" s="7">
        <f t="shared" si="15"/>
        <v>6.4052336982309402E-2</v>
      </c>
      <c r="K24" s="3"/>
      <c r="L24" s="8">
        <f t="shared" si="16"/>
        <v>-305.08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305.08</v>
      </c>
      <c r="U24" s="3"/>
      <c r="V24" s="7">
        <f t="shared" si="19"/>
        <v>6.4052336982309402E-2</v>
      </c>
      <c r="W24" s="3"/>
      <c r="X24" s="8">
        <f t="shared" si="20"/>
        <v>-305.08</v>
      </c>
      <c r="Y24" s="3"/>
      <c r="Z24" s="7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167.75</v>
      </c>
      <c r="I25" s="3"/>
      <c r="J25" s="7">
        <f t="shared" si="15"/>
        <v>3.521954742619117E-2</v>
      </c>
      <c r="K25" s="3"/>
      <c r="L25" s="8">
        <f t="shared" si="16"/>
        <v>-167.75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167.75</v>
      </c>
      <c r="U25" s="3"/>
      <c r="V25" s="7">
        <f t="shared" si="19"/>
        <v>3.521954742619117E-2</v>
      </c>
      <c r="W25" s="3"/>
      <c r="X25" s="8">
        <f t="shared" si="20"/>
        <v>-167.75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/>
      <c r="E26" s="3"/>
      <c r="F26" s="7">
        <f t="shared" si="14"/>
        <v>0</v>
      </c>
      <c r="G26" s="3"/>
      <c r="H26" s="8">
        <v>965.94</v>
      </c>
      <c r="I26" s="3"/>
      <c r="J26" s="7">
        <f t="shared" si="15"/>
        <v>0.20280160739704978</v>
      </c>
      <c r="K26" s="3"/>
      <c r="L26" s="8">
        <f t="shared" si="16"/>
        <v>-965.94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965.94</v>
      </c>
      <c r="U26" s="3"/>
      <c r="V26" s="7">
        <f t="shared" si="19"/>
        <v>0.20280160739704978</v>
      </c>
      <c r="W26" s="3"/>
      <c r="X26" s="8">
        <f t="shared" si="20"/>
        <v>-965.94</v>
      </c>
      <c r="Y26" s="3"/>
      <c r="Z26" s="7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16.34</v>
      </c>
      <c r="I27" s="3"/>
      <c r="J27" s="7">
        <f t="shared" si="15"/>
        <v>3.4306253647926302E-3</v>
      </c>
      <c r="K27" s="3"/>
      <c r="L27" s="8">
        <f t="shared" si="16"/>
        <v>-16.34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16.34</v>
      </c>
      <c r="U27" s="3"/>
      <c r="V27" s="7">
        <f t="shared" si="19"/>
        <v>3.4306253647926302E-3</v>
      </c>
      <c r="W27" s="3"/>
      <c r="X27" s="8">
        <f t="shared" si="20"/>
        <v>-16.34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/>
      <c r="E28" s="3"/>
      <c r="F28" s="7">
        <f t="shared" si="14"/>
        <v>0</v>
      </c>
      <c r="G28" s="3"/>
      <c r="H28" s="8">
        <v>134.11000000000001</v>
      </c>
      <c r="I28" s="3"/>
      <c r="J28" s="7">
        <f t="shared" si="15"/>
        <v>2.8156742207609529E-2</v>
      </c>
      <c r="K28" s="3"/>
      <c r="L28" s="8">
        <f t="shared" si="16"/>
        <v>-134.11000000000001</v>
      </c>
      <c r="M28" s="3"/>
      <c r="N28" s="7">
        <f t="shared" si="17"/>
        <v>-1</v>
      </c>
      <c r="O28" s="11"/>
      <c r="P28" s="8"/>
      <c r="Q28" s="3"/>
      <c r="R28" s="7">
        <f t="shared" si="18"/>
        <v>0</v>
      </c>
      <c r="S28" s="3"/>
      <c r="T28" s="8">
        <v>134.11000000000001</v>
      </c>
      <c r="U28" s="3"/>
      <c r="V28" s="7">
        <f t="shared" si="19"/>
        <v>2.8156742207609529E-2</v>
      </c>
      <c r="W28" s="3"/>
      <c r="X28" s="8">
        <f t="shared" si="20"/>
        <v>-134.11000000000001</v>
      </c>
      <c r="Y28" s="3"/>
      <c r="Z28" s="7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/>
      <c r="E29" s="3"/>
      <c r="F29" s="7">
        <f t="shared" si="14"/>
        <v>0</v>
      </c>
      <c r="G29" s="3"/>
      <c r="H29" s="8">
        <v>147.84</v>
      </c>
      <c r="I29" s="3"/>
      <c r="J29" s="7">
        <f t="shared" si="15"/>
        <v>3.1039391305443236E-2</v>
      </c>
      <c r="K29" s="3"/>
      <c r="L29" s="8">
        <f t="shared" si="16"/>
        <v>-147.84</v>
      </c>
      <c r="M29" s="3"/>
      <c r="N29" s="7">
        <f t="shared" si="17"/>
        <v>-1</v>
      </c>
      <c r="O29" s="11"/>
      <c r="P29" s="8"/>
      <c r="Q29" s="3"/>
      <c r="R29" s="7">
        <f t="shared" si="18"/>
        <v>0</v>
      </c>
      <c r="S29" s="3"/>
      <c r="T29" s="8">
        <v>147.84</v>
      </c>
      <c r="U29" s="3"/>
      <c r="V29" s="7">
        <f t="shared" si="19"/>
        <v>3.1039391305443236E-2</v>
      </c>
      <c r="W29" s="3"/>
      <c r="X29" s="8">
        <f t="shared" si="20"/>
        <v>-147.84</v>
      </c>
      <c r="Y29" s="3"/>
      <c r="Z29" s="7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/>
      <c r="E30" s="3"/>
      <c r="F30" s="7">
        <f t="shared" si="14"/>
        <v>0</v>
      </c>
      <c r="G30" s="3"/>
      <c r="H30" s="8">
        <v>177.12</v>
      </c>
      <c r="I30" s="3"/>
      <c r="J30" s="7">
        <f t="shared" si="15"/>
        <v>3.7186803219832969E-2</v>
      </c>
      <c r="K30" s="3"/>
      <c r="L30" s="8">
        <f t="shared" si="16"/>
        <v>-177.12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177.12</v>
      </c>
      <c r="U30" s="3"/>
      <c r="V30" s="7">
        <f t="shared" si="19"/>
        <v>3.7186803219832969E-2</v>
      </c>
      <c r="W30" s="3"/>
      <c r="X30" s="8">
        <f t="shared" si="20"/>
        <v>-177.12</v>
      </c>
      <c r="Y30" s="3"/>
      <c r="Z30" s="7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147.9</v>
      </c>
      <c r="I31" s="3"/>
      <c r="J31" s="7">
        <f t="shared" si="15"/>
        <v>3.1051988461005511E-2</v>
      </c>
      <c r="K31" s="3"/>
      <c r="L31" s="8">
        <f t="shared" si="16"/>
        <v>-147.9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147.9</v>
      </c>
      <c r="U31" s="3"/>
      <c r="V31" s="7">
        <f t="shared" si="19"/>
        <v>3.1051988461005511E-2</v>
      </c>
      <c r="W31" s="3"/>
      <c r="X31" s="8">
        <f t="shared" si="20"/>
        <v>-147.9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5108.6900000000005</v>
      </c>
      <c r="I32" s="1"/>
      <c r="J32" s="5">
        <f t="shared" ref="J32:J36" si="23">IF(H$12=0,0,H32/H$12)</f>
        <v>1.0725827108238961</v>
      </c>
      <c r="K32" s="1"/>
      <c r="L32" s="1">
        <f t="shared" ref="L32:L36" si="24">+D32-H32</f>
        <v>-5108.6900000000005</v>
      </c>
      <c r="M32" s="1"/>
      <c r="N32" s="5">
        <f t="shared" ref="N32:N36" si="25">IF(H32=0,0,L32/H32)</f>
        <v>-1</v>
      </c>
      <c r="O32" s="14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5108.6900000000005</v>
      </c>
      <c r="U32" s="1"/>
      <c r="V32" s="5">
        <f t="shared" ref="V32:V36" si="27">IF(T$12=0,0,T32/T$12)</f>
        <v>1.0725827108238961</v>
      </c>
      <c r="W32" s="1"/>
      <c r="X32" s="1">
        <f t="shared" ref="X32:X36" si="28">+P32-T32</f>
        <v>-5108.6900000000005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/>
      <c r="E33" s="3"/>
      <c r="F33" s="7">
        <f t="shared" si="22"/>
        <v>0</v>
      </c>
      <c r="G33" s="3"/>
      <c r="H33" s="8">
        <v>2208</v>
      </c>
      <c r="I33" s="3"/>
      <c r="J33" s="7">
        <f t="shared" si="23"/>
        <v>0.46357532469168466</v>
      </c>
      <c r="K33" s="3"/>
      <c r="L33" s="8">
        <f t="shared" si="24"/>
        <v>-2208</v>
      </c>
      <c r="M33" s="3"/>
      <c r="N33" s="7">
        <f t="shared" si="25"/>
        <v>-1</v>
      </c>
      <c r="O33" s="11"/>
      <c r="P33" s="8"/>
      <c r="Q33" s="3"/>
      <c r="R33" s="7">
        <f t="shared" si="26"/>
        <v>0</v>
      </c>
      <c r="S33" s="3"/>
      <c r="T33" s="8">
        <v>2208</v>
      </c>
      <c r="U33" s="3"/>
      <c r="V33" s="7">
        <f t="shared" si="27"/>
        <v>0.46357532469168466</v>
      </c>
      <c r="W33" s="3"/>
      <c r="X33" s="8">
        <f t="shared" si="28"/>
        <v>-2208</v>
      </c>
      <c r="Y33" s="3"/>
      <c r="Z33" s="7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1631</v>
      </c>
      <c r="I34" s="3"/>
      <c r="J34" s="7">
        <f t="shared" si="23"/>
        <v>0.3424326787011493</v>
      </c>
      <c r="K34" s="3"/>
      <c r="L34" s="8">
        <f t="shared" si="24"/>
        <v>-1631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1631</v>
      </c>
      <c r="U34" s="3"/>
      <c r="V34" s="7">
        <f t="shared" si="27"/>
        <v>0.3424326787011493</v>
      </c>
      <c r="W34" s="3"/>
      <c r="X34" s="8">
        <f t="shared" si="28"/>
        <v>-1631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22"/>
        <v>0</v>
      </c>
      <c r="G35" s="3"/>
      <c r="H35" s="8">
        <v>44.63</v>
      </c>
      <c r="I35" s="3"/>
      <c r="J35" s="7">
        <f t="shared" si="23"/>
        <v>9.3701842124048404E-3</v>
      </c>
      <c r="K35" s="3"/>
      <c r="L35" s="8">
        <f t="shared" si="24"/>
        <v>-44.63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44.63</v>
      </c>
      <c r="U35" s="3"/>
      <c r="V35" s="7">
        <f t="shared" si="27"/>
        <v>9.3701842124048404E-3</v>
      </c>
      <c r="W35" s="3"/>
      <c r="X35" s="8">
        <f t="shared" si="28"/>
        <v>-44.63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22"/>
        <v>0</v>
      </c>
      <c r="G36" s="3"/>
      <c r="H36" s="8">
        <v>1225.06</v>
      </c>
      <c r="I36" s="3"/>
      <c r="J36" s="7">
        <f t="shared" si="23"/>
        <v>0.25720452321865722</v>
      </c>
      <c r="K36" s="3"/>
      <c r="L36" s="8">
        <f t="shared" si="24"/>
        <v>-1225.06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1225.06</v>
      </c>
      <c r="U36" s="3"/>
      <c r="V36" s="7">
        <f t="shared" si="27"/>
        <v>0.25720452321865722</v>
      </c>
      <c r="W36" s="3"/>
      <c r="X36" s="8">
        <f t="shared" si="28"/>
        <v>-1225.06</v>
      </c>
      <c r="Y36" s="3"/>
      <c r="Z36" s="7">
        <f t="shared" si="29"/>
        <v>-1</v>
      </c>
    </row>
    <row r="37" spans="1:26" s="27" customFormat="1" outlineLevel="1" collapsed="1" x14ac:dyDescent="0.25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305</v>
      </c>
      <c r="I37" s="1"/>
      <c r="J37" s="5">
        <f t="shared" ref="J37:J51" si="31">IF(H$12=0,0,H37/H$12)</f>
        <v>6.4035540774893041E-2</v>
      </c>
      <c r="K37" s="1"/>
      <c r="L37" s="1">
        <f t="shared" ref="L37:L51" si="32">+D37-H37</f>
        <v>-305</v>
      </c>
      <c r="M37" s="1"/>
      <c r="N37" s="5">
        <f t="shared" ref="N37:N51" si="33">IF(H37=0,0,L37/H37)</f>
        <v>-1</v>
      </c>
      <c r="O37" s="14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305</v>
      </c>
      <c r="U37" s="1"/>
      <c r="V37" s="5">
        <f t="shared" ref="V37:V51" si="35">IF(T$12=0,0,T37/T$12)</f>
        <v>6.4035540774893041E-2</v>
      </c>
      <c r="W37" s="1"/>
      <c r="X37" s="1">
        <f t="shared" ref="X37:X51" si="36">+P37-T37</f>
        <v>-305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8"/>
      <c r="E38" s="3"/>
      <c r="F38" s="7">
        <f t="shared" si="30"/>
        <v>0</v>
      </c>
      <c r="G38" s="3"/>
      <c r="H38" s="8">
        <v>305</v>
      </c>
      <c r="I38" s="3"/>
      <c r="J38" s="7">
        <f t="shared" si="31"/>
        <v>6.4035540774893041E-2</v>
      </c>
      <c r="K38" s="3"/>
      <c r="L38" s="8">
        <f t="shared" si="32"/>
        <v>-305</v>
      </c>
      <c r="M38" s="3"/>
      <c r="N38" s="7">
        <f t="shared" si="33"/>
        <v>-1</v>
      </c>
      <c r="O38" s="11"/>
      <c r="P38" s="8"/>
      <c r="Q38" s="3"/>
      <c r="R38" s="7">
        <f t="shared" si="34"/>
        <v>0</v>
      </c>
      <c r="S38" s="3"/>
      <c r="T38" s="8">
        <v>305</v>
      </c>
      <c r="U38" s="3"/>
      <c r="V38" s="7">
        <f t="shared" si="35"/>
        <v>6.4035540774893041E-2</v>
      </c>
      <c r="W38" s="3"/>
      <c r="X38" s="8">
        <f t="shared" si="36"/>
        <v>-305</v>
      </c>
      <c r="Y38" s="3"/>
      <c r="Z38" s="7">
        <f t="shared" si="37"/>
        <v>-1</v>
      </c>
    </row>
    <row r="39" spans="1:26" s="27" customFormat="1" outlineLevel="1" collapsed="1" x14ac:dyDescent="0.25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-2.61</v>
      </c>
      <c r="I39" s="1"/>
      <c r="J39" s="5">
        <f t="shared" si="31"/>
        <v>-5.4797626695892072E-4</v>
      </c>
      <c r="K39" s="1"/>
      <c r="L39" s="1">
        <f t="shared" si="32"/>
        <v>2.61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-2.61</v>
      </c>
      <c r="U39" s="1"/>
      <c r="V39" s="5">
        <f t="shared" si="35"/>
        <v>-5.4797626695892072E-4</v>
      </c>
      <c r="W39" s="1"/>
      <c r="X39" s="1">
        <f t="shared" si="36"/>
        <v>2.61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8"/>
      <c r="E40" s="3"/>
      <c r="F40" s="7">
        <f t="shared" si="30"/>
        <v>0</v>
      </c>
      <c r="G40" s="3"/>
      <c r="H40" s="8">
        <v>-2.61</v>
      </c>
      <c r="I40" s="3"/>
      <c r="J40" s="7">
        <f t="shared" si="31"/>
        <v>-5.4797626695892072E-4</v>
      </c>
      <c r="K40" s="3"/>
      <c r="L40" s="8">
        <f t="shared" si="32"/>
        <v>2.61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-2.61</v>
      </c>
      <c r="U40" s="3"/>
      <c r="V40" s="7">
        <f t="shared" si="35"/>
        <v>-5.4797626695892072E-4</v>
      </c>
      <c r="W40" s="3"/>
      <c r="X40" s="8">
        <f t="shared" si="36"/>
        <v>2.61</v>
      </c>
      <c r="Y40" s="3"/>
      <c r="Z40" s="7">
        <f t="shared" si="37"/>
        <v>-1</v>
      </c>
    </row>
    <row r="41" spans="1:26" s="27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127.64</v>
      </c>
      <c r="I41" s="1"/>
      <c r="J41" s="5">
        <f t="shared" si="31"/>
        <v>2.6798348932810974E-2</v>
      </c>
      <c r="K41" s="1"/>
      <c r="L41" s="1">
        <f t="shared" si="32"/>
        <v>-127.64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127.64</v>
      </c>
      <c r="U41" s="1"/>
      <c r="V41" s="5">
        <f t="shared" si="35"/>
        <v>2.6798348932810974E-2</v>
      </c>
      <c r="W41" s="1"/>
      <c r="X41" s="1">
        <f t="shared" si="36"/>
        <v>-127.64</v>
      </c>
      <c r="Y41" s="1"/>
      <c r="Z41" s="5">
        <f t="shared" si="37"/>
        <v>-1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8"/>
      <c r="E42" s="3"/>
      <c r="F42" s="7">
        <f t="shared" si="30"/>
        <v>0</v>
      </c>
      <c r="G42" s="3"/>
      <c r="H42" s="8">
        <v>127.64</v>
      </c>
      <c r="I42" s="3"/>
      <c r="J42" s="7">
        <f t="shared" si="31"/>
        <v>2.6798348932810974E-2</v>
      </c>
      <c r="K42" s="3"/>
      <c r="L42" s="8">
        <f t="shared" si="32"/>
        <v>-127.64</v>
      </c>
      <c r="M42" s="3"/>
      <c r="N42" s="7">
        <f t="shared" si="33"/>
        <v>-1</v>
      </c>
      <c r="O42" s="11"/>
      <c r="P42" s="8"/>
      <c r="Q42" s="3"/>
      <c r="R42" s="7">
        <f t="shared" si="34"/>
        <v>0</v>
      </c>
      <c r="S42" s="3"/>
      <c r="T42" s="8">
        <v>127.64</v>
      </c>
      <c r="U42" s="3"/>
      <c r="V42" s="7">
        <f t="shared" si="35"/>
        <v>2.6798348932810974E-2</v>
      </c>
      <c r="W42" s="3"/>
      <c r="X42" s="8">
        <f t="shared" si="36"/>
        <v>-127.64</v>
      </c>
      <c r="Y42" s="3"/>
      <c r="Z42" s="7">
        <f t="shared" si="37"/>
        <v>-1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315.43</v>
      </c>
      <c r="E43" s="1"/>
      <c r="F43" s="5">
        <f t="shared" si="30"/>
        <v>0</v>
      </c>
      <c r="G43" s="1"/>
      <c r="H43" s="1">
        <f>SUM(OSRRefH22_5x_0)</f>
        <v>155.66999999999999</v>
      </c>
      <c r="I43" s="1"/>
      <c r="J43" s="5">
        <f t="shared" si="31"/>
        <v>3.2683320106319996E-2</v>
      </c>
      <c r="K43" s="1"/>
      <c r="L43" s="1">
        <f t="shared" si="32"/>
        <v>159.76000000000002</v>
      </c>
      <c r="M43" s="1"/>
      <c r="N43" s="5">
        <f t="shared" si="33"/>
        <v>1.026273527333462</v>
      </c>
      <c r="O43" s="14"/>
      <c r="P43" s="1">
        <f>SUM(OSRRefP22_5x_0)</f>
        <v>315.43</v>
      </c>
      <c r="Q43" s="1"/>
      <c r="R43" s="5">
        <f t="shared" si="34"/>
        <v>0</v>
      </c>
      <c r="S43" s="1"/>
      <c r="T43" s="1">
        <f>SUM(OSRRefT22_5x_0)</f>
        <v>155.66999999999999</v>
      </c>
      <c r="U43" s="1"/>
      <c r="V43" s="5">
        <f t="shared" si="35"/>
        <v>3.2683320106319996E-2</v>
      </c>
      <c r="W43" s="1"/>
      <c r="X43" s="1">
        <f t="shared" si="36"/>
        <v>159.76000000000002</v>
      </c>
      <c r="Y43" s="1"/>
      <c r="Z43" s="5">
        <f t="shared" si="37"/>
        <v>1.026273527333462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8">
        <v>315.43</v>
      </c>
      <c r="E44" s="3"/>
      <c r="F44" s="7">
        <f t="shared" si="30"/>
        <v>0</v>
      </c>
      <c r="G44" s="3"/>
      <c r="H44" s="8">
        <v>155.66999999999999</v>
      </c>
      <c r="I44" s="3"/>
      <c r="J44" s="7">
        <f t="shared" si="31"/>
        <v>3.2683320106319996E-2</v>
      </c>
      <c r="K44" s="3"/>
      <c r="L44" s="8">
        <f t="shared" si="32"/>
        <v>159.76000000000002</v>
      </c>
      <c r="M44" s="3"/>
      <c r="N44" s="7">
        <f t="shared" si="33"/>
        <v>1.026273527333462</v>
      </c>
      <c r="O44" s="11"/>
      <c r="P44" s="8">
        <v>315.43</v>
      </c>
      <c r="Q44" s="3"/>
      <c r="R44" s="7">
        <f t="shared" si="34"/>
        <v>0</v>
      </c>
      <c r="S44" s="3"/>
      <c r="T44" s="8">
        <v>155.66999999999999</v>
      </c>
      <c r="U44" s="3"/>
      <c r="V44" s="7">
        <f t="shared" si="35"/>
        <v>3.2683320106319996E-2</v>
      </c>
      <c r="W44" s="3"/>
      <c r="X44" s="8">
        <f t="shared" si="36"/>
        <v>159.76000000000002</v>
      </c>
      <c r="Y44" s="3"/>
      <c r="Z44" s="7">
        <f t="shared" si="37"/>
        <v>1.026273527333462</v>
      </c>
    </row>
    <row r="45" spans="1:26" s="27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1458.9</v>
      </c>
      <c r="I45" s="1"/>
      <c r="J45" s="5">
        <f t="shared" si="31"/>
        <v>0.30629983749669332</v>
      </c>
      <c r="K45" s="1"/>
      <c r="L45" s="1">
        <f t="shared" si="32"/>
        <v>-1458.9</v>
      </c>
      <c r="M45" s="1"/>
      <c r="N45" s="5">
        <f t="shared" si="33"/>
        <v>-1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1458.9</v>
      </c>
      <c r="U45" s="1"/>
      <c r="V45" s="5">
        <f t="shared" si="35"/>
        <v>0.30629983749669332</v>
      </c>
      <c r="W45" s="1"/>
      <c r="X45" s="1">
        <f t="shared" si="36"/>
        <v>-1458.9</v>
      </c>
      <c r="Y45" s="1"/>
      <c r="Z45" s="5">
        <f t="shared" si="37"/>
        <v>-1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8"/>
      <c r="E46" s="3"/>
      <c r="F46" s="7">
        <f t="shared" si="30"/>
        <v>0</v>
      </c>
      <c r="G46" s="3"/>
      <c r="H46" s="8">
        <v>1458.9</v>
      </c>
      <c r="I46" s="3"/>
      <c r="J46" s="7">
        <f t="shared" si="31"/>
        <v>0.30629983749669332</v>
      </c>
      <c r="K46" s="3"/>
      <c r="L46" s="8">
        <f t="shared" si="32"/>
        <v>-1458.9</v>
      </c>
      <c r="M46" s="3"/>
      <c r="N46" s="7">
        <f t="shared" si="33"/>
        <v>-1</v>
      </c>
      <c r="O46" s="11"/>
      <c r="P46" s="8"/>
      <c r="Q46" s="3"/>
      <c r="R46" s="7">
        <f t="shared" si="34"/>
        <v>0</v>
      </c>
      <c r="S46" s="3"/>
      <c r="T46" s="8">
        <v>1458.9</v>
      </c>
      <c r="U46" s="3"/>
      <c r="V46" s="7">
        <f t="shared" si="35"/>
        <v>0.30629983749669332</v>
      </c>
      <c r="W46" s="3"/>
      <c r="X46" s="8">
        <f t="shared" si="36"/>
        <v>-1458.9</v>
      </c>
      <c r="Y46" s="3"/>
      <c r="Z46" s="7">
        <f t="shared" si="37"/>
        <v>-1</v>
      </c>
    </row>
    <row r="47" spans="1:26" s="27" customFormat="1" outlineLevel="1" collapsed="1" x14ac:dyDescent="0.25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114</v>
      </c>
      <c r="E47" s="1"/>
      <c r="F47" s="5">
        <f t="shared" si="30"/>
        <v>0</v>
      </c>
      <c r="G47" s="1"/>
      <c r="H47" s="1">
        <f>SUM(OSRRefH22_7x_0)</f>
        <v>843.16</v>
      </c>
      <c r="I47" s="1"/>
      <c r="J47" s="5">
        <f t="shared" si="31"/>
        <v>0.17702362806478297</v>
      </c>
      <c r="K47" s="1"/>
      <c r="L47" s="1">
        <f t="shared" si="32"/>
        <v>-729.16</v>
      </c>
      <c r="M47" s="1"/>
      <c r="N47" s="5">
        <f t="shared" si="33"/>
        <v>-0.86479434508278386</v>
      </c>
      <c r="O47" s="14"/>
      <c r="P47" s="1">
        <f>SUM(OSRRefP22_7x_0)</f>
        <v>114</v>
      </c>
      <c r="Q47" s="1"/>
      <c r="R47" s="5">
        <f t="shared" si="34"/>
        <v>0</v>
      </c>
      <c r="S47" s="1"/>
      <c r="T47" s="1">
        <f>SUM(OSRRefT22_7x_0)</f>
        <v>843.16</v>
      </c>
      <c r="U47" s="1"/>
      <c r="V47" s="5">
        <f t="shared" si="35"/>
        <v>0.17702362806478297</v>
      </c>
      <c r="W47" s="1"/>
      <c r="X47" s="1">
        <f t="shared" si="36"/>
        <v>-729.16</v>
      </c>
      <c r="Y47" s="1"/>
      <c r="Z47" s="5">
        <f t="shared" si="37"/>
        <v>-0.86479434508278386</v>
      </c>
    </row>
    <row r="48" spans="1:26" s="24" customFormat="1" hidden="1" outlineLevel="2" x14ac:dyDescent="0.25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8">
        <v>114</v>
      </c>
      <c r="E48" s="3"/>
      <c r="F48" s="7">
        <f t="shared" si="30"/>
        <v>0</v>
      </c>
      <c r="G48" s="3"/>
      <c r="H48" s="8">
        <v>843.16</v>
      </c>
      <c r="I48" s="3"/>
      <c r="J48" s="7">
        <f t="shared" si="31"/>
        <v>0.17702362806478297</v>
      </c>
      <c r="K48" s="3"/>
      <c r="L48" s="8">
        <f t="shared" si="32"/>
        <v>-729.16</v>
      </c>
      <c r="M48" s="3"/>
      <c r="N48" s="7">
        <f t="shared" si="33"/>
        <v>-0.86479434508278386</v>
      </c>
      <c r="O48" s="11"/>
      <c r="P48" s="8">
        <v>114</v>
      </c>
      <c r="Q48" s="3"/>
      <c r="R48" s="7">
        <f t="shared" si="34"/>
        <v>0</v>
      </c>
      <c r="S48" s="3"/>
      <c r="T48" s="8">
        <v>843.16</v>
      </c>
      <c r="U48" s="3"/>
      <c r="V48" s="7">
        <f t="shared" si="35"/>
        <v>0.17702362806478297</v>
      </c>
      <c r="W48" s="3"/>
      <c r="X48" s="8">
        <f t="shared" si="36"/>
        <v>-729.16</v>
      </c>
      <c r="Y48" s="3"/>
      <c r="Z48" s="7">
        <f t="shared" si="37"/>
        <v>-0.86479434508278386</v>
      </c>
    </row>
    <row r="49" spans="1:26" s="27" customFormat="1" outlineLevel="1" collapsed="1" x14ac:dyDescent="0.25">
      <c r="A49" s="28"/>
      <c r="B49" s="14" t="str">
        <f>CONCATENATE("     ","Services                                          ")</f>
        <v xml:space="preserve">     Services                                          </v>
      </c>
      <c r="C49" s="14"/>
      <c r="D49" s="1">
        <f>SUM(OSRRefD22_8x_0)</f>
        <v>-173.04</v>
      </c>
      <c r="E49" s="1"/>
      <c r="F49" s="5">
        <f t="shared" si="30"/>
        <v>0</v>
      </c>
      <c r="G49" s="1"/>
      <c r="H49" s="1">
        <f>SUM(OSRRefH22_8x_0)</f>
        <v>327.93</v>
      </c>
      <c r="I49" s="1"/>
      <c r="J49" s="5">
        <f t="shared" si="31"/>
        <v>6.8849753725608767E-2</v>
      </c>
      <c r="K49" s="1"/>
      <c r="L49" s="1">
        <f t="shared" si="32"/>
        <v>-500.97</v>
      </c>
      <c r="M49" s="1"/>
      <c r="N49" s="5">
        <f t="shared" si="33"/>
        <v>-1.5276735888756747</v>
      </c>
      <c r="O49" s="14"/>
      <c r="P49" s="1">
        <f>SUM(OSRRefP22_8x_0)</f>
        <v>-173.04</v>
      </c>
      <c r="Q49" s="1"/>
      <c r="R49" s="5">
        <f t="shared" si="34"/>
        <v>0</v>
      </c>
      <c r="S49" s="1"/>
      <c r="T49" s="1">
        <f>SUM(OSRRefT22_8x_0)</f>
        <v>327.93</v>
      </c>
      <c r="U49" s="1"/>
      <c r="V49" s="5">
        <f t="shared" si="35"/>
        <v>6.8849753725608767E-2</v>
      </c>
      <c r="W49" s="1"/>
      <c r="X49" s="1">
        <f t="shared" si="36"/>
        <v>-500.97</v>
      </c>
      <c r="Y49" s="1"/>
      <c r="Z49" s="5">
        <f t="shared" si="37"/>
        <v>-1.5276735888756747</v>
      </c>
    </row>
    <row r="50" spans="1:26" s="24" customFormat="1" hidden="1" outlineLevel="2" x14ac:dyDescent="0.25">
      <c r="A50" s="29"/>
      <c r="B50" s="11" t="str">
        <f>CONCATENATE("          ", "6282", " - ", "JANITORIAL/EXTERMINATOR EXPENS")</f>
        <v xml:space="preserve">          6282 - JANITORIAL/EXTERMINATOR EXPENS</v>
      </c>
      <c r="C50" s="11"/>
      <c r="D50" s="8"/>
      <c r="E50" s="3"/>
      <c r="F50" s="7">
        <f t="shared" si="30"/>
        <v>0</v>
      </c>
      <c r="G50" s="3"/>
      <c r="H50" s="8">
        <v>327.93</v>
      </c>
      <c r="I50" s="3"/>
      <c r="J50" s="7">
        <f t="shared" si="31"/>
        <v>6.8849753725608767E-2</v>
      </c>
      <c r="K50" s="3"/>
      <c r="L50" s="8">
        <f t="shared" si="32"/>
        <v>-327.93</v>
      </c>
      <c r="M50" s="3"/>
      <c r="N50" s="7">
        <f t="shared" si="33"/>
        <v>-1</v>
      </c>
      <c r="O50" s="11"/>
      <c r="P50" s="8"/>
      <c r="Q50" s="3"/>
      <c r="R50" s="7">
        <f t="shared" si="34"/>
        <v>0</v>
      </c>
      <c r="S50" s="3"/>
      <c r="T50" s="8">
        <v>327.93</v>
      </c>
      <c r="U50" s="3"/>
      <c r="V50" s="7">
        <f t="shared" si="35"/>
        <v>6.8849753725608767E-2</v>
      </c>
      <c r="W50" s="3"/>
      <c r="X50" s="8">
        <f t="shared" si="36"/>
        <v>-327.93</v>
      </c>
      <c r="Y50" s="3"/>
      <c r="Z50" s="7">
        <f t="shared" si="37"/>
        <v>-1</v>
      </c>
    </row>
    <row r="51" spans="1:26" s="24" customFormat="1" hidden="1" outlineLevel="2" x14ac:dyDescent="0.25">
      <c r="A51" s="29"/>
      <c r="B51" s="11" t="str">
        <f>CONCATENATE("          ", "6285", " - ", "JANITORIAL SERVICES")</f>
        <v xml:space="preserve">          6285 - JANITORIAL SERVICES</v>
      </c>
      <c r="C51" s="11"/>
      <c r="D51" s="8">
        <v>-173.04</v>
      </c>
      <c r="E51" s="3"/>
      <c r="F51" s="7">
        <f t="shared" si="30"/>
        <v>0</v>
      </c>
      <c r="G51" s="3"/>
      <c r="H51" s="8"/>
      <c r="I51" s="3"/>
      <c r="J51" s="7">
        <f t="shared" si="31"/>
        <v>0</v>
      </c>
      <c r="K51" s="3"/>
      <c r="L51" s="8">
        <f t="shared" si="32"/>
        <v>-173.04</v>
      </c>
      <c r="M51" s="3"/>
      <c r="N51" s="7">
        <f t="shared" si="33"/>
        <v>0</v>
      </c>
      <c r="O51" s="11"/>
      <c r="P51" s="8">
        <v>-173.04</v>
      </c>
      <c r="Q51" s="3"/>
      <c r="R51" s="7">
        <f t="shared" si="34"/>
        <v>0</v>
      </c>
      <c r="S51" s="3"/>
      <c r="T51" s="8"/>
      <c r="U51" s="3"/>
      <c r="V51" s="7">
        <f t="shared" si="35"/>
        <v>0</v>
      </c>
      <c r="W51" s="3"/>
      <c r="X51" s="8">
        <f t="shared" si="36"/>
        <v>-173.04</v>
      </c>
      <c r="Y51" s="3"/>
      <c r="Z51" s="7">
        <f t="shared" si="37"/>
        <v>0</v>
      </c>
    </row>
    <row r="52" spans="1:26" s="27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0</v>
      </c>
      <c r="E52" s="1"/>
      <c r="F52" s="5">
        <f t="shared" ref="F52:F54" si="38">IF(D$12=0,0,D52/D$12)</f>
        <v>0</v>
      </c>
      <c r="G52" s="1"/>
      <c r="H52" s="1">
        <f>SUM(OSRRefH22_9x_0)</f>
        <v>3778.7599999999998</v>
      </c>
      <c r="I52" s="1"/>
      <c r="J52" s="5">
        <f t="shared" ref="J52:J54" si="39">IF(H$12=0,0,H52/H$12)</f>
        <v>0.79336045920831078</v>
      </c>
      <c r="K52" s="1"/>
      <c r="L52" s="1">
        <f t="shared" ref="L52:L54" si="40">+D52-H52</f>
        <v>-3778.7599999999998</v>
      </c>
      <c r="M52" s="1"/>
      <c r="N52" s="5">
        <f t="shared" ref="N52:N54" si="41">IF(H52=0,0,L52/H52)</f>
        <v>-1</v>
      </c>
      <c r="O52" s="14"/>
      <c r="P52" s="1">
        <f>SUM(OSRRefP22_9x_0)</f>
        <v>0</v>
      </c>
      <c r="Q52" s="1"/>
      <c r="R52" s="5">
        <f t="shared" ref="R52:R54" si="42">IF(P$12=0,0,P52/P$12)</f>
        <v>0</v>
      </c>
      <c r="S52" s="1"/>
      <c r="T52" s="1">
        <f>SUM(OSRRefT22_9x_0)</f>
        <v>3778.7599999999998</v>
      </c>
      <c r="U52" s="1"/>
      <c r="V52" s="5">
        <f t="shared" ref="V52:V54" si="43">IF(T$12=0,0,T52/T$12)</f>
        <v>0.79336045920831078</v>
      </c>
      <c r="W52" s="1"/>
      <c r="X52" s="1">
        <f t="shared" ref="X52:X54" si="44">+P52-T52</f>
        <v>-3778.7599999999998</v>
      </c>
      <c r="Y52" s="1"/>
      <c r="Z52" s="5">
        <f t="shared" ref="Z52:Z54" si="45">IF(T52=0,0,X52/T52)</f>
        <v>-1</v>
      </c>
    </row>
    <row r="53" spans="1:26" s="24" customFormat="1" hidden="1" outlineLevel="2" x14ac:dyDescent="0.25">
      <c r="A53" s="29"/>
      <c r="B53" s="11" t="str">
        <f>CONCATENATE("          ", "6237", " - ", "JANITORIAL SUPPLIES")</f>
        <v xml:space="preserve">          6237 - JANITORIAL SUPPLIES</v>
      </c>
      <c r="C53" s="11"/>
      <c r="D53" s="8"/>
      <c r="E53" s="3"/>
      <c r="F53" s="7">
        <f t="shared" si="38"/>
        <v>0</v>
      </c>
      <c r="G53" s="3"/>
      <c r="H53" s="8">
        <v>220.87</v>
      </c>
      <c r="I53" s="3"/>
      <c r="J53" s="7">
        <f t="shared" si="39"/>
        <v>4.6372229150657786E-2</v>
      </c>
      <c r="K53" s="3"/>
      <c r="L53" s="8">
        <f t="shared" si="40"/>
        <v>-220.87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220.87</v>
      </c>
      <c r="U53" s="3"/>
      <c r="V53" s="7">
        <f t="shared" si="43"/>
        <v>4.6372229150657786E-2</v>
      </c>
      <c r="W53" s="3"/>
      <c r="X53" s="8">
        <f t="shared" si="44"/>
        <v>-220.87</v>
      </c>
      <c r="Y53" s="3"/>
      <c r="Z53" s="7">
        <f t="shared" si="45"/>
        <v>-1</v>
      </c>
    </row>
    <row r="54" spans="1:26" s="24" customFormat="1" hidden="1" outlineLevel="2" x14ac:dyDescent="0.25">
      <c r="A54" s="29"/>
      <c r="B54" s="11" t="str">
        <f>CONCATENATE("          ", "6247", " - ", "STORE SUPPLIES")</f>
        <v xml:space="preserve">          6247 - STORE SUPPLIES</v>
      </c>
      <c r="C54" s="11"/>
      <c r="D54" s="8"/>
      <c r="E54" s="3"/>
      <c r="F54" s="7">
        <f t="shared" si="38"/>
        <v>0</v>
      </c>
      <c r="G54" s="3"/>
      <c r="H54" s="8">
        <v>3557.89</v>
      </c>
      <c r="I54" s="3"/>
      <c r="J54" s="7">
        <f t="shared" si="39"/>
        <v>0.74698823005765302</v>
      </c>
      <c r="K54" s="3"/>
      <c r="L54" s="8">
        <f t="shared" si="40"/>
        <v>-3557.89</v>
      </c>
      <c r="M54" s="3"/>
      <c r="N54" s="7">
        <f t="shared" si="41"/>
        <v>-1</v>
      </c>
      <c r="O54" s="11"/>
      <c r="P54" s="8"/>
      <c r="Q54" s="3"/>
      <c r="R54" s="7">
        <f t="shared" si="42"/>
        <v>0</v>
      </c>
      <c r="S54" s="3"/>
      <c r="T54" s="8">
        <v>3557.89</v>
      </c>
      <c r="U54" s="3"/>
      <c r="V54" s="7">
        <f t="shared" si="43"/>
        <v>0.74698823005765302</v>
      </c>
      <c r="W54" s="3"/>
      <c r="X54" s="8">
        <f t="shared" si="44"/>
        <v>-3557.89</v>
      </c>
      <c r="Y54" s="3"/>
      <c r="Z54" s="7">
        <f t="shared" si="45"/>
        <v>-1</v>
      </c>
    </row>
    <row r="55" spans="1:26" s="27" customFormat="1" outlineLevel="1" collapsed="1" x14ac:dyDescent="0.25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91.01</v>
      </c>
      <c r="E55" s="1"/>
      <c r="F55" s="5">
        <f t="shared" ref="F55:F56" si="46">IF(D$12=0,0,D55/D$12)</f>
        <v>0</v>
      </c>
      <c r="G55" s="1"/>
      <c r="H55" s="1">
        <f>SUM(OSRRefH22_10x_0)</f>
        <v>69.010000000000005</v>
      </c>
      <c r="I55" s="1"/>
      <c r="J55" s="5">
        <f t="shared" ref="J55:J56" si="47">IF(H$12=0,0,H55/H$12)</f>
        <v>1.4488828422542193E-2</v>
      </c>
      <c r="K55" s="1"/>
      <c r="L55" s="1">
        <f t="shared" ref="L55:L56" si="48">+D55-H55</f>
        <v>22</v>
      </c>
      <c r="M55" s="1"/>
      <c r="N55" s="5">
        <f t="shared" ref="N55:N56" si="49">IF(H55=0,0,L55/H55)</f>
        <v>0.31879437762643092</v>
      </c>
      <c r="O55" s="14"/>
      <c r="P55" s="1">
        <f>SUM(OSRRefP22_10x_0)</f>
        <v>91.01</v>
      </c>
      <c r="Q55" s="1"/>
      <c r="R55" s="5">
        <f t="shared" ref="R55:R56" si="50">IF(P$12=0,0,P55/P$12)</f>
        <v>0</v>
      </c>
      <c r="S55" s="1"/>
      <c r="T55" s="1">
        <f>SUM(OSRRefT22_10x_0)</f>
        <v>69.010000000000005</v>
      </c>
      <c r="U55" s="1"/>
      <c r="V55" s="5">
        <f t="shared" ref="V55:V56" si="51">IF(T$12=0,0,T55/T$12)</f>
        <v>1.4488828422542193E-2</v>
      </c>
      <c r="W55" s="1"/>
      <c r="X55" s="1">
        <f t="shared" ref="X55:X56" si="52">+P55-T55</f>
        <v>22</v>
      </c>
      <c r="Y55" s="1"/>
      <c r="Z55" s="5">
        <f t="shared" ref="Z55:Z56" si="53">IF(T55=0,0,X55/T55)</f>
        <v>0.31879437762643092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8">
        <v>91.01</v>
      </c>
      <c r="E56" s="3"/>
      <c r="F56" s="7">
        <f t="shared" si="46"/>
        <v>0</v>
      </c>
      <c r="G56" s="3"/>
      <c r="H56" s="8">
        <v>69.010000000000005</v>
      </c>
      <c r="I56" s="3"/>
      <c r="J56" s="7">
        <f t="shared" si="47"/>
        <v>1.4488828422542193E-2</v>
      </c>
      <c r="K56" s="3"/>
      <c r="L56" s="8">
        <f t="shared" si="48"/>
        <v>22</v>
      </c>
      <c r="M56" s="3"/>
      <c r="N56" s="7">
        <f t="shared" si="49"/>
        <v>0.31879437762643092</v>
      </c>
      <c r="O56" s="11"/>
      <c r="P56" s="8">
        <v>91.01</v>
      </c>
      <c r="Q56" s="3"/>
      <c r="R56" s="7">
        <f t="shared" si="50"/>
        <v>0</v>
      </c>
      <c r="S56" s="3"/>
      <c r="T56" s="8">
        <v>69.010000000000005</v>
      </c>
      <c r="U56" s="3"/>
      <c r="V56" s="7">
        <f t="shared" si="51"/>
        <v>1.4488828422542193E-2</v>
      </c>
      <c r="W56" s="3"/>
      <c r="X56" s="8">
        <f t="shared" si="52"/>
        <v>22</v>
      </c>
      <c r="Y56" s="3"/>
      <c r="Z56" s="7">
        <f t="shared" si="53"/>
        <v>0.31879437762643092</v>
      </c>
    </row>
    <row r="57" spans="1:26" s="61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10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x14ac:dyDescent="0.25">
      <c r="A60" s="10"/>
      <c r="B60" s="26" t="s">
        <v>3</v>
      </c>
      <c r="C60" s="26"/>
      <c r="D60" s="19">
        <f>+D20-D22+D58</f>
        <v>-347.4</v>
      </c>
      <c r="E60" s="13"/>
      <c r="F60" s="20">
        <f>IF(D$12=0,0,D60/D$12)</f>
        <v>0</v>
      </c>
      <c r="G60" s="13"/>
      <c r="H60" s="19">
        <f>+H20-H22+H58</f>
        <v>-11802.86</v>
      </c>
      <c r="I60" s="13"/>
      <c r="J60" s="20">
        <f>IF(H$12=0,0,H60/H$12)</f>
        <v>-2.4780410583290298</v>
      </c>
      <c r="K60" s="16"/>
      <c r="L60" s="19">
        <f>+D60-H60</f>
        <v>11455.460000000001</v>
      </c>
      <c r="M60" s="16"/>
      <c r="N60" s="20">
        <f>IF(H60=0,0,L60/H60)</f>
        <v>-0.97056645592678392</v>
      </c>
      <c r="O60" s="25"/>
      <c r="P60" s="19">
        <f>+P20-P22+P58</f>
        <v>-347.4</v>
      </c>
      <c r="Q60" s="13"/>
      <c r="R60" s="20">
        <f>IF(P$12=0,0,P60/P$12)</f>
        <v>0</v>
      </c>
      <c r="S60" s="13"/>
      <c r="T60" s="19">
        <f>+T20-T22+T58</f>
        <v>-11802.86</v>
      </c>
      <c r="U60" s="13"/>
      <c r="V60" s="20">
        <f>IF(T$12=0,0,T60/T$12)</f>
        <v>-2.4780410583290298</v>
      </c>
      <c r="W60" s="16"/>
      <c r="X60" s="19">
        <f>+P60-T60</f>
        <v>11455.460000000001</v>
      </c>
      <c r="Y60" s="16"/>
      <c r="Z60" s="20">
        <f>IF(T60=0,0,X60/T60)</f>
        <v>-0.97056645592678392</v>
      </c>
    </row>
    <row r="61" spans="1:26" x14ac:dyDescent="0.25">
      <c r="A61" s="9"/>
      <c r="B61" s="10"/>
      <c r="C61" s="9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x14ac:dyDescent="0.25">
      <c r="A62" s="51"/>
      <c r="B62" s="10" t="s">
        <v>13</v>
      </c>
      <c r="C62" s="10"/>
      <c r="D62" s="4"/>
      <c r="E62" s="4"/>
      <c r="F62" s="12">
        <f>IF(D$12=0,0,D62/D$12)</f>
        <v>0</v>
      </c>
      <c r="G62" s="4"/>
      <c r="H62" s="4">
        <v>990.36</v>
      </c>
      <c r="I62" s="4"/>
      <c r="J62" s="12">
        <f>IF(H$12=0,0,H62/H$12)</f>
        <v>0.20792864971089531</v>
      </c>
      <c r="K62" s="4"/>
      <c r="L62" s="4">
        <f>+D62-H62</f>
        <v>-990.36</v>
      </c>
      <c r="M62" s="4"/>
      <c r="N62" s="12">
        <f>IF(H62=0,0,L62/H62)</f>
        <v>-1</v>
      </c>
      <c r="O62" s="10"/>
      <c r="P62" s="4"/>
      <c r="Q62" s="4"/>
      <c r="R62" s="12">
        <f>IF(P$12=0,0,P62/P$12)</f>
        <v>0</v>
      </c>
      <c r="S62" s="4"/>
      <c r="T62" s="4">
        <v>990.36</v>
      </c>
      <c r="U62" s="4"/>
      <c r="V62" s="12">
        <f>IF(T$12=0,0,T62/T$12)</f>
        <v>0.20792864971089531</v>
      </c>
      <c r="W62" s="4"/>
      <c r="X62" s="4">
        <f>+P62-T62</f>
        <v>-990.36</v>
      </c>
      <c r="Y62" s="4"/>
      <c r="Z62" s="12">
        <f>IF(T62=0,0,X62/T62)</f>
        <v>-1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ht="15.75" thickBot="1" x14ac:dyDescent="0.3">
      <c r="A64" s="10"/>
      <c r="B64" s="26" t="s">
        <v>4</v>
      </c>
      <c r="C64" s="26"/>
      <c r="D64" s="35">
        <f>+D60-D62</f>
        <v>-347.4</v>
      </c>
      <c r="E64" s="13"/>
      <c r="F64" s="30">
        <f>IF(D$12=0,0,D64/D$12)</f>
        <v>0</v>
      </c>
      <c r="G64" s="13"/>
      <c r="H64" s="35">
        <f>+H60-H62</f>
        <v>-12793.220000000001</v>
      </c>
      <c r="I64" s="13"/>
      <c r="J64" s="30">
        <f>IF(H$12=0,0,H64/H$12)</f>
        <v>-2.685969708039925</v>
      </c>
      <c r="K64" s="16"/>
      <c r="L64" s="35">
        <f>D64-H64</f>
        <v>12445.820000000002</v>
      </c>
      <c r="M64" s="16"/>
      <c r="N64" s="30">
        <f>IF(H64=0,0,L64/H64)</f>
        <v>-0.97284499133134583</v>
      </c>
      <c r="O64" s="25"/>
      <c r="P64" s="35">
        <f>+P60-P62</f>
        <v>-347.4</v>
      </c>
      <c r="Q64" s="13"/>
      <c r="R64" s="30">
        <f>IF(P$12=0,0,P64/P$12)</f>
        <v>0</v>
      </c>
      <c r="S64" s="13"/>
      <c r="T64" s="35">
        <f>+T60-T62</f>
        <v>-12793.220000000001</v>
      </c>
      <c r="U64" s="13"/>
      <c r="V64" s="30">
        <f>IF(T$12=0,0,T64/T$12)</f>
        <v>-2.685969708039925</v>
      </c>
      <c r="W64" s="16"/>
      <c r="X64" s="35">
        <f>P64-T64</f>
        <v>12445.820000000002</v>
      </c>
      <c r="Y64" s="16"/>
      <c r="Z64" s="30">
        <f>IF(T64=0,0,X64/T64)</f>
        <v>-0.97284499133134583</v>
      </c>
    </row>
    <row r="65" spans="1:26" ht="15.75" thickTop="1" x14ac:dyDescent="0.25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x14ac:dyDescent="0.25">
      <c r="A66" s="9"/>
      <c r="B66" s="9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.75" thickBot="1" x14ac:dyDescent="0.3">
      <c r="A67" s="10"/>
      <c r="B67" s="26" t="s">
        <v>5</v>
      </c>
      <c r="C67" s="26"/>
      <c r="D67" s="31">
        <f>SUM(D64:D66)</f>
        <v>-347.4</v>
      </c>
      <c r="E67" s="13"/>
      <c r="F67" s="32">
        <f>IF(D$12=0,0,D67/D$12)</f>
        <v>0</v>
      </c>
      <c r="G67" s="13"/>
      <c r="H67" s="31">
        <f>SUM(H64:H66)</f>
        <v>-12793.220000000001</v>
      </c>
      <c r="I67" s="13"/>
      <c r="J67" s="32">
        <f>IF(H$12=0,0,H67/H$12)</f>
        <v>-2.685969708039925</v>
      </c>
      <c r="K67" s="16"/>
      <c r="L67" s="31">
        <f>+D67-H67</f>
        <v>12445.820000000002</v>
      </c>
      <c r="M67" s="16"/>
      <c r="N67" s="32">
        <f>IF(H67=0,0,L67/H67)</f>
        <v>-0.97284499133134583</v>
      </c>
      <c r="O67" s="25"/>
      <c r="P67" s="31">
        <f>SUM(P64:P66)</f>
        <v>-347.4</v>
      </c>
      <c r="Q67" s="13"/>
      <c r="R67" s="32">
        <f>IF(P$12=0,0,P67/P$12)</f>
        <v>0</v>
      </c>
      <c r="S67" s="13"/>
      <c r="T67" s="31">
        <f>SUM(T64:T66)</f>
        <v>-12793.220000000001</v>
      </c>
      <c r="U67" s="13"/>
      <c r="V67" s="32">
        <f>IF(T$12=0,0,T67/T$12)</f>
        <v>-2.685969708039925</v>
      </c>
      <c r="W67" s="16"/>
      <c r="X67" s="31">
        <f>+P67-T67</f>
        <v>12445.820000000002</v>
      </c>
      <c r="Y67" s="16"/>
      <c r="Z67" s="32">
        <f>IF(T67=0,0,X67/T67)</f>
        <v>-0.97284499133134583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9">
        <v>44109.41417650463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62" t="s">
        <v>313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6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19570.3</v>
      </c>
      <c r="I12" s="4"/>
      <c r="J12" s="12"/>
      <c r="K12" s="4"/>
      <c r="L12" s="4">
        <f t="shared" ref="L12:L17" si="0">+D12-H12</f>
        <v>-19570.3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19570.3</v>
      </c>
      <c r="U12" s="4"/>
      <c r="V12" s="12"/>
      <c r="W12" s="4"/>
      <c r="X12" s="4">
        <f t="shared" ref="X12:X17" si="2">+P12-T12</f>
        <v>-19570.3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3">
        <f t="shared" ref="D13:D17" si="4">0</f>
        <v>0</v>
      </c>
      <c r="E13" s="3"/>
      <c r="F13" s="22"/>
      <c r="G13" s="3"/>
      <c r="H13" s="3">
        <f>--3694.52</f>
        <v>3694.52</v>
      </c>
      <c r="I13" s="3"/>
      <c r="J13" s="22"/>
      <c r="K13" s="3"/>
      <c r="L13" s="3">
        <f t="shared" si="0"/>
        <v>-3694.52</v>
      </c>
      <c r="M13" s="3"/>
      <c r="N13" s="22">
        <f t="shared" si="1"/>
        <v>-1</v>
      </c>
      <c r="O13" s="11"/>
      <c r="P13" s="3">
        <f t="shared" ref="P13:P17" si="5">0</f>
        <v>0</v>
      </c>
      <c r="Q13" s="3"/>
      <c r="R13" s="22"/>
      <c r="S13" s="3"/>
      <c r="T13" s="3">
        <f>--3694.52</f>
        <v>3694.52</v>
      </c>
      <c r="U13" s="3"/>
      <c r="V13" s="22"/>
      <c r="W13" s="3"/>
      <c r="X13" s="3">
        <f t="shared" si="2"/>
        <v>-3694.52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3">
        <f t="shared" si="4"/>
        <v>0</v>
      </c>
      <c r="E14" s="3"/>
      <c r="F14" s="22"/>
      <c r="G14" s="3"/>
      <c r="H14" s="3">
        <f>--288.75</f>
        <v>288.75</v>
      </c>
      <c r="I14" s="3"/>
      <c r="J14" s="22"/>
      <c r="K14" s="3"/>
      <c r="L14" s="3">
        <f t="shared" si="0"/>
        <v>-288.75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--288.75</f>
        <v>288.75</v>
      </c>
      <c r="U14" s="3"/>
      <c r="V14" s="22"/>
      <c r="W14" s="3"/>
      <c r="X14" s="3">
        <f t="shared" si="2"/>
        <v>-288.75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"4132", " - ", "NON-TAXABLE SALES-JUICE")</f>
        <v xml:space="preserve">          4132 - NON-TAXABLE SALES-JUICE</v>
      </c>
      <c r="C15" s="11"/>
      <c r="D15" s="3">
        <f t="shared" si="4"/>
        <v>0</v>
      </c>
      <c r="E15" s="3"/>
      <c r="F15" s="22"/>
      <c r="G15" s="3"/>
      <c r="H15" s="3">
        <f>--15379.92</f>
        <v>15379.92</v>
      </c>
      <c r="I15" s="3"/>
      <c r="J15" s="22"/>
      <c r="K15" s="3"/>
      <c r="L15" s="3">
        <f t="shared" si="0"/>
        <v>-15379.92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--15379.92</f>
        <v>15379.92</v>
      </c>
      <c r="U15" s="3"/>
      <c r="V15" s="22"/>
      <c r="W15" s="3"/>
      <c r="X15" s="3">
        <f t="shared" si="2"/>
        <v>-15379.92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"4134", " - ", "NON-TAXABLE SALES-SODA")</f>
        <v xml:space="preserve">          4134 - NON-TAXABLE SALES-SODA</v>
      </c>
      <c r="C16" s="11"/>
      <c r="D16" s="3">
        <f t="shared" si="4"/>
        <v>0</v>
      </c>
      <c r="E16" s="3"/>
      <c r="F16" s="22"/>
      <c r="G16" s="3"/>
      <c r="H16" s="3">
        <f>-3.39</f>
        <v>-3.39</v>
      </c>
      <c r="I16" s="3"/>
      <c r="J16" s="22"/>
      <c r="K16" s="3"/>
      <c r="L16" s="3">
        <f t="shared" si="0"/>
        <v>3.39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-3.39</f>
        <v>-3.39</v>
      </c>
      <c r="U16" s="3"/>
      <c r="V16" s="22"/>
      <c r="W16" s="3"/>
      <c r="X16" s="3">
        <f t="shared" si="2"/>
        <v>3.39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"4137", " - ", "NON-TAXABLE SALES-WATER")</f>
        <v xml:space="preserve">          4137 - NON-TAXABLE SALES-WATER</v>
      </c>
      <c r="C17" s="11"/>
      <c r="D17" s="3">
        <f t="shared" si="4"/>
        <v>0</v>
      </c>
      <c r="E17" s="3"/>
      <c r="F17" s="22"/>
      <c r="G17" s="3"/>
      <c r="H17" s="3">
        <f>--210.5</f>
        <v>210.5</v>
      </c>
      <c r="I17" s="3"/>
      <c r="J17" s="22"/>
      <c r="K17" s="3"/>
      <c r="L17" s="3">
        <f t="shared" si="0"/>
        <v>-210.5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--210.5</f>
        <v>210.5</v>
      </c>
      <c r="U17" s="3"/>
      <c r="V17" s="22"/>
      <c r="W17" s="3"/>
      <c r="X17" s="3">
        <f t="shared" si="2"/>
        <v>-210.5</v>
      </c>
      <c r="Y17" s="3"/>
      <c r="Z17" s="22">
        <f t="shared" si="3"/>
        <v>-1</v>
      </c>
    </row>
    <row r="18" spans="1:26" x14ac:dyDescent="0.25">
      <c r="A18" s="9"/>
      <c r="B18" s="10"/>
      <c r="C18" s="9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9068.3100000000013</v>
      </c>
      <c r="I19" s="4"/>
      <c r="J19" s="12">
        <f t="shared" ref="J19:J21" si="7">IF(H$12=0,0,H19/H$12)</f>
        <v>0.46337102650444817</v>
      </c>
      <c r="K19" s="4"/>
      <c r="L19" s="4">
        <f t="shared" ref="L19:L21" si="8">+D19-H19</f>
        <v>-9068.3100000000013</v>
      </c>
      <c r="M19" s="4"/>
      <c r="N19" s="12">
        <f t="shared" ref="N19:N21" si="9">IF(H19=0,0,L19/H19)</f>
        <v>-1</v>
      </c>
      <c r="O19" s="10"/>
      <c r="P19" s="4">
        <f>SUM(OSRRefP16x_0)</f>
        <v>0</v>
      </c>
      <c r="Q19" s="4"/>
      <c r="R19" s="12">
        <f t="shared" ref="R19:R21" si="10">IF(P$12=0,0,P19/P$12)</f>
        <v>0</v>
      </c>
      <c r="S19" s="4"/>
      <c r="T19" s="4">
        <f>SUM(OSRRefT16x_0)</f>
        <v>9068.3100000000013</v>
      </c>
      <c r="U19" s="4"/>
      <c r="V19" s="12">
        <f t="shared" ref="V19:V21" si="11">IF(T$12=0,0,T19/T$12)</f>
        <v>0.46337102650444817</v>
      </c>
      <c r="W19" s="4"/>
      <c r="X19" s="4">
        <f t="shared" ref="X19:X21" si="12">+P19-T19</f>
        <v>-9068.3100000000013</v>
      </c>
      <c r="Y19" s="4"/>
      <c r="Z19" s="12">
        <f t="shared" ref="Z19:Z21" si="13">IF(T19=0,0,X19/T19)</f>
        <v>-1</v>
      </c>
    </row>
    <row r="20" spans="1:26" s="24" customFormat="1" hidden="1" outlineLevel="1" x14ac:dyDescent="0.25">
      <c r="A20" s="50"/>
      <c r="B20" s="11" t="str">
        <f>CONCATENATE("          ", "5053", " - ", "PURCHASES @ COST-FOOD")</f>
        <v xml:space="preserve">          5053 - PURCHASES @ COST-FOOD</v>
      </c>
      <c r="C20" s="11"/>
      <c r="D20" s="3"/>
      <c r="E20" s="3"/>
      <c r="F20" s="22">
        <f t="shared" si="6"/>
        <v>0</v>
      </c>
      <c r="G20" s="3"/>
      <c r="H20" s="3">
        <v>14156.79</v>
      </c>
      <c r="I20" s="3"/>
      <c r="J20" s="22">
        <f t="shared" si="7"/>
        <v>0.72338134826752787</v>
      </c>
      <c r="K20" s="3"/>
      <c r="L20" s="3">
        <f t="shared" si="8"/>
        <v>-14156.79</v>
      </c>
      <c r="M20" s="3"/>
      <c r="N20" s="22">
        <f t="shared" si="9"/>
        <v>-1</v>
      </c>
      <c r="O20" s="11"/>
      <c r="P20" s="3"/>
      <c r="Q20" s="3"/>
      <c r="R20" s="22">
        <f t="shared" si="10"/>
        <v>0</v>
      </c>
      <c r="S20" s="3"/>
      <c r="T20" s="3">
        <v>14156.79</v>
      </c>
      <c r="U20" s="3"/>
      <c r="V20" s="22">
        <f t="shared" si="11"/>
        <v>0.72338134826752787</v>
      </c>
      <c r="W20" s="3"/>
      <c r="X20" s="3">
        <f t="shared" si="12"/>
        <v>-14156.79</v>
      </c>
      <c r="Y20" s="3"/>
      <c r="Z20" s="22">
        <f t="shared" si="13"/>
        <v>-1</v>
      </c>
    </row>
    <row r="21" spans="1:26" s="24" customFormat="1" hidden="1" outlineLevel="1" x14ac:dyDescent="0.25">
      <c r="A21" s="50"/>
      <c r="B21" s="11" t="str">
        <f>CONCATENATE("          ", "5059", " - ", "PURCHASES @ COST-FOOD")</f>
        <v xml:space="preserve">          5059 - PURCHASES @ COST-FOOD</v>
      </c>
      <c r="C21" s="11"/>
      <c r="D21" s="3"/>
      <c r="E21" s="3"/>
      <c r="F21" s="22">
        <f t="shared" si="6"/>
        <v>0</v>
      </c>
      <c r="G21" s="3"/>
      <c r="H21" s="3">
        <v>-5088.4799999999996</v>
      </c>
      <c r="I21" s="3"/>
      <c r="J21" s="22">
        <f t="shared" si="7"/>
        <v>-0.26001032176307975</v>
      </c>
      <c r="K21" s="3"/>
      <c r="L21" s="3">
        <f t="shared" si="8"/>
        <v>5088.4799999999996</v>
      </c>
      <c r="M21" s="3"/>
      <c r="N21" s="22">
        <f t="shared" si="9"/>
        <v>-1</v>
      </c>
      <c r="O21" s="11"/>
      <c r="P21" s="3"/>
      <c r="Q21" s="3"/>
      <c r="R21" s="22">
        <f t="shared" si="10"/>
        <v>0</v>
      </c>
      <c r="S21" s="3"/>
      <c r="T21" s="3">
        <v>-5088.4799999999996</v>
      </c>
      <c r="U21" s="3"/>
      <c r="V21" s="22">
        <f t="shared" si="11"/>
        <v>-0.26001032176307975</v>
      </c>
      <c r="W21" s="3"/>
      <c r="X21" s="3">
        <f t="shared" si="12"/>
        <v>5088.4799999999996</v>
      </c>
      <c r="Y21" s="3"/>
      <c r="Z21" s="22">
        <f t="shared" si="13"/>
        <v>-1</v>
      </c>
    </row>
    <row r="22" spans="1:26" x14ac:dyDescent="0.25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25">
      <c r="A23" s="10"/>
      <c r="B23" s="26" t="s">
        <v>6</v>
      </c>
      <c r="C23" s="26"/>
      <c r="D23" s="19">
        <f>D12-D19</f>
        <v>0</v>
      </c>
      <c r="E23" s="13"/>
      <c r="F23" s="20">
        <f>IF(D$12=0,0,D23/D$12)</f>
        <v>0</v>
      </c>
      <c r="G23" s="13"/>
      <c r="H23" s="19">
        <f>H12-H19</f>
        <v>10501.989999999998</v>
      </c>
      <c r="I23" s="13"/>
      <c r="J23" s="20">
        <f>IF(H$12=0,0,H23/H$12)</f>
        <v>0.53662897349555183</v>
      </c>
      <c r="K23" s="16"/>
      <c r="L23" s="19">
        <f>+D23-H23</f>
        <v>-10501.989999999998</v>
      </c>
      <c r="M23" s="16"/>
      <c r="N23" s="20">
        <f>IF(H23=0,0,L23/H23)</f>
        <v>-1</v>
      </c>
      <c r="O23" s="25"/>
      <c r="P23" s="19">
        <f>P12-P19</f>
        <v>0</v>
      </c>
      <c r="Q23" s="13"/>
      <c r="R23" s="20">
        <f>IF(P$12=0,0,P23/P$12)</f>
        <v>0</v>
      </c>
      <c r="S23" s="13"/>
      <c r="T23" s="19">
        <f>T12-T19</f>
        <v>10501.989999999998</v>
      </c>
      <c r="U23" s="13"/>
      <c r="V23" s="20">
        <f>IF(T$12=0,0,T23/T$12)</f>
        <v>0.53662897349555183</v>
      </c>
      <c r="W23" s="16"/>
      <c r="X23" s="19">
        <f>+P23-T23</f>
        <v>-10501.989999999998</v>
      </c>
      <c r="Y23" s="16"/>
      <c r="Z23" s="20">
        <f>IF(T23=0,0,X23/T23)</f>
        <v>-1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1">
        <f>SUM(OSRRefD22x_0)</f>
        <v>9677.16</v>
      </c>
      <c r="E25" s="21"/>
      <c r="F25" s="34">
        <f t="shared" ref="F25:F34" si="14">IF(D$12=0,0,D25/D$12)</f>
        <v>0</v>
      </c>
      <c r="G25" s="21"/>
      <c r="H25" s="21">
        <f>SUM(OSRRefH22x_0)</f>
        <v>16689.240000000002</v>
      </c>
      <c r="I25" s="21"/>
      <c r="J25" s="34">
        <f t="shared" ref="J25:J34" si="15">IF(H$12=0,0,H25/H$12)</f>
        <v>0.85278406565050113</v>
      </c>
      <c r="K25" s="4"/>
      <c r="L25" s="21">
        <f t="shared" ref="L25:L34" si="16">+D25-H25</f>
        <v>-7012.0800000000017</v>
      </c>
      <c r="M25" s="4"/>
      <c r="N25" s="34">
        <f t="shared" ref="N25:N34" si="17">IF(H25=0,0,L25/H25)</f>
        <v>-0.42015574106430259</v>
      </c>
      <c r="O25" s="10"/>
      <c r="P25" s="21">
        <f>SUM(OSRRefP22x_0)</f>
        <v>9677.16</v>
      </c>
      <c r="Q25" s="21"/>
      <c r="R25" s="34">
        <f t="shared" ref="R25:R34" si="18">IF(P$12=0,0,P25/P$12)</f>
        <v>0</v>
      </c>
      <c r="S25" s="21"/>
      <c r="T25" s="21">
        <f>SUM(OSRRefT22x_0)</f>
        <v>16689.240000000002</v>
      </c>
      <c r="U25" s="21"/>
      <c r="V25" s="34">
        <f t="shared" ref="V25:V34" si="19">IF(T$12=0,0,T25/T$12)</f>
        <v>0.85278406565050113</v>
      </c>
      <c r="W25" s="4"/>
      <c r="X25" s="21">
        <f t="shared" ref="X25:X34" si="20">+P25-T25</f>
        <v>-7012.0800000000017</v>
      </c>
      <c r="Y25" s="4"/>
      <c r="Z25" s="34">
        <f t="shared" ref="Z25:Z34" si="21">IF(T25=0,0,X25/T25)</f>
        <v>-0.42015574106430259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4101.83</v>
      </c>
      <c r="E26" s="1"/>
      <c r="F26" s="5">
        <f t="shared" si="14"/>
        <v>0</v>
      </c>
      <c r="G26" s="1"/>
      <c r="H26" s="1">
        <f>SUM(OSRRefH22_0x_0)</f>
        <v>4667.33</v>
      </c>
      <c r="I26" s="1"/>
      <c r="J26" s="5">
        <f t="shared" si="15"/>
        <v>0.23849046769850232</v>
      </c>
      <c r="K26" s="1"/>
      <c r="L26" s="1">
        <f t="shared" si="16"/>
        <v>-565.5</v>
      </c>
      <c r="M26" s="1"/>
      <c r="N26" s="5">
        <f t="shared" si="17"/>
        <v>-0.12116134920821969</v>
      </c>
      <c r="O26" s="14"/>
      <c r="P26" s="1">
        <f>SUM(OSRRefP22_0x_0)</f>
        <v>4101.83</v>
      </c>
      <c r="Q26" s="1"/>
      <c r="R26" s="5">
        <f t="shared" si="18"/>
        <v>0</v>
      </c>
      <c r="S26" s="1"/>
      <c r="T26" s="1">
        <f>SUM(OSRRefT22_0x_0)</f>
        <v>4667.33</v>
      </c>
      <c r="U26" s="1"/>
      <c r="V26" s="5">
        <f t="shared" si="19"/>
        <v>0.23849046769850232</v>
      </c>
      <c r="W26" s="1"/>
      <c r="X26" s="1">
        <f t="shared" si="20"/>
        <v>-565.5</v>
      </c>
      <c r="Y26" s="1"/>
      <c r="Z26" s="5">
        <f t="shared" si="21"/>
        <v>-0.12116134920821969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8">
        <v>383.82</v>
      </c>
      <c r="E27" s="3"/>
      <c r="F27" s="7">
        <f t="shared" si="14"/>
        <v>0</v>
      </c>
      <c r="G27" s="3"/>
      <c r="H27" s="8">
        <v>396.06</v>
      </c>
      <c r="I27" s="3"/>
      <c r="J27" s="7">
        <f t="shared" si="15"/>
        <v>2.0237809333530914E-2</v>
      </c>
      <c r="K27" s="3"/>
      <c r="L27" s="8">
        <f t="shared" si="16"/>
        <v>-12.240000000000009</v>
      </c>
      <c r="M27" s="3"/>
      <c r="N27" s="7">
        <f t="shared" si="17"/>
        <v>-3.090440842296624E-2</v>
      </c>
      <c r="O27" s="11"/>
      <c r="P27" s="8">
        <v>383.82</v>
      </c>
      <c r="Q27" s="3"/>
      <c r="R27" s="7">
        <f t="shared" si="18"/>
        <v>0</v>
      </c>
      <c r="S27" s="3"/>
      <c r="T27" s="8">
        <v>396.06</v>
      </c>
      <c r="U27" s="3"/>
      <c r="V27" s="7">
        <f t="shared" si="19"/>
        <v>2.0237809333530914E-2</v>
      </c>
      <c r="W27" s="3"/>
      <c r="X27" s="8">
        <f t="shared" si="20"/>
        <v>-12.240000000000009</v>
      </c>
      <c r="Y27" s="3"/>
      <c r="Z27" s="7">
        <f t="shared" si="21"/>
        <v>-3.090440842296624E-2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8">
        <v>92.82</v>
      </c>
      <c r="E28" s="3"/>
      <c r="F28" s="7">
        <f t="shared" si="14"/>
        <v>0</v>
      </c>
      <c r="G28" s="3"/>
      <c r="H28" s="8">
        <v>136.52000000000001</v>
      </c>
      <c r="I28" s="3"/>
      <c r="J28" s="7">
        <f t="shared" si="15"/>
        <v>6.9758767111388186E-3</v>
      </c>
      <c r="K28" s="3"/>
      <c r="L28" s="8">
        <f t="shared" si="16"/>
        <v>-43.700000000000017</v>
      </c>
      <c r="M28" s="3"/>
      <c r="N28" s="7">
        <f t="shared" si="17"/>
        <v>-0.32009961910342816</v>
      </c>
      <c r="O28" s="11"/>
      <c r="P28" s="8">
        <v>92.82</v>
      </c>
      <c r="Q28" s="3"/>
      <c r="R28" s="7">
        <f t="shared" si="18"/>
        <v>0</v>
      </c>
      <c r="S28" s="3"/>
      <c r="T28" s="8">
        <v>136.52000000000001</v>
      </c>
      <c r="U28" s="3"/>
      <c r="V28" s="7">
        <f t="shared" si="19"/>
        <v>6.9758767111388186E-3</v>
      </c>
      <c r="W28" s="3"/>
      <c r="X28" s="8">
        <f t="shared" si="20"/>
        <v>-43.700000000000017</v>
      </c>
      <c r="Y28" s="3"/>
      <c r="Z28" s="7">
        <f t="shared" si="21"/>
        <v>-0.32009961910342816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8">
        <v>2021.26</v>
      </c>
      <c r="E29" s="3"/>
      <c r="F29" s="7">
        <f t="shared" si="14"/>
        <v>0</v>
      </c>
      <c r="G29" s="3"/>
      <c r="H29" s="8">
        <v>2019.97</v>
      </c>
      <c r="I29" s="3"/>
      <c r="J29" s="7">
        <f t="shared" si="15"/>
        <v>0.10321609786257749</v>
      </c>
      <c r="K29" s="3"/>
      <c r="L29" s="8">
        <f t="shared" si="16"/>
        <v>1.2899999999999636</v>
      </c>
      <c r="M29" s="3"/>
      <c r="N29" s="7">
        <f t="shared" si="17"/>
        <v>6.3862334589125764E-4</v>
      </c>
      <c r="O29" s="11"/>
      <c r="P29" s="8">
        <v>2021.26</v>
      </c>
      <c r="Q29" s="3"/>
      <c r="R29" s="7">
        <f t="shared" si="18"/>
        <v>0</v>
      </c>
      <c r="S29" s="3"/>
      <c r="T29" s="8">
        <v>2019.97</v>
      </c>
      <c r="U29" s="3"/>
      <c r="V29" s="7">
        <f t="shared" si="19"/>
        <v>0.10321609786257749</v>
      </c>
      <c r="W29" s="3"/>
      <c r="X29" s="8">
        <f t="shared" si="20"/>
        <v>1.2899999999999636</v>
      </c>
      <c r="Y29" s="3"/>
      <c r="Z29" s="7">
        <f t="shared" si="21"/>
        <v>6.3862334589125764E-4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8">
        <v>13.04</v>
      </c>
      <c r="E30" s="3"/>
      <c r="F30" s="7">
        <f t="shared" si="14"/>
        <v>0</v>
      </c>
      <c r="G30" s="3"/>
      <c r="H30" s="8">
        <v>18.68</v>
      </c>
      <c r="I30" s="3"/>
      <c r="J30" s="7">
        <f t="shared" si="15"/>
        <v>9.5450759569347431E-4</v>
      </c>
      <c r="K30" s="3"/>
      <c r="L30" s="8">
        <f t="shared" si="16"/>
        <v>-5.6400000000000006</v>
      </c>
      <c r="M30" s="3"/>
      <c r="N30" s="7">
        <f t="shared" si="17"/>
        <v>-0.30192719486081376</v>
      </c>
      <c r="O30" s="11"/>
      <c r="P30" s="8">
        <v>13.04</v>
      </c>
      <c r="Q30" s="3"/>
      <c r="R30" s="7">
        <f t="shared" si="18"/>
        <v>0</v>
      </c>
      <c r="S30" s="3"/>
      <c r="T30" s="8">
        <v>18.68</v>
      </c>
      <c r="U30" s="3"/>
      <c r="V30" s="7">
        <f t="shared" si="19"/>
        <v>9.5450759569347431E-4</v>
      </c>
      <c r="W30" s="3"/>
      <c r="X30" s="8">
        <f t="shared" si="20"/>
        <v>-5.6400000000000006</v>
      </c>
      <c r="Y30" s="3"/>
      <c r="Z30" s="7">
        <f t="shared" si="21"/>
        <v>-0.30192719486081376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8">
        <v>921.09</v>
      </c>
      <c r="E31" s="3"/>
      <c r="F31" s="7">
        <f t="shared" si="14"/>
        <v>0</v>
      </c>
      <c r="G31" s="3"/>
      <c r="H31" s="8">
        <v>568.97</v>
      </c>
      <c r="I31" s="3"/>
      <c r="J31" s="7">
        <f t="shared" si="15"/>
        <v>2.907313633413898E-2</v>
      </c>
      <c r="K31" s="3"/>
      <c r="L31" s="8">
        <f t="shared" si="16"/>
        <v>352.12</v>
      </c>
      <c r="M31" s="3"/>
      <c r="N31" s="7">
        <f t="shared" si="17"/>
        <v>0.61887269979085013</v>
      </c>
      <c r="O31" s="11"/>
      <c r="P31" s="8">
        <v>921.09</v>
      </c>
      <c r="Q31" s="3"/>
      <c r="R31" s="7">
        <f t="shared" si="18"/>
        <v>0</v>
      </c>
      <c r="S31" s="3"/>
      <c r="T31" s="8">
        <v>568.97</v>
      </c>
      <c r="U31" s="3"/>
      <c r="V31" s="7">
        <f t="shared" si="19"/>
        <v>2.907313633413898E-2</v>
      </c>
      <c r="W31" s="3"/>
      <c r="X31" s="8">
        <f t="shared" si="20"/>
        <v>352.12</v>
      </c>
      <c r="Y31" s="3"/>
      <c r="Z31" s="7">
        <f t="shared" si="21"/>
        <v>0.61887269979085013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8">
        <v>407.06</v>
      </c>
      <c r="E32" s="3"/>
      <c r="F32" s="7">
        <f t="shared" si="14"/>
        <v>0</v>
      </c>
      <c r="G32" s="3"/>
      <c r="H32" s="8">
        <v>715.95</v>
      </c>
      <c r="I32" s="3"/>
      <c r="J32" s="7">
        <f t="shared" si="15"/>
        <v>3.6583496420596523E-2</v>
      </c>
      <c r="K32" s="3"/>
      <c r="L32" s="8">
        <f t="shared" si="16"/>
        <v>-308.89000000000004</v>
      </c>
      <c r="M32" s="3"/>
      <c r="N32" s="7">
        <f t="shared" si="17"/>
        <v>-0.4314407430686501</v>
      </c>
      <c r="O32" s="11"/>
      <c r="P32" s="8">
        <v>407.06</v>
      </c>
      <c r="Q32" s="3"/>
      <c r="R32" s="7">
        <f t="shared" si="18"/>
        <v>0</v>
      </c>
      <c r="S32" s="3"/>
      <c r="T32" s="8">
        <v>715.95</v>
      </c>
      <c r="U32" s="3"/>
      <c r="V32" s="7">
        <f t="shared" si="19"/>
        <v>3.6583496420596523E-2</v>
      </c>
      <c r="W32" s="3"/>
      <c r="X32" s="8">
        <f t="shared" si="20"/>
        <v>-308.89000000000004</v>
      </c>
      <c r="Y32" s="3"/>
      <c r="Z32" s="7">
        <f t="shared" si="21"/>
        <v>-0.4314407430686501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8">
        <v>256.76</v>
      </c>
      <c r="E33" s="3"/>
      <c r="F33" s="7">
        <f t="shared" si="14"/>
        <v>0</v>
      </c>
      <c r="G33" s="3"/>
      <c r="H33" s="8">
        <v>661.18</v>
      </c>
      <c r="I33" s="3"/>
      <c r="J33" s="7">
        <f t="shared" si="15"/>
        <v>3.3784867886542364E-2</v>
      </c>
      <c r="K33" s="3"/>
      <c r="L33" s="8">
        <f t="shared" si="16"/>
        <v>-404.41999999999996</v>
      </c>
      <c r="M33" s="3"/>
      <c r="N33" s="7">
        <f t="shared" si="17"/>
        <v>-0.61166399467618504</v>
      </c>
      <c r="O33" s="11"/>
      <c r="P33" s="8">
        <v>256.76</v>
      </c>
      <c r="Q33" s="3"/>
      <c r="R33" s="7">
        <f t="shared" si="18"/>
        <v>0</v>
      </c>
      <c r="S33" s="3"/>
      <c r="T33" s="8">
        <v>661.18</v>
      </c>
      <c r="U33" s="3"/>
      <c r="V33" s="7">
        <f t="shared" si="19"/>
        <v>3.3784867886542364E-2</v>
      </c>
      <c r="W33" s="3"/>
      <c r="X33" s="8">
        <f t="shared" si="20"/>
        <v>-404.41999999999996</v>
      </c>
      <c r="Y33" s="3"/>
      <c r="Z33" s="7">
        <f t="shared" si="21"/>
        <v>-0.61166399467618504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8">
        <v>5.98</v>
      </c>
      <c r="E34" s="3"/>
      <c r="F34" s="7">
        <f t="shared" si="14"/>
        <v>0</v>
      </c>
      <c r="G34" s="3"/>
      <c r="H34" s="8">
        <v>150</v>
      </c>
      <c r="I34" s="3"/>
      <c r="J34" s="7">
        <f t="shared" si="15"/>
        <v>7.6646755542837874E-3</v>
      </c>
      <c r="K34" s="3"/>
      <c r="L34" s="8">
        <f t="shared" si="16"/>
        <v>-144.02000000000001</v>
      </c>
      <c r="M34" s="3"/>
      <c r="N34" s="7">
        <f t="shared" si="17"/>
        <v>-0.96013333333333339</v>
      </c>
      <c r="O34" s="11"/>
      <c r="P34" s="8">
        <v>5.98</v>
      </c>
      <c r="Q34" s="3"/>
      <c r="R34" s="7">
        <f t="shared" si="18"/>
        <v>0</v>
      </c>
      <c r="S34" s="3"/>
      <c r="T34" s="8">
        <v>150</v>
      </c>
      <c r="U34" s="3"/>
      <c r="V34" s="7">
        <f t="shared" si="19"/>
        <v>7.6646755542837874E-3</v>
      </c>
      <c r="W34" s="3"/>
      <c r="X34" s="8">
        <f t="shared" si="20"/>
        <v>-144.02000000000001</v>
      </c>
      <c r="Y34" s="3"/>
      <c r="Z34" s="7">
        <f t="shared" si="21"/>
        <v>-0.96013333333333339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5393.03</v>
      </c>
      <c r="E35" s="1"/>
      <c r="F35" s="5">
        <f t="shared" ref="F35:F38" si="22">IF(D$12=0,0,D35/D$12)</f>
        <v>0</v>
      </c>
      <c r="G35" s="1"/>
      <c r="H35" s="1">
        <f>SUM(OSRRefH22_1x_0)</f>
        <v>9005.7000000000007</v>
      </c>
      <c r="I35" s="1"/>
      <c r="J35" s="5">
        <f t="shared" ref="J35:J38" si="23">IF(H$12=0,0,H35/H$12)</f>
        <v>0.46017179092809007</v>
      </c>
      <c r="K35" s="1"/>
      <c r="L35" s="1">
        <f t="shared" ref="L35:L38" si="24">+D35-H35</f>
        <v>-3612.670000000001</v>
      </c>
      <c r="M35" s="1"/>
      <c r="N35" s="5">
        <f t="shared" ref="N35:N38" si="25">IF(H35=0,0,L35/H35)</f>
        <v>-0.40115371375906378</v>
      </c>
      <c r="O35" s="14"/>
      <c r="P35" s="1">
        <f>SUM(OSRRefP22_1x_0)</f>
        <v>5393.03</v>
      </c>
      <c r="Q35" s="1"/>
      <c r="R35" s="5">
        <f t="shared" ref="R35:R38" si="26">IF(P$12=0,0,P35/P$12)</f>
        <v>0</v>
      </c>
      <c r="S35" s="1"/>
      <c r="T35" s="1">
        <f>SUM(OSRRefT22_1x_0)</f>
        <v>9005.7000000000007</v>
      </c>
      <c r="U35" s="1"/>
      <c r="V35" s="5">
        <f t="shared" ref="V35:V38" si="27">IF(T$12=0,0,T35/T$12)</f>
        <v>0.46017179092809007</v>
      </c>
      <c r="W35" s="1"/>
      <c r="X35" s="1">
        <f t="shared" ref="X35:X38" si="28">+P35-T35</f>
        <v>-3612.670000000001</v>
      </c>
      <c r="Y35" s="1"/>
      <c r="Z35" s="5">
        <f t="shared" ref="Z35:Z38" si="29">IF(T35=0,0,X35/T35)</f>
        <v>-0.40115371375906378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8">
        <v>5393.03</v>
      </c>
      <c r="E36" s="3"/>
      <c r="F36" s="7">
        <f t="shared" si="22"/>
        <v>0</v>
      </c>
      <c r="G36" s="3"/>
      <c r="H36" s="8">
        <v>6228.04</v>
      </c>
      <c r="I36" s="3"/>
      <c r="J36" s="7">
        <f t="shared" si="23"/>
        <v>0.318239372927344</v>
      </c>
      <c r="K36" s="3"/>
      <c r="L36" s="8">
        <f t="shared" si="24"/>
        <v>-835.01000000000022</v>
      </c>
      <c r="M36" s="3"/>
      <c r="N36" s="7">
        <f t="shared" si="25"/>
        <v>-0.1340726777605796</v>
      </c>
      <c r="O36" s="11"/>
      <c r="P36" s="8">
        <v>5393.03</v>
      </c>
      <c r="Q36" s="3"/>
      <c r="R36" s="7">
        <f t="shared" si="26"/>
        <v>0</v>
      </c>
      <c r="S36" s="3"/>
      <c r="T36" s="8">
        <v>6228.04</v>
      </c>
      <c r="U36" s="3"/>
      <c r="V36" s="7">
        <f t="shared" si="27"/>
        <v>0.318239372927344</v>
      </c>
      <c r="W36" s="3"/>
      <c r="X36" s="8">
        <f t="shared" si="28"/>
        <v>-835.01000000000022</v>
      </c>
      <c r="Y36" s="3"/>
      <c r="Z36" s="7">
        <f t="shared" si="29"/>
        <v>-0.1340726777605796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8"/>
      <c r="E37" s="3"/>
      <c r="F37" s="7">
        <f t="shared" si="22"/>
        <v>0</v>
      </c>
      <c r="G37" s="3"/>
      <c r="H37" s="8">
        <v>1093.06</v>
      </c>
      <c r="I37" s="3"/>
      <c r="J37" s="7">
        <f t="shared" si="23"/>
        <v>5.5853001742436244E-2</v>
      </c>
      <c r="K37" s="3"/>
      <c r="L37" s="8">
        <f t="shared" si="24"/>
        <v>-1093.06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1093.06</v>
      </c>
      <c r="U37" s="3"/>
      <c r="V37" s="7">
        <f t="shared" si="27"/>
        <v>5.5853001742436244E-2</v>
      </c>
      <c r="W37" s="3"/>
      <c r="X37" s="8">
        <f t="shared" si="28"/>
        <v>-1093.06</v>
      </c>
      <c r="Y37" s="3"/>
      <c r="Z37" s="7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22"/>
        <v>0</v>
      </c>
      <c r="G38" s="3"/>
      <c r="H38" s="8">
        <v>1684.6</v>
      </c>
      <c r="I38" s="3"/>
      <c r="J38" s="7">
        <f t="shared" si="23"/>
        <v>8.6079416258309782E-2</v>
      </c>
      <c r="K38" s="3"/>
      <c r="L38" s="8">
        <f t="shared" si="24"/>
        <v>-1684.6</v>
      </c>
      <c r="M38" s="3"/>
      <c r="N38" s="7">
        <f t="shared" si="25"/>
        <v>-1</v>
      </c>
      <c r="O38" s="11"/>
      <c r="P38" s="8"/>
      <c r="Q38" s="3"/>
      <c r="R38" s="7">
        <f t="shared" si="26"/>
        <v>0</v>
      </c>
      <c r="S38" s="3"/>
      <c r="T38" s="8">
        <v>1684.6</v>
      </c>
      <c r="U38" s="3"/>
      <c r="V38" s="7">
        <f t="shared" si="27"/>
        <v>8.6079416258309782E-2</v>
      </c>
      <c r="W38" s="3"/>
      <c r="X38" s="8">
        <f t="shared" si="28"/>
        <v>-1684.6</v>
      </c>
      <c r="Y38" s="3"/>
      <c r="Z38" s="7">
        <f t="shared" si="29"/>
        <v>-1</v>
      </c>
    </row>
    <row r="39" spans="1:26" s="27" customFormat="1" outlineLevel="1" collapsed="1" x14ac:dyDescent="0.25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58" si="30">IF(D$12=0,0,D39/D$12)</f>
        <v>0</v>
      </c>
      <c r="G39" s="1"/>
      <c r="H39" s="1">
        <f>SUM(OSRRefH22_2x_0)</f>
        <v>94.62</v>
      </c>
      <c r="I39" s="1"/>
      <c r="J39" s="5">
        <f t="shared" ref="J39:J58" si="31">IF(H$12=0,0,H39/H$12)</f>
        <v>4.8348773396422132E-3</v>
      </c>
      <c r="K39" s="1"/>
      <c r="L39" s="1">
        <f t="shared" ref="L39:L58" si="32">+D39-H39</f>
        <v>-94.62</v>
      </c>
      <c r="M39" s="1"/>
      <c r="N39" s="5">
        <f t="shared" ref="N39:N58" si="33">IF(H39=0,0,L39/H39)</f>
        <v>-1</v>
      </c>
      <c r="O39" s="14"/>
      <c r="P39" s="1">
        <f>SUM(OSRRefP22_2x_0)</f>
        <v>0</v>
      </c>
      <c r="Q39" s="1"/>
      <c r="R39" s="5">
        <f t="shared" ref="R39:R58" si="34">IF(P$12=0,0,P39/P$12)</f>
        <v>0</v>
      </c>
      <c r="S39" s="1"/>
      <c r="T39" s="1">
        <f>SUM(OSRRefT22_2x_0)</f>
        <v>94.62</v>
      </c>
      <c r="U39" s="1"/>
      <c r="V39" s="5">
        <f t="shared" ref="V39:V58" si="35">IF(T$12=0,0,T39/T$12)</f>
        <v>4.8348773396422132E-3</v>
      </c>
      <c r="W39" s="1"/>
      <c r="X39" s="1">
        <f t="shared" ref="X39:X58" si="36">+P39-T39</f>
        <v>-94.62</v>
      </c>
      <c r="Y39" s="1"/>
      <c r="Z39" s="5">
        <f t="shared" ref="Z39:Z58" si="37">IF(T39=0,0,X39/T39)</f>
        <v>-1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8"/>
      <c r="E40" s="3"/>
      <c r="F40" s="7">
        <f t="shared" si="30"/>
        <v>0</v>
      </c>
      <c r="G40" s="3"/>
      <c r="H40" s="8">
        <v>94.62</v>
      </c>
      <c r="I40" s="3"/>
      <c r="J40" s="7">
        <f t="shared" si="31"/>
        <v>4.8348773396422132E-3</v>
      </c>
      <c r="K40" s="3"/>
      <c r="L40" s="8">
        <f t="shared" si="32"/>
        <v>-94.62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94.62</v>
      </c>
      <c r="U40" s="3"/>
      <c r="V40" s="7">
        <f t="shared" si="35"/>
        <v>4.8348773396422132E-3</v>
      </c>
      <c r="W40" s="3"/>
      <c r="X40" s="8">
        <f t="shared" si="36"/>
        <v>-94.62</v>
      </c>
      <c r="Y40" s="3"/>
      <c r="Z40" s="7">
        <f t="shared" si="37"/>
        <v>-1</v>
      </c>
    </row>
    <row r="41" spans="1:26" s="27" customFormat="1" outlineLevel="1" collapsed="1" x14ac:dyDescent="0.25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15.11</v>
      </c>
      <c r="I41" s="1"/>
      <c r="J41" s="5">
        <f t="shared" si="31"/>
        <v>7.7208831750152018E-4</v>
      </c>
      <c r="K41" s="1"/>
      <c r="L41" s="1">
        <f t="shared" si="32"/>
        <v>-15.11</v>
      </c>
      <c r="M41" s="1"/>
      <c r="N41" s="5">
        <f t="shared" si="33"/>
        <v>-1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15.11</v>
      </c>
      <c r="U41" s="1"/>
      <c r="V41" s="5">
        <f t="shared" si="35"/>
        <v>7.7208831750152018E-4</v>
      </c>
      <c r="W41" s="1"/>
      <c r="X41" s="1">
        <f t="shared" si="36"/>
        <v>-15.11</v>
      </c>
      <c r="Y41" s="1"/>
      <c r="Z41" s="5">
        <f t="shared" si="37"/>
        <v>-1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8"/>
      <c r="E42" s="3"/>
      <c r="F42" s="7">
        <f t="shared" si="30"/>
        <v>0</v>
      </c>
      <c r="G42" s="3"/>
      <c r="H42" s="8">
        <v>15.11</v>
      </c>
      <c r="I42" s="3"/>
      <c r="J42" s="7">
        <f t="shared" si="31"/>
        <v>7.7208831750152018E-4</v>
      </c>
      <c r="K42" s="3"/>
      <c r="L42" s="8">
        <f t="shared" si="32"/>
        <v>-15.11</v>
      </c>
      <c r="M42" s="3"/>
      <c r="N42" s="7">
        <f t="shared" si="33"/>
        <v>-1</v>
      </c>
      <c r="O42" s="11"/>
      <c r="P42" s="8"/>
      <c r="Q42" s="3"/>
      <c r="R42" s="7">
        <f t="shared" si="34"/>
        <v>0</v>
      </c>
      <c r="S42" s="3"/>
      <c r="T42" s="8">
        <v>15.11</v>
      </c>
      <c r="U42" s="3"/>
      <c r="V42" s="7">
        <f t="shared" si="35"/>
        <v>7.7208831750152018E-4</v>
      </c>
      <c r="W42" s="3"/>
      <c r="X42" s="8">
        <f t="shared" si="36"/>
        <v>-15.11</v>
      </c>
      <c r="Y42" s="3"/>
      <c r="Z42" s="7">
        <f t="shared" si="37"/>
        <v>-1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60</v>
      </c>
      <c r="E43" s="1"/>
      <c r="F43" s="5">
        <f t="shared" si="30"/>
        <v>0</v>
      </c>
      <c r="G43" s="1"/>
      <c r="H43" s="1">
        <f>SUM(OSRRefH22_4x_0)</f>
        <v>471.09</v>
      </c>
      <c r="I43" s="1"/>
      <c r="J43" s="5">
        <f t="shared" si="31"/>
        <v>2.4071680045783663E-2</v>
      </c>
      <c r="K43" s="1"/>
      <c r="L43" s="1">
        <f t="shared" si="32"/>
        <v>-411.09</v>
      </c>
      <c r="M43" s="1"/>
      <c r="N43" s="5">
        <f t="shared" si="33"/>
        <v>-0.87263580207603642</v>
      </c>
      <c r="O43" s="14"/>
      <c r="P43" s="1">
        <f>SUM(OSRRefP22_4x_0)</f>
        <v>60</v>
      </c>
      <c r="Q43" s="1"/>
      <c r="R43" s="5">
        <f t="shared" si="34"/>
        <v>0</v>
      </c>
      <c r="S43" s="1"/>
      <c r="T43" s="1">
        <f>SUM(OSRRefT22_4x_0)</f>
        <v>471.09</v>
      </c>
      <c r="U43" s="1"/>
      <c r="V43" s="5">
        <f t="shared" si="35"/>
        <v>2.4071680045783663E-2</v>
      </c>
      <c r="W43" s="1"/>
      <c r="X43" s="1">
        <f t="shared" si="36"/>
        <v>-411.09</v>
      </c>
      <c r="Y43" s="1"/>
      <c r="Z43" s="5">
        <f t="shared" si="37"/>
        <v>-0.87263580207603642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8">
        <v>60</v>
      </c>
      <c r="E44" s="3"/>
      <c r="F44" s="7">
        <f t="shared" si="30"/>
        <v>0</v>
      </c>
      <c r="G44" s="3"/>
      <c r="H44" s="8">
        <v>471.09</v>
      </c>
      <c r="I44" s="3"/>
      <c r="J44" s="7">
        <f t="shared" si="31"/>
        <v>2.4071680045783663E-2</v>
      </c>
      <c r="K44" s="3"/>
      <c r="L44" s="8">
        <f t="shared" si="32"/>
        <v>-411.09</v>
      </c>
      <c r="M44" s="3"/>
      <c r="N44" s="7">
        <f t="shared" si="33"/>
        <v>-0.87263580207603642</v>
      </c>
      <c r="O44" s="11"/>
      <c r="P44" s="8">
        <v>60</v>
      </c>
      <c r="Q44" s="3"/>
      <c r="R44" s="7">
        <f t="shared" si="34"/>
        <v>0</v>
      </c>
      <c r="S44" s="3"/>
      <c r="T44" s="8">
        <v>471.09</v>
      </c>
      <c r="U44" s="3"/>
      <c r="V44" s="7">
        <f t="shared" si="35"/>
        <v>2.4071680045783663E-2</v>
      </c>
      <c r="W44" s="3"/>
      <c r="X44" s="8">
        <f t="shared" si="36"/>
        <v>-411.09</v>
      </c>
      <c r="Y44" s="3"/>
      <c r="Z44" s="7">
        <f t="shared" si="37"/>
        <v>-0.87263580207603642</v>
      </c>
    </row>
    <row r="45" spans="1:26" s="27" customFormat="1" outlineLevel="1" collapsed="1" x14ac:dyDescent="0.25">
      <c r="A45" s="28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SUM(OSRRefD22_5x_0)</f>
        <v>0</v>
      </c>
      <c r="E45" s="1"/>
      <c r="F45" s="5">
        <f t="shared" si="30"/>
        <v>0</v>
      </c>
      <c r="G45" s="1"/>
      <c r="H45" s="1">
        <f>SUM(OSRRefH22_5x_0)</f>
        <v>13.91</v>
      </c>
      <c r="I45" s="1"/>
      <c r="J45" s="5">
        <f t="shared" si="31"/>
        <v>7.1077091306724985E-4</v>
      </c>
      <c r="K45" s="1"/>
      <c r="L45" s="1">
        <f t="shared" si="32"/>
        <v>-13.91</v>
      </c>
      <c r="M45" s="1"/>
      <c r="N45" s="5">
        <f t="shared" si="33"/>
        <v>-1</v>
      </c>
      <c r="O45" s="14"/>
      <c r="P45" s="1">
        <f>SUM(OSRRefP22_5x_0)</f>
        <v>0</v>
      </c>
      <c r="Q45" s="1"/>
      <c r="R45" s="5">
        <f t="shared" si="34"/>
        <v>0</v>
      </c>
      <c r="S45" s="1"/>
      <c r="T45" s="1">
        <f>SUM(OSRRefT22_5x_0)</f>
        <v>13.91</v>
      </c>
      <c r="U45" s="1"/>
      <c r="V45" s="5">
        <f t="shared" si="35"/>
        <v>7.1077091306724985E-4</v>
      </c>
      <c r="W45" s="1"/>
      <c r="X45" s="1">
        <f t="shared" si="36"/>
        <v>-13.91</v>
      </c>
      <c r="Y45" s="1"/>
      <c r="Z45" s="5">
        <f t="shared" si="37"/>
        <v>-1</v>
      </c>
    </row>
    <row r="46" spans="1:26" s="24" customFormat="1" hidden="1" outlineLevel="2" x14ac:dyDescent="0.25">
      <c r="A46" s="29"/>
      <c r="B46" s="11" t="str">
        <f>CONCATENATE("          ", "6382", " - ", "DISCOUNTS/MARK DOWNS")</f>
        <v xml:space="preserve">          6382 - DISCOUNTS/MARK DOWNS</v>
      </c>
      <c r="C46" s="11"/>
      <c r="D46" s="8"/>
      <c r="E46" s="3"/>
      <c r="F46" s="7">
        <f t="shared" si="30"/>
        <v>0</v>
      </c>
      <c r="G46" s="3"/>
      <c r="H46" s="8">
        <v>13.91</v>
      </c>
      <c r="I46" s="3"/>
      <c r="J46" s="7">
        <f t="shared" si="31"/>
        <v>7.1077091306724985E-4</v>
      </c>
      <c r="K46" s="3"/>
      <c r="L46" s="8">
        <f t="shared" si="32"/>
        <v>-13.91</v>
      </c>
      <c r="M46" s="3"/>
      <c r="N46" s="7">
        <f t="shared" si="33"/>
        <v>-1</v>
      </c>
      <c r="O46" s="11"/>
      <c r="P46" s="8"/>
      <c r="Q46" s="3"/>
      <c r="R46" s="7">
        <f t="shared" si="34"/>
        <v>0</v>
      </c>
      <c r="S46" s="3"/>
      <c r="T46" s="8">
        <v>13.91</v>
      </c>
      <c r="U46" s="3"/>
      <c r="V46" s="7">
        <f t="shared" si="35"/>
        <v>7.1077091306724985E-4</v>
      </c>
      <c r="W46" s="3"/>
      <c r="X46" s="8">
        <f t="shared" si="36"/>
        <v>-13.91</v>
      </c>
      <c r="Y46" s="3"/>
      <c r="Z46" s="7">
        <f t="shared" si="37"/>
        <v>-1</v>
      </c>
    </row>
    <row r="47" spans="1:26" s="27" customFormat="1" outlineLevel="1" collapsed="1" x14ac:dyDescent="0.25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71.69</v>
      </c>
      <c r="I47" s="1"/>
      <c r="J47" s="5">
        <f t="shared" si="31"/>
        <v>3.6632039365773646E-3</v>
      </c>
      <c r="K47" s="1"/>
      <c r="L47" s="1">
        <f t="shared" si="32"/>
        <v>-71.69</v>
      </c>
      <c r="M47" s="1"/>
      <c r="N47" s="5">
        <f t="shared" si="33"/>
        <v>-1</v>
      </c>
      <c r="O47" s="14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71.69</v>
      </c>
      <c r="U47" s="1"/>
      <c r="V47" s="5">
        <f t="shared" si="35"/>
        <v>3.6632039365773646E-3</v>
      </c>
      <c r="W47" s="1"/>
      <c r="X47" s="1">
        <f t="shared" si="36"/>
        <v>-71.69</v>
      </c>
      <c r="Y47" s="1"/>
      <c r="Z47" s="5">
        <f t="shared" si="37"/>
        <v>-1</v>
      </c>
    </row>
    <row r="48" spans="1:26" s="24" customFormat="1" hidden="1" outlineLevel="2" x14ac:dyDescent="0.25">
      <c r="A48" s="29"/>
      <c r="B48" s="11" t="str">
        <f>CONCATENATE("          ", "6305", " - ", "FREIGHT OUT")</f>
        <v xml:space="preserve">          6305 - FREIGHT OUT</v>
      </c>
      <c r="C48" s="11"/>
      <c r="D48" s="8"/>
      <c r="E48" s="3"/>
      <c r="F48" s="7">
        <f t="shared" si="30"/>
        <v>0</v>
      </c>
      <c r="G48" s="3"/>
      <c r="H48" s="8">
        <v>71.69</v>
      </c>
      <c r="I48" s="3"/>
      <c r="J48" s="7">
        <f t="shared" si="31"/>
        <v>3.6632039365773646E-3</v>
      </c>
      <c r="K48" s="3"/>
      <c r="L48" s="8">
        <f t="shared" si="32"/>
        <v>-71.69</v>
      </c>
      <c r="M48" s="3"/>
      <c r="N48" s="7">
        <f t="shared" si="33"/>
        <v>-1</v>
      </c>
      <c r="O48" s="11"/>
      <c r="P48" s="8"/>
      <c r="Q48" s="3"/>
      <c r="R48" s="7">
        <f t="shared" si="34"/>
        <v>0</v>
      </c>
      <c r="S48" s="3"/>
      <c r="T48" s="8">
        <v>71.69</v>
      </c>
      <c r="U48" s="3"/>
      <c r="V48" s="7">
        <f t="shared" si="35"/>
        <v>3.6632039365773646E-3</v>
      </c>
      <c r="W48" s="3"/>
      <c r="X48" s="8">
        <f t="shared" si="36"/>
        <v>-71.69</v>
      </c>
      <c r="Y48" s="3"/>
      <c r="Z48" s="7">
        <f t="shared" si="37"/>
        <v>-1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750.75</v>
      </c>
      <c r="I49" s="1"/>
      <c r="J49" s="5">
        <f t="shared" si="31"/>
        <v>3.836170114919036E-2</v>
      </c>
      <c r="K49" s="1"/>
      <c r="L49" s="1">
        <f t="shared" si="32"/>
        <v>-750.75</v>
      </c>
      <c r="M49" s="1"/>
      <c r="N49" s="5">
        <f t="shared" si="33"/>
        <v>-1</v>
      </c>
      <c r="O49" s="14"/>
      <c r="P49" s="1">
        <f>SUM(OSRRefP22_7x_0)</f>
        <v>0</v>
      </c>
      <c r="Q49" s="1"/>
      <c r="R49" s="5">
        <f t="shared" si="34"/>
        <v>0</v>
      </c>
      <c r="S49" s="1"/>
      <c r="T49" s="1">
        <f>SUM(OSRRefT22_7x_0)</f>
        <v>750.75</v>
      </c>
      <c r="U49" s="1"/>
      <c r="V49" s="5">
        <f t="shared" si="35"/>
        <v>3.836170114919036E-2</v>
      </c>
      <c r="W49" s="1"/>
      <c r="X49" s="1">
        <f t="shared" si="36"/>
        <v>-750.75</v>
      </c>
      <c r="Y49" s="1"/>
      <c r="Z49" s="5">
        <f t="shared" si="37"/>
        <v>-1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8"/>
      <c r="E50" s="3"/>
      <c r="F50" s="7">
        <f t="shared" si="30"/>
        <v>0</v>
      </c>
      <c r="G50" s="3"/>
      <c r="H50" s="8">
        <v>750.75</v>
      </c>
      <c r="I50" s="3"/>
      <c r="J50" s="7">
        <f t="shared" si="31"/>
        <v>3.836170114919036E-2</v>
      </c>
      <c r="K50" s="3"/>
      <c r="L50" s="8">
        <f t="shared" si="32"/>
        <v>-750.75</v>
      </c>
      <c r="M50" s="3"/>
      <c r="N50" s="7">
        <f t="shared" si="33"/>
        <v>-1</v>
      </c>
      <c r="O50" s="11"/>
      <c r="P50" s="8"/>
      <c r="Q50" s="3"/>
      <c r="R50" s="7">
        <f t="shared" si="34"/>
        <v>0</v>
      </c>
      <c r="S50" s="3"/>
      <c r="T50" s="8">
        <v>750.75</v>
      </c>
      <c r="U50" s="3"/>
      <c r="V50" s="7">
        <f t="shared" si="35"/>
        <v>3.836170114919036E-2</v>
      </c>
      <c r="W50" s="3"/>
      <c r="X50" s="8">
        <f t="shared" si="36"/>
        <v>-750.75</v>
      </c>
      <c r="Y50" s="3"/>
      <c r="Z50" s="7">
        <f t="shared" si="37"/>
        <v>-1</v>
      </c>
    </row>
    <row r="51" spans="1:26" s="27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243.08</v>
      </c>
      <c r="I51" s="1"/>
      <c r="J51" s="5">
        <f t="shared" si="31"/>
        <v>1.242086222490202E-2</v>
      </c>
      <c r="K51" s="1"/>
      <c r="L51" s="1">
        <f t="shared" si="32"/>
        <v>-243.08</v>
      </c>
      <c r="M51" s="1"/>
      <c r="N51" s="5">
        <f t="shared" si="33"/>
        <v>-1</v>
      </c>
      <c r="O51" s="14"/>
      <c r="P51" s="1">
        <f>SUM(OSRRefP22_8x_0)</f>
        <v>0</v>
      </c>
      <c r="Q51" s="1"/>
      <c r="R51" s="5">
        <f t="shared" si="34"/>
        <v>0</v>
      </c>
      <c r="S51" s="1"/>
      <c r="T51" s="1">
        <f>SUM(OSRRefT22_8x_0)</f>
        <v>243.08</v>
      </c>
      <c r="U51" s="1"/>
      <c r="V51" s="5">
        <f t="shared" si="35"/>
        <v>1.242086222490202E-2</v>
      </c>
      <c r="W51" s="1"/>
      <c r="X51" s="1">
        <f t="shared" si="36"/>
        <v>-243.08</v>
      </c>
      <c r="Y51" s="1"/>
      <c r="Z51" s="5">
        <f t="shared" si="37"/>
        <v>-1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8"/>
      <c r="E52" s="3"/>
      <c r="F52" s="7">
        <f t="shared" si="30"/>
        <v>0</v>
      </c>
      <c r="G52" s="3"/>
      <c r="H52" s="8">
        <v>243.08</v>
      </c>
      <c r="I52" s="3"/>
      <c r="J52" s="7">
        <f t="shared" si="31"/>
        <v>1.242086222490202E-2</v>
      </c>
      <c r="K52" s="3"/>
      <c r="L52" s="8">
        <f t="shared" si="32"/>
        <v>-243.08</v>
      </c>
      <c r="M52" s="3"/>
      <c r="N52" s="7">
        <f t="shared" si="33"/>
        <v>-1</v>
      </c>
      <c r="O52" s="11"/>
      <c r="P52" s="8"/>
      <c r="Q52" s="3"/>
      <c r="R52" s="7">
        <f t="shared" si="34"/>
        <v>0</v>
      </c>
      <c r="S52" s="3"/>
      <c r="T52" s="8">
        <v>243.08</v>
      </c>
      <c r="U52" s="3"/>
      <c r="V52" s="7">
        <f t="shared" si="35"/>
        <v>1.242086222490202E-2</v>
      </c>
      <c r="W52" s="3"/>
      <c r="X52" s="8">
        <f t="shared" si="36"/>
        <v>-243.08</v>
      </c>
      <c r="Y52" s="3"/>
      <c r="Z52" s="7">
        <f t="shared" si="37"/>
        <v>-1</v>
      </c>
    </row>
    <row r="53" spans="1:26" s="27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si="30"/>
        <v>0</v>
      </c>
      <c r="G53" s="1"/>
      <c r="H53" s="1">
        <f>SUM(OSRRefH22_9x_0)</f>
        <v>156.35</v>
      </c>
      <c r="I53" s="1"/>
      <c r="J53" s="5">
        <f t="shared" si="31"/>
        <v>7.9891468194151338E-3</v>
      </c>
      <c r="K53" s="1"/>
      <c r="L53" s="1">
        <f t="shared" si="32"/>
        <v>-156.35</v>
      </c>
      <c r="M53" s="1"/>
      <c r="N53" s="5">
        <f t="shared" si="33"/>
        <v>-1</v>
      </c>
      <c r="O53" s="14"/>
      <c r="P53" s="1">
        <f>SUM(OSRRefP22_9x_0)</f>
        <v>0</v>
      </c>
      <c r="Q53" s="1"/>
      <c r="R53" s="5">
        <f t="shared" si="34"/>
        <v>0</v>
      </c>
      <c r="S53" s="1"/>
      <c r="T53" s="1">
        <f>SUM(OSRRefT22_9x_0)</f>
        <v>156.35</v>
      </c>
      <c r="U53" s="1"/>
      <c r="V53" s="5">
        <f t="shared" si="35"/>
        <v>7.9891468194151338E-3</v>
      </c>
      <c r="W53" s="1"/>
      <c r="X53" s="1">
        <f t="shared" si="36"/>
        <v>-156.35</v>
      </c>
      <c r="Y53" s="1"/>
      <c r="Z53" s="5">
        <f t="shared" si="37"/>
        <v>-1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8"/>
      <c r="E54" s="3"/>
      <c r="F54" s="7">
        <f t="shared" si="30"/>
        <v>0</v>
      </c>
      <c r="G54" s="3"/>
      <c r="H54" s="8">
        <v>156.35</v>
      </c>
      <c r="I54" s="3"/>
      <c r="J54" s="7">
        <f t="shared" si="31"/>
        <v>7.9891468194151338E-3</v>
      </c>
      <c r="K54" s="3"/>
      <c r="L54" s="8">
        <f t="shared" si="32"/>
        <v>-156.35</v>
      </c>
      <c r="M54" s="3"/>
      <c r="N54" s="7">
        <f t="shared" si="33"/>
        <v>-1</v>
      </c>
      <c r="O54" s="11"/>
      <c r="P54" s="8"/>
      <c r="Q54" s="3"/>
      <c r="R54" s="7">
        <f t="shared" si="34"/>
        <v>0</v>
      </c>
      <c r="S54" s="3"/>
      <c r="T54" s="8">
        <v>156.35</v>
      </c>
      <c r="U54" s="3"/>
      <c r="V54" s="7">
        <f t="shared" si="35"/>
        <v>7.9891468194151338E-3</v>
      </c>
      <c r="W54" s="3"/>
      <c r="X54" s="8">
        <f t="shared" si="36"/>
        <v>-156.35</v>
      </c>
      <c r="Y54" s="3"/>
      <c r="Z54" s="7">
        <f t="shared" si="37"/>
        <v>-1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0</v>
      </c>
      <c r="E55" s="1"/>
      <c r="F55" s="5">
        <f t="shared" si="30"/>
        <v>0</v>
      </c>
      <c r="G55" s="1"/>
      <c r="H55" s="1">
        <f>SUM(OSRRefH22_10x_0)</f>
        <v>1126.06</v>
      </c>
      <c r="I55" s="1"/>
      <c r="J55" s="5">
        <f t="shared" si="31"/>
        <v>5.7539230364378677E-2</v>
      </c>
      <c r="K55" s="1"/>
      <c r="L55" s="1">
        <f t="shared" si="32"/>
        <v>-1126.06</v>
      </c>
      <c r="M55" s="1"/>
      <c r="N55" s="5">
        <f t="shared" si="33"/>
        <v>-1</v>
      </c>
      <c r="O55" s="14"/>
      <c r="P55" s="1">
        <f>SUM(OSRRefP22_10x_0)</f>
        <v>0</v>
      </c>
      <c r="Q55" s="1"/>
      <c r="R55" s="5">
        <f t="shared" si="34"/>
        <v>0</v>
      </c>
      <c r="S55" s="1"/>
      <c r="T55" s="1">
        <f>SUM(OSRRefT22_10x_0)</f>
        <v>1126.06</v>
      </c>
      <c r="U55" s="1"/>
      <c r="V55" s="5">
        <f t="shared" si="35"/>
        <v>5.7539230364378677E-2</v>
      </c>
      <c r="W55" s="1"/>
      <c r="X55" s="1">
        <f t="shared" si="36"/>
        <v>-1126.06</v>
      </c>
      <c r="Y55" s="1"/>
      <c r="Z55" s="5">
        <f t="shared" si="37"/>
        <v>-1</v>
      </c>
    </row>
    <row r="56" spans="1:26" s="24" customFormat="1" hidden="1" outlineLevel="2" x14ac:dyDescent="0.25">
      <c r="A56" s="29"/>
      <c r="B56" s="11" t="str">
        <f>CONCATENATE("          ", "6237", " - ", "JANITORIAL SUPPLIES")</f>
        <v xml:space="preserve">          6237 - JANITORIAL SUPPLIES</v>
      </c>
      <c r="C56" s="11"/>
      <c r="D56" s="8"/>
      <c r="E56" s="3"/>
      <c r="F56" s="7">
        <f t="shared" si="30"/>
        <v>0</v>
      </c>
      <c r="G56" s="3"/>
      <c r="H56" s="8">
        <v>111.27</v>
      </c>
      <c r="I56" s="3"/>
      <c r="J56" s="7">
        <f t="shared" si="31"/>
        <v>5.6856563261677134E-3</v>
      </c>
      <c r="K56" s="3"/>
      <c r="L56" s="8">
        <f t="shared" si="32"/>
        <v>-111.27</v>
      </c>
      <c r="M56" s="3"/>
      <c r="N56" s="7">
        <f t="shared" si="33"/>
        <v>-1</v>
      </c>
      <c r="O56" s="11"/>
      <c r="P56" s="8"/>
      <c r="Q56" s="3"/>
      <c r="R56" s="7">
        <f t="shared" si="34"/>
        <v>0</v>
      </c>
      <c r="S56" s="3"/>
      <c r="T56" s="8">
        <v>111.27</v>
      </c>
      <c r="U56" s="3"/>
      <c r="V56" s="7">
        <f t="shared" si="35"/>
        <v>5.6856563261677134E-3</v>
      </c>
      <c r="W56" s="3"/>
      <c r="X56" s="8">
        <f t="shared" si="36"/>
        <v>-111.27</v>
      </c>
      <c r="Y56" s="3"/>
      <c r="Z56" s="7">
        <f t="shared" si="37"/>
        <v>-1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8"/>
      <c r="E57" s="3"/>
      <c r="F57" s="7">
        <f t="shared" si="30"/>
        <v>0</v>
      </c>
      <c r="G57" s="3"/>
      <c r="H57" s="8">
        <v>78.53</v>
      </c>
      <c r="I57" s="3"/>
      <c r="J57" s="7">
        <f t="shared" si="31"/>
        <v>4.012713141852706E-3</v>
      </c>
      <c r="K57" s="3"/>
      <c r="L57" s="8">
        <f t="shared" si="32"/>
        <v>-78.53</v>
      </c>
      <c r="M57" s="3"/>
      <c r="N57" s="7">
        <f t="shared" si="33"/>
        <v>-1</v>
      </c>
      <c r="O57" s="11"/>
      <c r="P57" s="8"/>
      <c r="Q57" s="3"/>
      <c r="R57" s="7">
        <f t="shared" si="34"/>
        <v>0</v>
      </c>
      <c r="S57" s="3"/>
      <c r="T57" s="8">
        <v>78.53</v>
      </c>
      <c r="U57" s="3"/>
      <c r="V57" s="7">
        <f t="shared" si="35"/>
        <v>4.012713141852706E-3</v>
      </c>
      <c r="W57" s="3"/>
      <c r="X57" s="8">
        <f t="shared" si="36"/>
        <v>-78.53</v>
      </c>
      <c r="Y57" s="3"/>
      <c r="Z57" s="7">
        <f t="shared" si="37"/>
        <v>-1</v>
      </c>
    </row>
    <row r="58" spans="1:26" s="24" customFormat="1" hidden="1" outlineLevel="2" x14ac:dyDescent="0.25">
      <c r="A58" s="29"/>
      <c r="B58" s="11" t="str">
        <f>CONCATENATE("          ", "6247", " - ", "STORE SUPPLIES")</f>
        <v xml:space="preserve">          6247 - STORE SUPPLIES</v>
      </c>
      <c r="C58" s="11"/>
      <c r="D58" s="8"/>
      <c r="E58" s="3"/>
      <c r="F58" s="7">
        <f t="shared" si="30"/>
        <v>0</v>
      </c>
      <c r="G58" s="3"/>
      <c r="H58" s="8">
        <v>936.26</v>
      </c>
      <c r="I58" s="3"/>
      <c r="J58" s="7">
        <f t="shared" si="31"/>
        <v>4.7840860896358257E-2</v>
      </c>
      <c r="K58" s="3"/>
      <c r="L58" s="8">
        <f t="shared" si="32"/>
        <v>-936.26</v>
      </c>
      <c r="M58" s="3"/>
      <c r="N58" s="7">
        <f t="shared" si="33"/>
        <v>-1</v>
      </c>
      <c r="O58" s="11"/>
      <c r="P58" s="8"/>
      <c r="Q58" s="3"/>
      <c r="R58" s="7">
        <f t="shared" si="34"/>
        <v>0</v>
      </c>
      <c r="S58" s="3"/>
      <c r="T58" s="8">
        <v>936.26</v>
      </c>
      <c r="U58" s="3"/>
      <c r="V58" s="7">
        <f t="shared" si="35"/>
        <v>4.7840860896358257E-2</v>
      </c>
      <c r="W58" s="3"/>
      <c r="X58" s="8">
        <f t="shared" si="36"/>
        <v>-936.26</v>
      </c>
      <c r="Y58" s="3"/>
      <c r="Z58" s="7">
        <f t="shared" si="37"/>
        <v>-1</v>
      </c>
    </row>
    <row r="59" spans="1:26" s="27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SUM(OSRRefD22_11x_0)</f>
        <v>122.3</v>
      </c>
      <c r="E59" s="1"/>
      <c r="F59" s="5">
        <f t="shared" ref="F59:F60" si="38">IF(D$12=0,0,D59/D$12)</f>
        <v>0</v>
      </c>
      <c r="G59" s="1"/>
      <c r="H59" s="1">
        <f>SUM(OSRRefH22_11x_0)</f>
        <v>73.55</v>
      </c>
      <c r="I59" s="1"/>
      <c r="J59" s="5">
        <f t="shared" ref="J59:J60" si="39">IF(H$12=0,0,H59/H$12)</f>
        <v>3.7582459134504836E-3</v>
      </c>
      <c r="K59" s="1"/>
      <c r="L59" s="1">
        <f t="shared" ref="L59:L60" si="40">+D59-H59</f>
        <v>48.75</v>
      </c>
      <c r="M59" s="1"/>
      <c r="N59" s="5">
        <f t="shared" ref="N59:N60" si="41">IF(H59=0,0,L59/H59)</f>
        <v>0.66281441196464996</v>
      </c>
      <c r="O59" s="14"/>
      <c r="P59" s="1">
        <f>SUM(OSRRefP22_11x_0)</f>
        <v>122.3</v>
      </c>
      <c r="Q59" s="1"/>
      <c r="R59" s="5">
        <f t="shared" ref="R59:R60" si="42">IF(P$12=0,0,P59/P$12)</f>
        <v>0</v>
      </c>
      <c r="S59" s="1"/>
      <c r="T59" s="1">
        <f>SUM(OSRRefT22_11x_0)</f>
        <v>73.55</v>
      </c>
      <c r="U59" s="1"/>
      <c r="V59" s="5">
        <f t="shared" ref="V59:V60" si="43">IF(T$12=0,0,T59/T$12)</f>
        <v>3.7582459134504836E-3</v>
      </c>
      <c r="W59" s="1"/>
      <c r="X59" s="1">
        <f t="shared" ref="X59:X60" si="44">+P59-T59</f>
        <v>48.75</v>
      </c>
      <c r="Y59" s="1"/>
      <c r="Z59" s="5">
        <f t="shared" ref="Z59:Z60" si="45">IF(T59=0,0,X59/T59)</f>
        <v>0.66281441196464996</v>
      </c>
    </row>
    <row r="60" spans="1:26" s="24" customFormat="1" hidden="1" outlineLevel="2" x14ac:dyDescent="0.25">
      <c r="A60" s="29"/>
      <c r="B60" s="11" t="str">
        <f>CONCATENATE("          ", "6309", " - ", "TELEPHONE")</f>
        <v xml:space="preserve">          6309 - TELEPHONE</v>
      </c>
      <c r="C60" s="11"/>
      <c r="D60" s="8">
        <v>122.3</v>
      </c>
      <c r="E60" s="3"/>
      <c r="F60" s="7">
        <f t="shared" si="38"/>
        <v>0</v>
      </c>
      <c r="G60" s="3"/>
      <c r="H60" s="8">
        <v>73.55</v>
      </c>
      <c r="I60" s="3"/>
      <c r="J60" s="7">
        <f t="shared" si="39"/>
        <v>3.7582459134504836E-3</v>
      </c>
      <c r="K60" s="3"/>
      <c r="L60" s="8">
        <f t="shared" si="40"/>
        <v>48.75</v>
      </c>
      <c r="M60" s="3"/>
      <c r="N60" s="7">
        <f t="shared" si="41"/>
        <v>0.66281441196464996</v>
      </c>
      <c r="O60" s="11"/>
      <c r="P60" s="8">
        <v>122.3</v>
      </c>
      <c r="Q60" s="3"/>
      <c r="R60" s="7">
        <f t="shared" si="42"/>
        <v>0</v>
      </c>
      <c r="S60" s="3"/>
      <c r="T60" s="8">
        <v>73.55</v>
      </c>
      <c r="U60" s="3"/>
      <c r="V60" s="7">
        <f t="shared" si="43"/>
        <v>3.7582459134504836E-3</v>
      </c>
      <c r="W60" s="3"/>
      <c r="X60" s="8">
        <f t="shared" si="44"/>
        <v>48.75</v>
      </c>
      <c r="Y60" s="3"/>
      <c r="Z60" s="7">
        <f t="shared" si="45"/>
        <v>0.66281441196464996</v>
      </c>
    </row>
    <row r="61" spans="1:26" s="61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5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10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x14ac:dyDescent="0.25">
      <c r="A64" s="10"/>
      <c r="B64" s="26" t="s">
        <v>3</v>
      </c>
      <c r="C64" s="26"/>
      <c r="D64" s="19">
        <f>+D23-D25+D62</f>
        <v>-9677.16</v>
      </c>
      <c r="E64" s="13"/>
      <c r="F64" s="20">
        <f>IF(D$12=0,0,D64/D$12)</f>
        <v>0</v>
      </c>
      <c r="G64" s="13"/>
      <c r="H64" s="19">
        <f>+H23-H25+H62</f>
        <v>-6187.2500000000036</v>
      </c>
      <c r="I64" s="13"/>
      <c r="J64" s="20">
        <f>IF(H$12=0,0,H64/H$12)</f>
        <v>-0.3161550921549493</v>
      </c>
      <c r="K64" s="16"/>
      <c r="L64" s="19">
        <f>+D64-H64</f>
        <v>-3489.9099999999962</v>
      </c>
      <c r="M64" s="16"/>
      <c r="N64" s="20">
        <f>IF(H64=0,0,L64/H64)</f>
        <v>0.56404864843023861</v>
      </c>
      <c r="O64" s="25"/>
      <c r="P64" s="19">
        <f>+P23-P25+P62</f>
        <v>-9677.16</v>
      </c>
      <c r="Q64" s="13"/>
      <c r="R64" s="20">
        <f>IF(P$12=0,0,P64/P$12)</f>
        <v>0</v>
      </c>
      <c r="S64" s="13"/>
      <c r="T64" s="19">
        <f>+T23-T25+T62</f>
        <v>-6187.2500000000036</v>
      </c>
      <c r="U64" s="13"/>
      <c r="V64" s="20">
        <f>IF(T$12=0,0,T64/T$12)</f>
        <v>-0.3161550921549493</v>
      </c>
      <c r="W64" s="16"/>
      <c r="X64" s="19">
        <f>+P64-T64</f>
        <v>-3489.9099999999962</v>
      </c>
      <c r="Y64" s="16"/>
      <c r="Z64" s="20">
        <f>IF(T64=0,0,X64/T64)</f>
        <v>0.56404864843023861</v>
      </c>
    </row>
    <row r="65" spans="1:26" x14ac:dyDescent="0.25">
      <c r="A65" s="9"/>
      <c r="B65" s="10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>
        <v>4069.24</v>
      </c>
      <c r="I66" s="4"/>
      <c r="J66" s="12">
        <f>IF(H$12=0,0,H66/H$12)</f>
        <v>0.20792936235009171</v>
      </c>
      <c r="K66" s="4"/>
      <c r="L66" s="4">
        <f>+D66-H66</f>
        <v>-4069.24</v>
      </c>
      <c r="M66" s="4"/>
      <c r="N66" s="12">
        <f>IF(H66=0,0,L66/H66)</f>
        <v>-1</v>
      </c>
      <c r="O66" s="10"/>
      <c r="P66" s="4"/>
      <c r="Q66" s="4"/>
      <c r="R66" s="12">
        <f>IF(P$12=0,0,P66/P$12)</f>
        <v>0</v>
      </c>
      <c r="S66" s="4"/>
      <c r="T66" s="4">
        <v>4069.24</v>
      </c>
      <c r="U66" s="4"/>
      <c r="V66" s="12">
        <f>IF(T$12=0,0,T66/T$12)</f>
        <v>0.20792936235009171</v>
      </c>
      <c r="W66" s="4"/>
      <c r="X66" s="4">
        <f>+P66-T66</f>
        <v>-4069.24</v>
      </c>
      <c r="Y66" s="4"/>
      <c r="Z66" s="12">
        <f>IF(T66=0,0,X66/T66)</f>
        <v>-1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ht="15.75" thickBot="1" x14ac:dyDescent="0.3">
      <c r="A68" s="10"/>
      <c r="B68" s="26" t="s">
        <v>4</v>
      </c>
      <c r="C68" s="26"/>
      <c r="D68" s="35">
        <f>+D64-D66</f>
        <v>-9677.16</v>
      </c>
      <c r="E68" s="13"/>
      <c r="F68" s="30">
        <f>IF(D$12=0,0,D68/D$12)</f>
        <v>0</v>
      </c>
      <c r="G68" s="13"/>
      <c r="H68" s="35">
        <f>+H64-H66</f>
        <v>-10256.490000000003</v>
      </c>
      <c r="I68" s="13"/>
      <c r="J68" s="30">
        <f>IF(H$12=0,0,H68/H$12)</f>
        <v>-0.52408445450504104</v>
      </c>
      <c r="K68" s="16"/>
      <c r="L68" s="35">
        <f>D68-H68</f>
        <v>579.33000000000357</v>
      </c>
      <c r="M68" s="16"/>
      <c r="N68" s="30">
        <f>IF(H68=0,0,L68/H68)</f>
        <v>-5.6484235835066711E-2</v>
      </c>
      <c r="O68" s="25"/>
      <c r="P68" s="35">
        <f>+P64-P66</f>
        <v>-9677.16</v>
      </c>
      <c r="Q68" s="13"/>
      <c r="R68" s="30">
        <f>IF(P$12=0,0,P68/P$12)</f>
        <v>0</v>
      </c>
      <c r="S68" s="13"/>
      <c r="T68" s="35">
        <f>+T64-T66</f>
        <v>-10256.490000000003</v>
      </c>
      <c r="U68" s="13"/>
      <c r="V68" s="30">
        <f>IF(T$12=0,0,T68/T$12)</f>
        <v>-0.52408445450504104</v>
      </c>
      <c r="W68" s="16"/>
      <c r="X68" s="35">
        <f>P68-T68</f>
        <v>579.33000000000357</v>
      </c>
      <c r="Y68" s="16"/>
      <c r="Z68" s="30">
        <f>IF(T68=0,0,X68/T68)</f>
        <v>-5.6484235835066711E-2</v>
      </c>
    </row>
    <row r="69" spans="1:26" ht="15.75" thickTop="1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ht="15.75" thickBot="1" x14ac:dyDescent="0.3">
      <c r="A71" s="10"/>
      <c r="B71" s="26" t="s">
        <v>5</v>
      </c>
      <c r="C71" s="26"/>
      <c r="D71" s="31">
        <f>SUM(D68:D70)</f>
        <v>-9677.16</v>
      </c>
      <c r="E71" s="13"/>
      <c r="F71" s="32">
        <f>IF(D$12=0,0,D71/D$12)</f>
        <v>0</v>
      </c>
      <c r="G71" s="13"/>
      <c r="H71" s="31">
        <f>SUM(H68:H70)</f>
        <v>-10256.490000000003</v>
      </c>
      <c r="I71" s="13"/>
      <c r="J71" s="32">
        <f>IF(H$12=0,0,H71/H$12)</f>
        <v>-0.52408445450504104</v>
      </c>
      <c r="K71" s="16"/>
      <c r="L71" s="31">
        <f>+D71-H71</f>
        <v>579.33000000000357</v>
      </c>
      <c r="M71" s="16"/>
      <c r="N71" s="32">
        <f>IF(H71=0,0,L71/H71)</f>
        <v>-5.6484235835066711E-2</v>
      </c>
      <c r="O71" s="25"/>
      <c r="P71" s="31">
        <f>SUM(P68:P70)</f>
        <v>-9677.16</v>
      </c>
      <c r="Q71" s="13"/>
      <c r="R71" s="32">
        <f>IF(P$12=0,0,P71/P$12)</f>
        <v>0</v>
      </c>
      <c r="S71" s="13"/>
      <c r="T71" s="31">
        <f>SUM(T68:T70)</f>
        <v>-10256.490000000003</v>
      </c>
      <c r="U71" s="13"/>
      <c r="V71" s="32">
        <f>IF(T$12=0,0,T71/T$12)</f>
        <v>-0.52408445450504104</v>
      </c>
      <c r="W71" s="16"/>
      <c r="X71" s="31">
        <f>+P71-T71</f>
        <v>579.33000000000357</v>
      </c>
      <c r="Y71" s="16"/>
      <c r="Z71" s="32">
        <f>IF(T71=0,0,X71/T71)</f>
        <v>-5.6484235835066711E-2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9">
        <v>44109.414231099538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2" t="s">
        <v>313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6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5401.75</v>
      </c>
      <c r="I12" s="4"/>
      <c r="J12" s="12"/>
      <c r="K12" s="4"/>
      <c r="L12" s="4">
        <f t="shared" ref="L12:L14" si="0">+D12-H12</f>
        <v>-5401.75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5401.75</v>
      </c>
      <c r="U12" s="4"/>
      <c r="V12" s="12"/>
      <c r="W12" s="4"/>
      <c r="X12" s="4">
        <f t="shared" ref="X12:X14" si="2">+P12-T12</f>
        <v>-5401.75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3">
        <f t="shared" ref="D13:D14" si="4">0</f>
        <v>0</v>
      </c>
      <c r="E13" s="3"/>
      <c r="F13" s="22"/>
      <c r="G13" s="3"/>
      <c r="H13" s="3">
        <f>--1053.37</f>
        <v>1053.3699999999999</v>
      </c>
      <c r="I13" s="3"/>
      <c r="J13" s="22"/>
      <c r="K13" s="3"/>
      <c r="L13" s="3">
        <f t="shared" si="0"/>
        <v>-1053.3699999999999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--1053.37</f>
        <v>1053.3699999999999</v>
      </c>
      <c r="U13" s="3"/>
      <c r="V13" s="22"/>
      <c r="W13" s="3"/>
      <c r="X13" s="3">
        <f t="shared" si="2"/>
        <v>-1053.3699999999999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3">
        <f t="shared" si="4"/>
        <v>0</v>
      </c>
      <c r="E14" s="3"/>
      <c r="F14" s="22"/>
      <c r="G14" s="3"/>
      <c r="H14" s="3">
        <f>--4348.38</f>
        <v>4348.38</v>
      </c>
      <c r="I14" s="3"/>
      <c r="J14" s="22"/>
      <c r="K14" s="3"/>
      <c r="L14" s="3">
        <f t="shared" si="0"/>
        <v>-4348.38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--4348.38</f>
        <v>4348.38</v>
      </c>
      <c r="U14" s="3"/>
      <c r="V14" s="22"/>
      <c r="W14" s="3"/>
      <c r="X14" s="3">
        <f t="shared" si="2"/>
        <v>-4348.38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2695.7300000000005</v>
      </c>
      <c r="I16" s="4"/>
      <c r="J16" s="12">
        <f t="shared" ref="J16:J18" si="7">IF(H$12=0,0,H16/H$12)</f>
        <v>0.49904753089276632</v>
      </c>
      <c r="K16" s="4"/>
      <c r="L16" s="4">
        <f t="shared" ref="L16:L18" si="8">+D16-H16</f>
        <v>-2695.7300000000005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2695.7300000000005</v>
      </c>
      <c r="U16" s="4"/>
      <c r="V16" s="12">
        <f t="shared" ref="V16:V18" si="11">IF(T$12=0,0,T16/T$12)</f>
        <v>0.49904753089276632</v>
      </c>
      <c r="W16" s="4"/>
      <c r="X16" s="4">
        <f t="shared" ref="X16:X18" si="12">+P16-T16</f>
        <v>-2695.7300000000005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4361.68</v>
      </c>
      <c r="I17" s="3"/>
      <c r="J17" s="22">
        <f t="shared" si="7"/>
        <v>0.80745684268986906</v>
      </c>
      <c r="K17" s="3"/>
      <c r="L17" s="3">
        <f t="shared" si="8"/>
        <v>-4361.68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4361.68</v>
      </c>
      <c r="U17" s="3"/>
      <c r="V17" s="22">
        <f t="shared" si="11"/>
        <v>0.80745684268986906</v>
      </c>
      <c r="W17" s="3"/>
      <c r="X17" s="3">
        <f t="shared" si="12"/>
        <v>-4361.68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-1665.95</v>
      </c>
      <c r="I18" s="3"/>
      <c r="J18" s="22">
        <f t="shared" si="7"/>
        <v>-0.30840931179710279</v>
      </c>
      <c r="K18" s="3"/>
      <c r="L18" s="3">
        <f t="shared" si="8"/>
        <v>1665.95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-1665.95</v>
      </c>
      <c r="U18" s="3"/>
      <c r="V18" s="22">
        <f t="shared" si="11"/>
        <v>-0.30840931179710279</v>
      </c>
      <c r="W18" s="3"/>
      <c r="X18" s="3">
        <f t="shared" si="12"/>
        <v>1665.95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2706.0199999999995</v>
      </c>
      <c r="I20" s="13"/>
      <c r="J20" s="20">
        <f>IF(H$12=0,0,H20/H$12)</f>
        <v>0.50095246910723368</v>
      </c>
      <c r="K20" s="16"/>
      <c r="L20" s="19">
        <f>+D20-H20</f>
        <v>-2706.0199999999995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2706.0199999999995</v>
      </c>
      <c r="U20" s="13"/>
      <c r="V20" s="20">
        <f>IF(T$12=0,0,T20/T$12)</f>
        <v>0.50095246910723368</v>
      </c>
      <c r="W20" s="16"/>
      <c r="X20" s="19">
        <f>+P20-T20</f>
        <v>-2706.0199999999995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5571.05</v>
      </c>
      <c r="E22" s="21"/>
      <c r="F22" s="34">
        <f t="shared" ref="F22:F28" si="14">IF(D$12=0,0,D22/D$12)</f>
        <v>0</v>
      </c>
      <c r="G22" s="21"/>
      <c r="H22" s="21">
        <f>SUM(OSRRefH22x_0)</f>
        <v>9642.4000000000015</v>
      </c>
      <c r="I22" s="21"/>
      <c r="J22" s="34">
        <f t="shared" ref="J22:J28" si="15">IF(H$12=0,0,H22/H$12)</f>
        <v>1.7850511408339893</v>
      </c>
      <c r="K22" s="4"/>
      <c r="L22" s="21">
        <f t="shared" ref="L22:L28" si="16">+D22-H22</f>
        <v>-4071.3500000000013</v>
      </c>
      <c r="M22" s="4"/>
      <c r="N22" s="34">
        <f t="shared" ref="N22:N28" si="17">IF(H22=0,0,L22/H22)</f>
        <v>-0.42223409109765209</v>
      </c>
      <c r="O22" s="10"/>
      <c r="P22" s="21">
        <f>SUM(OSRRefP22x_0)</f>
        <v>5571.05</v>
      </c>
      <c r="Q22" s="21"/>
      <c r="R22" s="34">
        <f t="shared" ref="R22:R28" si="18">IF(P$12=0,0,P22/P$12)</f>
        <v>0</v>
      </c>
      <c r="S22" s="21"/>
      <c r="T22" s="21">
        <f>SUM(OSRRefT22x_0)</f>
        <v>9642.4000000000015</v>
      </c>
      <c r="U22" s="21"/>
      <c r="V22" s="34">
        <f t="shared" ref="V22:V28" si="19">IF(T$12=0,0,T22/T$12)</f>
        <v>1.7850511408339893</v>
      </c>
      <c r="W22" s="4"/>
      <c r="X22" s="21">
        <f t="shared" ref="X22:X28" si="20">+P22-T22</f>
        <v>-4071.3500000000013</v>
      </c>
      <c r="Y22" s="4"/>
      <c r="Z22" s="34">
        <f t="shared" ref="Z22:Z28" si="21">IF(T22=0,0,X22/T22)</f>
        <v>-0.42223409109765209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407.67999999999995</v>
      </c>
      <c r="E23" s="1"/>
      <c r="F23" s="5">
        <f t="shared" si="14"/>
        <v>0</v>
      </c>
      <c r="G23" s="1"/>
      <c r="H23" s="1">
        <f>SUM(OSRRefH22_0x_0)</f>
        <v>1425.63</v>
      </c>
      <c r="I23" s="1"/>
      <c r="J23" s="5">
        <f t="shared" si="15"/>
        <v>0.26392002591752672</v>
      </c>
      <c r="K23" s="1"/>
      <c r="L23" s="1">
        <f t="shared" si="16"/>
        <v>-1017.9500000000002</v>
      </c>
      <c r="M23" s="1"/>
      <c r="N23" s="5">
        <f t="shared" si="17"/>
        <v>-0.71403519847365726</v>
      </c>
      <c r="O23" s="14"/>
      <c r="P23" s="1">
        <f>SUM(OSRRefP22_0x_0)</f>
        <v>407.67999999999995</v>
      </c>
      <c r="Q23" s="1"/>
      <c r="R23" s="5">
        <f t="shared" si="18"/>
        <v>0</v>
      </c>
      <c r="S23" s="1"/>
      <c r="T23" s="1">
        <f>SUM(OSRRefT22_0x_0)</f>
        <v>1425.63</v>
      </c>
      <c r="U23" s="1"/>
      <c r="V23" s="5">
        <f t="shared" si="19"/>
        <v>0.26392002591752672</v>
      </c>
      <c r="W23" s="1"/>
      <c r="X23" s="1">
        <f t="shared" si="20"/>
        <v>-1017.9500000000002</v>
      </c>
      <c r="Y23" s="1"/>
      <c r="Z23" s="5">
        <f t="shared" si="21"/>
        <v>-0.71403519847365726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159.12</v>
      </c>
      <c r="E24" s="3"/>
      <c r="F24" s="7">
        <f t="shared" si="14"/>
        <v>0</v>
      </c>
      <c r="G24" s="3"/>
      <c r="H24" s="8">
        <v>325.04000000000002</v>
      </c>
      <c r="I24" s="3"/>
      <c r="J24" s="7">
        <f t="shared" si="15"/>
        <v>6.0173092053501187E-2</v>
      </c>
      <c r="K24" s="3"/>
      <c r="L24" s="8">
        <f t="shared" si="16"/>
        <v>-165.92000000000002</v>
      </c>
      <c r="M24" s="3"/>
      <c r="N24" s="7">
        <f t="shared" si="17"/>
        <v>-0.5104602510460251</v>
      </c>
      <c r="O24" s="11"/>
      <c r="P24" s="8">
        <v>159.12</v>
      </c>
      <c r="Q24" s="3"/>
      <c r="R24" s="7">
        <f t="shared" si="18"/>
        <v>0</v>
      </c>
      <c r="S24" s="3"/>
      <c r="T24" s="8">
        <v>325.04000000000002</v>
      </c>
      <c r="U24" s="3"/>
      <c r="V24" s="7">
        <f t="shared" si="19"/>
        <v>6.0173092053501187E-2</v>
      </c>
      <c r="W24" s="3"/>
      <c r="X24" s="8">
        <f t="shared" si="20"/>
        <v>-165.92000000000002</v>
      </c>
      <c r="Y24" s="3"/>
      <c r="Z24" s="7">
        <f t="shared" si="21"/>
        <v>-0.5104602510460251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>
        <v>76.959999999999994</v>
      </c>
      <c r="E25" s="3"/>
      <c r="F25" s="7">
        <f t="shared" si="14"/>
        <v>0</v>
      </c>
      <c r="G25" s="3"/>
      <c r="H25" s="8">
        <v>27.43</v>
      </c>
      <c r="I25" s="3"/>
      <c r="J25" s="7">
        <f t="shared" si="15"/>
        <v>5.0779839866709866E-3</v>
      </c>
      <c r="K25" s="3"/>
      <c r="L25" s="8">
        <f t="shared" si="16"/>
        <v>49.529999999999994</v>
      </c>
      <c r="M25" s="3"/>
      <c r="N25" s="7">
        <f t="shared" si="17"/>
        <v>1.8056872037914691</v>
      </c>
      <c r="O25" s="11"/>
      <c r="P25" s="8">
        <v>76.959999999999994</v>
      </c>
      <c r="Q25" s="3"/>
      <c r="R25" s="7">
        <f t="shared" si="18"/>
        <v>0</v>
      </c>
      <c r="S25" s="3"/>
      <c r="T25" s="8">
        <v>27.43</v>
      </c>
      <c r="U25" s="3"/>
      <c r="V25" s="7">
        <f t="shared" si="19"/>
        <v>5.0779839866709866E-3</v>
      </c>
      <c r="W25" s="3"/>
      <c r="X25" s="8">
        <f t="shared" si="20"/>
        <v>49.529999999999994</v>
      </c>
      <c r="Y25" s="3"/>
      <c r="Z25" s="7">
        <f t="shared" si="21"/>
        <v>1.8056872037914691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/>
      <c r="E26" s="3"/>
      <c r="F26" s="7">
        <f t="shared" si="14"/>
        <v>0</v>
      </c>
      <c r="G26" s="3"/>
      <c r="H26" s="8">
        <v>935.3</v>
      </c>
      <c r="I26" s="3"/>
      <c r="J26" s="7">
        <f t="shared" si="15"/>
        <v>0.17314759105845326</v>
      </c>
      <c r="K26" s="3"/>
      <c r="L26" s="8">
        <f t="shared" si="16"/>
        <v>-935.3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935.3</v>
      </c>
      <c r="U26" s="3"/>
      <c r="V26" s="7">
        <f t="shared" si="19"/>
        <v>0.17314759105845326</v>
      </c>
      <c r="W26" s="3"/>
      <c r="X26" s="8">
        <f t="shared" si="20"/>
        <v>-935.3</v>
      </c>
      <c r="Y26" s="3"/>
      <c r="Z26" s="7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>
        <v>10.82</v>
      </c>
      <c r="E27" s="3"/>
      <c r="F27" s="7">
        <f t="shared" si="14"/>
        <v>0</v>
      </c>
      <c r="G27" s="3"/>
      <c r="H27" s="8">
        <v>3.75</v>
      </c>
      <c r="I27" s="3"/>
      <c r="J27" s="7">
        <f t="shared" si="15"/>
        <v>6.9421946591382427E-4</v>
      </c>
      <c r="K27" s="3"/>
      <c r="L27" s="8">
        <f t="shared" si="16"/>
        <v>7.07</v>
      </c>
      <c r="M27" s="3"/>
      <c r="N27" s="7">
        <f t="shared" si="17"/>
        <v>1.8853333333333333</v>
      </c>
      <c r="O27" s="11"/>
      <c r="P27" s="8">
        <v>10.82</v>
      </c>
      <c r="Q27" s="3"/>
      <c r="R27" s="7">
        <f t="shared" si="18"/>
        <v>0</v>
      </c>
      <c r="S27" s="3"/>
      <c r="T27" s="8">
        <v>3.75</v>
      </c>
      <c r="U27" s="3"/>
      <c r="V27" s="7">
        <f t="shared" si="19"/>
        <v>6.9421946591382427E-4</v>
      </c>
      <c r="W27" s="3"/>
      <c r="X27" s="8">
        <f t="shared" si="20"/>
        <v>7.07</v>
      </c>
      <c r="Y27" s="3"/>
      <c r="Z27" s="7">
        <f t="shared" si="21"/>
        <v>1.8853333333333333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160.78</v>
      </c>
      <c r="E28" s="3"/>
      <c r="F28" s="7">
        <f t="shared" si="14"/>
        <v>0</v>
      </c>
      <c r="G28" s="3"/>
      <c r="H28" s="8">
        <v>134.11000000000001</v>
      </c>
      <c r="I28" s="3"/>
      <c r="J28" s="7">
        <f t="shared" si="15"/>
        <v>2.482713935298746E-2</v>
      </c>
      <c r="K28" s="3"/>
      <c r="L28" s="8">
        <f t="shared" si="16"/>
        <v>26.669999999999987</v>
      </c>
      <c r="M28" s="3"/>
      <c r="N28" s="7">
        <f t="shared" si="17"/>
        <v>0.19886660204309883</v>
      </c>
      <c r="O28" s="11"/>
      <c r="P28" s="8">
        <v>160.78</v>
      </c>
      <c r="Q28" s="3"/>
      <c r="R28" s="7">
        <f t="shared" si="18"/>
        <v>0</v>
      </c>
      <c r="S28" s="3"/>
      <c r="T28" s="8">
        <v>134.11000000000001</v>
      </c>
      <c r="U28" s="3"/>
      <c r="V28" s="7">
        <f t="shared" si="19"/>
        <v>2.482713935298746E-2</v>
      </c>
      <c r="W28" s="3"/>
      <c r="X28" s="8">
        <f t="shared" si="20"/>
        <v>26.669999999999987</v>
      </c>
      <c r="Y28" s="3"/>
      <c r="Z28" s="7">
        <f t="shared" si="21"/>
        <v>0.19886660204309883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3120</v>
      </c>
      <c r="E29" s="1"/>
      <c r="F29" s="5">
        <f t="shared" ref="F29:F33" si="22">IF(D$12=0,0,D29/D$12)</f>
        <v>0</v>
      </c>
      <c r="G29" s="1"/>
      <c r="H29" s="1">
        <f>SUM(OSRRefH22_1x_0)</f>
        <v>5054.72</v>
      </c>
      <c r="I29" s="1"/>
      <c r="J29" s="5">
        <f t="shared" ref="J29:J33" si="23">IF(H$12=0,0,H29/H$12)</f>
        <v>0.93575600499838019</v>
      </c>
      <c r="K29" s="1"/>
      <c r="L29" s="1">
        <f t="shared" ref="L29:L33" si="24">+D29-H29</f>
        <v>-1934.7200000000003</v>
      </c>
      <c r="M29" s="1"/>
      <c r="N29" s="5">
        <f t="shared" ref="N29:N33" si="25">IF(H29=0,0,L29/H29)</f>
        <v>-0.38275512788047611</v>
      </c>
      <c r="O29" s="14"/>
      <c r="P29" s="1">
        <f>SUM(OSRRefP22_1x_0)</f>
        <v>3120</v>
      </c>
      <c r="Q29" s="1"/>
      <c r="R29" s="5">
        <f t="shared" ref="R29:R33" si="26">IF(P$12=0,0,P29/P$12)</f>
        <v>0</v>
      </c>
      <c r="S29" s="1"/>
      <c r="T29" s="1">
        <f>SUM(OSRRefT22_1x_0)</f>
        <v>5054.72</v>
      </c>
      <c r="U29" s="1"/>
      <c r="V29" s="5">
        <f t="shared" ref="V29:V33" si="27">IF(T$12=0,0,T29/T$12)</f>
        <v>0.93575600499838019</v>
      </c>
      <c r="W29" s="1"/>
      <c r="X29" s="1">
        <f t="shared" ref="X29:X33" si="28">+P29-T29</f>
        <v>-1934.7200000000003</v>
      </c>
      <c r="Y29" s="1"/>
      <c r="Z29" s="5">
        <f t="shared" ref="Z29:Z33" si="29">IF(T29=0,0,X29/T29)</f>
        <v>-0.38275512788047611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8">
        <v>3120</v>
      </c>
      <c r="E30" s="3"/>
      <c r="F30" s="7">
        <f t="shared" si="22"/>
        <v>0</v>
      </c>
      <c r="G30" s="3"/>
      <c r="H30" s="8">
        <v>2400</v>
      </c>
      <c r="I30" s="3"/>
      <c r="J30" s="7">
        <f t="shared" si="23"/>
        <v>0.44430045818484748</v>
      </c>
      <c r="K30" s="3"/>
      <c r="L30" s="8">
        <f t="shared" si="24"/>
        <v>720</v>
      </c>
      <c r="M30" s="3"/>
      <c r="N30" s="7">
        <f t="shared" si="25"/>
        <v>0.3</v>
      </c>
      <c r="O30" s="11"/>
      <c r="P30" s="8">
        <v>3120</v>
      </c>
      <c r="Q30" s="3"/>
      <c r="R30" s="7">
        <f t="shared" si="26"/>
        <v>0</v>
      </c>
      <c r="S30" s="3"/>
      <c r="T30" s="8">
        <v>2400</v>
      </c>
      <c r="U30" s="3"/>
      <c r="V30" s="7">
        <f t="shared" si="27"/>
        <v>0.44430045818484748</v>
      </c>
      <c r="W30" s="3"/>
      <c r="X30" s="8">
        <f t="shared" si="28"/>
        <v>720</v>
      </c>
      <c r="Y30" s="3"/>
      <c r="Z30" s="7">
        <f t="shared" si="29"/>
        <v>0.3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8"/>
      <c r="E31" s="3"/>
      <c r="F31" s="7">
        <f t="shared" si="22"/>
        <v>0</v>
      </c>
      <c r="G31" s="3"/>
      <c r="H31" s="8">
        <v>951.72</v>
      </c>
      <c r="I31" s="3"/>
      <c r="J31" s="7">
        <f t="shared" si="23"/>
        <v>0.17618734669320127</v>
      </c>
      <c r="K31" s="3"/>
      <c r="L31" s="8">
        <f t="shared" si="24"/>
        <v>-951.72</v>
      </c>
      <c r="M31" s="3"/>
      <c r="N31" s="7">
        <f t="shared" si="25"/>
        <v>-1</v>
      </c>
      <c r="O31" s="11"/>
      <c r="P31" s="8"/>
      <c r="Q31" s="3"/>
      <c r="R31" s="7">
        <f t="shared" si="26"/>
        <v>0</v>
      </c>
      <c r="S31" s="3"/>
      <c r="T31" s="8">
        <v>951.72</v>
      </c>
      <c r="U31" s="3"/>
      <c r="V31" s="7">
        <f t="shared" si="27"/>
        <v>0.17618734669320127</v>
      </c>
      <c r="W31" s="3"/>
      <c r="X31" s="8">
        <f t="shared" si="28"/>
        <v>-951.72</v>
      </c>
      <c r="Y31" s="3"/>
      <c r="Z31" s="7">
        <f t="shared" si="29"/>
        <v>-1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8"/>
      <c r="E32" s="3"/>
      <c r="F32" s="7">
        <f t="shared" si="22"/>
        <v>0</v>
      </c>
      <c r="G32" s="3"/>
      <c r="H32" s="8">
        <v>682.12</v>
      </c>
      <c r="I32" s="3"/>
      <c r="J32" s="7">
        <f t="shared" si="23"/>
        <v>0.12627759522377008</v>
      </c>
      <c r="K32" s="3"/>
      <c r="L32" s="8">
        <f t="shared" si="24"/>
        <v>-682.12</v>
      </c>
      <c r="M32" s="3"/>
      <c r="N32" s="7">
        <f t="shared" si="25"/>
        <v>-1</v>
      </c>
      <c r="O32" s="11"/>
      <c r="P32" s="8"/>
      <c r="Q32" s="3"/>
      <c r="R32" s="7">
        <f t="shared" si="26"/>
        <v>0</v>
      </c>
      <c r="S32" s="3"/>
      <c r="T32" s="8">
        <v>682.12</v>
      </c>
      <c r="U32" s="3"/>
      <c r="V32" s="7">
        <f t="shared" si="27"/>
        <v>0.12627759522377008</v>
      </c>
      <c r="W32" s="3"/>
      <c r="X32" s="8">
        <f t="shared" si="28"/>
        <v>-682.12</v>
      </c>
      <c r="Y32" s="3"/>
      <c r="Z32" s="7">
        <f t="shared" si="29"/>
        <v>-1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8"/>
      <c r="E33" s="3"/>
      <c r="F33" s="7">
        <f t="shared" si="22"/>
        <v>0</v>
      </c>
      <c r="G33" s="3"/>
      <c r="H33" s="8">
        <v>1020.88</v>
      </c>
      <c r="I33" s="3"/>
      <c r="J33" s="7">
        <f t="shared" si="23"/>
        <v>0.1889906048965613</v>
      </c>
      <c r="K33" s="3"/>
      <c r="L33" s="8">
        <f t="shared" si="24"/>
        <v>-1020.88</v>
      </c>
      <c r="M33" s="3"/>
      <c r="N33" s="7">
        <f t="shared" si="25"/>
        <v>-1</v>
      </c>
      <c r="O33" s="11"/>
      <c r="P33" s="8"/>
      <c r="Q33" s="3"/>
      <c r="R33" s="7">
        <f t="shared" si="26"/>
        <v>0</v>
      </c>
      <c r="S33" s="3"/>
      <c r="T33" s="8">
        <v>1020.88</v>
      </c>
      <c r="U33" s="3"/>
      <c r="V33" s="7">
        <f t="shared" si="27"/>
        <v>0.1889906048965613</v>
      </c>
      <c r="W33" s="3"/>
      <c r="X33" s="8">
        <f t="shared" si="28"/>
        <v>-1020.88</v>
      </c>
      <c r="Y33" s="3"/>
      <c r="Z33" s="7">
        <f t="shared" si="29"/>
        <v>-1</v>
      </c>
    </row>
    <row r="34" spans="1:26" s="27" customFormat="1" outlineLevel="1" collapsed="1" x14ac:dyDescent="0.25">
      <c r="A34" s="28"/>
      <c r="B34" s="14" t="str">
        <f>CONCATENATE("     ","Bad Debts/Over/Short                              ")</f>
        <v xml:space="preserve">     Bad Debts/Over/Short                              </v>
      </c>
      <c r="C34" s="14"/>
      <c r="D34" s="1">
        <f>SUM(OSRRefD22_2x_0)</f>
        <v>0</v>
      </c>
      <c r="E34" s="1"/>
      <c r="F34" s="5">
        <f t="shared" ref="F34:F46" si="30">IF(D$12=0,0,D34/D$12)</f>
        <v>0</v>
      </c>
      <c r="G34" s="1"/>
      <c r="H34" s="1">
        <f>SUM(OSRRefH22_2x_0)</f>
        <v>4.43</v>
      </c>
      <c r="I34" s="1"/>
      <c r="J34" s="5">
        <f t="shared" ref="J34:J46" si="31">IF(H$12=0,0,H34/H$12)</f>
        <v>8.2010459573286429E-4</v>
      </c>
      <c r="K34" s="1"/>
      <c r="L34" s="1">
        <f t="shared" ref="L34:L46" si="32">+D34-H34</f>
        <v>-4.43</v>
      </c>
      <c r="M34" s="1"/>
      <c r="N34" s="5">
        <f t="shared" ref="N34:N46" si="33">IF(H34=0,0,L34/H34)</f>
        <v>-1</v>
      </c>
      <c r="O34" s="14"/>
      <c r="P34" s="1">
        <f>SUM(OSRRefP22_2x_0)</f>
        <v>0</v>
      </c>
      <c r="Q34" s="1"/>
      <c r="R34" s="5">
        <f t="shared" ref="R34:R46" si="34">IF(P$12=0,0,P34/P$12)</f>
        <v>0</v>
      </c>
      <c r="S34" s="1"/>
      <c r="T34" s="1">
        <f>SUM(OSRRefT22_2x_0)</f>
        <v>4.43</v>
      </c>
      <c r="U34" s="1"/>
      <c r="V34" s="5">
        <f t="shared" ref="V34:V46" si="35">IF(T$12=0,0,T34/T$12)</f>
        <v>8.2010459573286429E-4</v>
      </c>
      <c r="W34" s="1"/>
      <c r="X34" s="1">
        <f t="shared" ref="X34:X46" si="36">+P34-T34</f>
        <v>-4.43</v>
      </c>
      <c r="Y34" s="1"/>
      <c r="Z34" s="5">
        <f t="shared" ref="Z34:Z46" si="37">IF(T34=0,0,X34/T34)</f>
        <v>-1</v>
      </c>
    </row>
    <row r="35" spans="1:26" s="24" customFormat="1" hidden="1" outlineLevel="2" x14ac:dyDescent="0.25">
      <c r="A35" s="29"/>
      <c r="B35" s="11" t="str">
        <f>CONCATENATE("          ", "6272", " - ", "CASH (OVER/SHORT)")</f>
        <v xml:space="preserve">          6272 - CASH (OVER/SHORT)</v>
      </c>
      <c r="C35" s="11"/>
      <c r="D35" s="8"/>
      <c r="E35" s="3"/>
      <c r="F35" s="7">
        <f t="shared" si="30"/>
        <v>0</v>
      </c>
      <c r="G35" s="3"/>
      <c r="H35" s="8">
        <v>4.43</v>
      </c>
      <c r="I35" s="3"/>
      <c r="J35" s="7">
        <f t="shared" si="31"/>
        <v>8.2010459573286429E-4</v>
      </c>
      <c r="K35" s="3"/>
      <c r="L35" s="8">
        <f t="shared" si="32"/>
        <v>-4.43</v>
      </c>
      <c r="M35" s="3"/>
      <c r="N35" s="7">
        <f t="shared" si="33"/>
        <v>-1</v>
      </c>
      <c r="O35" s="11"/>
      <c r="P35" s="8"/>
      <c r="Q35" s="3"/>
      <c r="R35" s="7">
        <f t="shared" si="34"/>
        <v>0</v>
      </c>
      <c r="S35" s="3"/>
      <c r="T35" s="8">
        <v>4.43</v>
      </c>
      <c r="U35" s="3"/>
      <c r="V35" s="7">
        <f t="shared" si="35"/>
        <v>8.2010459573286429E-4</v>
      </c>
      <c r="W35" s="3"/>
      <c r="X35" s="8">
        <f t="shared" si="36"/>
        <v>-4.43</v>
      </c>
      <c r="Y35" s="3"/>
      <c r="Z35" s="7">
        <f t="shared" si="37"/>
        <v>-1</v>
      </c>
    </row>
    <row r="36" spans="1:26" s="27" customFormat="1" outlineLevel="1" collapsed="1" x14ac:dyDescent="0.25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</v>
      </c>
      <c r="E36" s="1"/>
      <c r="F36" s="5">
        <f t="shared" si="30"/>
        <v>0</v>
      </c>
      <c r="G36" s="1"/>
      <c r="H36" s="1">
        <f>SUM(OSRRefH22_3x_0)</f>
        <v>133.76</v>
      </c>
      <c r="I36" s="1"/>
      <c r="J36" s="5">
        <f t="shared" si="31"/>
        <v>2.4762345536168833E-2</v>
      </c>
      <c r="K36" s="1"/>
      <c r="L36" s="1">
        <f t="shared" si="32"/>
        <v>-133.76</v>
      </c>
      <c r="M36" s="1"/>
      <c r="N36" s="5">
        <f t="shared" si="33"/>
        <v>-1</v>
      </c>
      <c r="O36" s="14"/>
      <c r="P36" s="1">
        <f>SUM(OSRRefP22_3x_0)</f>
        <v>0</v>
      </c>
      <c r="Q36" s="1"/>
      <c r="R36" s="5">
        <f t="shared" si="34"/>
        <v>0</v>
      </c>
      <c r="S36" s="1"/>
      <c r="T36" s="1">
        <f>SUM(OSRRefT22_3x_0)</f>
        <v>133.76</v>
      </c>
      <c r="U36" s="1"/>
      <c r="V36" s="5">
        <f t="shared" si="35"/>
        <v>2.4762345536168833E-2</v>
      </c>
      <c r="W36" s="1"/>
      <c r="X36" s="1">
        <f t="shared" si="36"/>
        <v>-133.76</v>
      </c>
      <c r="Y36" s="1"/>
      <c r="Z36" s="5">
        <f t="shared" si="37"/>
        <v>-1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8"/>
      <c r="E37" s="3"/>
      <c r="F37" s="7">
        <f t="shared" si="30"/>
        <v>0</v>
      </c>
      <c r="G37" s="3"/>
      <c r="H37" s="8">
        <v>133.76</v>
      </c>
      <c r="I37" s="3"/>
      <c r="J37" s="7">
        <f t="shared" si="31"/>
        <v>2.4762345536168833E-2</v>
      </c>
      <c r="K37" s="3"/>
      <c r="L37" s="8">
        <f t="shared" si="32"/>
        <v>-133.76</v>
      </c>
      <c r="M37" s="3"/>
      <c r="N37" s="7">
        <f t="shared" si="33"/>
        <v>-1</v>
      </c>
      <c r="O37" s="11"/>
      <c r="P37" s="8"/>
      <c r="Q37" s="3"/>
      <c r="R37" s="7">
        <f t="shared" si="34"/>
        <v>0</v>
      </c>
      <c r="S37" s="3"/>
      <c r="T37" s="8">
        <v>133.76</v>
      </c>
      <c r="U37" s="3"/>
      <c r="V37" s="7">
        <f t="shared" si="35"/>
        <v>2.4762345536168833E-2</v>
      </c>
      <c r="W37" s="3"/>
      <c r="X37" s="8">
        <f t="shared" si="36"/>
        <v>-133.76</v>
      </c>
      <c r="Y37" s="3"/>
      <c r="Z37" s="7">
        <f t="shared" si="37"/>
        <v>-1</v>
      </c>
    </row>
    <row r="38" spans="1:26" s="27" customFormat="1" outlineLevel="1" collapsed="1" x14ac:dyDescent="0.25">
      <c r="A38" s="28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1075.3699999999999</v>
      </c>
      <c r="E38" s="1"/>
      <c r="F38" s="5">
        <f t="shared" si="30"/>
        <v>0</v>
      </c>
      <c r="G38" s="1"/>
      <c r="H38" s="1">
        <f>SUM(OSRRefH22_4x_0)</f>
        <v>968.86</v>
      </c>
      <c r="I38" s="1"/>
      <c r="J38" s="5">
        <f t="shared" si="31"/>
        <v>0.17936039246540472</v>
      </c>
      <c r="K38" s="1"/>
      <c r="L38" s="1">
        <f t="shared" si="32"/>
        <v>106.50999999999988</v>
      </c>
      <c r="M38" s="1"/>
      <c r="N38" s="5">
        <f t="shared" si="33"/>
        <v>0.10993332370001845</v>
      </c>
      <c r="O38" s="14"/>
      <c r="P38" s="1">
        <f>SUM(OSRRefP22_4x_0)</f>
        <v>1075.3699999999999</v>
      </c>
      <c r="Q38" s="1"/>
      <c r="R38" s="5">
        <f t="shared" si="34"/>
        <v>0</v>
      </c>
      <c r="S38" s="1"/>
      <c r="T38" s="1">
        <f>SUM(OSRRefT22_4x_0)</f>
        <v>968.86</v>
      </c>
      <c r="U38" s="1"/>
      <c r="V38" s="5">
        <f t="shared" si="35"/>
        <v>0.17936039246540472</v>
      </c>
      <c r="W38" s="1"/>
      <c r="X38" s="1">
        <f t="shared" si="36"/>
        <v>106.50999999999988</v>
      </c>
      <c r="Y38" s="1"/>
      <c r="Z38" s="5">
        <f t="shared" si="37"/>
        <v>0.10993332370001845</v>
      </c>
    </row>
    <row r="39" spans="1:26" s="24" customFormat="1" hidden="1" outlineLevel="2" x14ac:dyDescent="0.25">
      <c r="A39" s="29"/>
      <c r="B39" s="11" t="str">
        <f>CONCATENATE("          ", "6322", " - ", "EQUIPMENT DEPRECIATION EXPENSE")</f>
        <v xml:space="preserve">          6322 - EQUIPMENT DEPRECIATION EXPENSE</v>
      </c>
      <c r="C39" s="11"/>
      <c r="D39" s="8">
        <v>1075.3699999999999</v>
      </c>
      <c r="E39" s="3"/>
      <c r="F39" s="7">
        <f t="shared" si="30"/>
        <v>0</v>
      </c>
      <c r="G39" s="3"/>
      <c r="H39" s="8">
        <v>968.86</v>
      </c>
      <c r="I39" s="3"/>
      <c r="J39" s="7">
        <f t="shared" si="31"/>
        <v>0.17936039246540472</v>
      </c>
      <c r="K39" s="3"/>
      <c r="L39" s="8">
        <f t="shared" si="32"/>
        <v>106.50999999999988</v>
      </c>
      <c r="M39" s="3"/>
      <c r="N39" s="7">
        <f t="shared" si="33"/>
        <v>0.10993332370001845</v>
      </c>
      <c r="O39" s="11"/>
      <c r="P39" s="8">
        <v>1075.3699999999999</v>
      </c>
      <c r="Q39" s="3"/>
      <c r="R39" s="7">
        <f t="shared" si="34"/>
        <v>0</v>
      </c>
      <c r="S39" s="3"/>
      <c r="T39" s="8">
        <v>968.86</v>
      </c>
      <c r="U39" s="3"/>
      <c r="V39" s="7">
        <f t="shared" si="35"/>
        <v>0.17936039246540472</v>
      </c>
      <c r="W39" s="3"/>
      <c r="X39" s="8">
        <f t="shared" si="36"/>
        <v>106.50999999999988</v>
      </c>
      <c r="Y39" s="3"/>
      <c r="Z39" s="7">
        <f t="shared" si="37"/>
        <v>0.10993332370001845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SUM(OSRRefD22_5x_0)</f>
        <v>754.55</v>
      </c>
      <c r="E40" s="1"/>
      <c r="F40" s="5">
        <f t="shared" si="30"/>
        <v>0</v>
      </c>
      <c r="G40" s="1"/>
      <c r="H40" s="1">
        <f>SUM(OSRRefH22_5x_0)</f>
        <v>734.05</v>
      </c>
      <c r="I40" s="1"/>
      <c r="J40" s="5">
        <f t="shared" si="31"/>
        <v>0.13589114638774472</v>
      </c>
      <c r="K40" s="1"/>
      <c r="L40" s="1">
        <f t="shared" si="32"/>
        <v>20.5</v>
      </c>
      <c r="M40" s="1"/>
      <c r="N40" s="5">
        <f t="shared" si="33"/>
        <v>2.7927252911926981E-2</v>
      </c>
      <c r="O40" s="14"/>
      <c r="P40" s="1">
        <f>SUM(OSRRefP22_5x_0)</f>
        <v>754.55</v>
      </c>
      <c r="Q40" s="1"/>
      <c r="R40" s="5">
        <f t="shared" si="34"/>
        <v>0</v>
      </c>
      <c r="S40" s="1"/>
      <c r="T40" s="1">
        <f>SUM(OSRRefT22_5x_0)</f>
        <v>734.05</v>
      </c>
      <c r="U40" s="1"/>
      <c r="V40" s="5">
        <f t="shared" si="35"/>
        <v>0.13589114638774472</v>
      </c>
      <c r="W40" s="1"/>
      <c r="X40" s="1">
        <f t="shared" si="36"/>
        <v>20.5</v>
      </c>
      <c r="Y40" s="1"/>
      <c r="Z40" s="5">
        <f t="shared" si="37"/>
        <v>2.7927252911926981E-2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8">
        <v>754.55</v>
      </c>
      <c r="E41" s="3"/>
      <c r="F41" s="7">
        <f t="shared" si="30"/>
        <v>0</v>
      </c>
      <c r="G41" s="3"/>
      <c r="H41" s="8">
        <v>734.05</v>
      </c>
      <c r="I41" s="3"/>
      <c r="J41" s="7">
        <f t="shared" si="31"/>
        <v>0.13589114638774472</v>
      </c>
      <c r="K41" s="3"/>
      <c r="L41" s="8">
        <f t="shared" si="32"/>
        <v>20.5</v>
      </c>
      <c r="M41" s="3"/>
      <c r="N41" s="7">
        <f t="shared" si="33"/>
        <v>2.7927252911926981E-2</v>
      </c>
      <c r="O41" s="11"/>
      <c r="P41" s="8">
        <v>754.55</v>
      </c>
      <c r="Q41" s="3"/>
      <c r="R41" s="7">
        <f t="shared" si="34"/>
        <v>0</v>
      </c>
      <c r="S41" s="3"/>
      <c r="T41" s="8">
        <v>734.05</v>
      </c>
      <c r="U41" s="3"/>
      <c r="V41" s="7">
        <f t="shared" si="35"/>
        <v>0.13589114638774472</v>
      </c>
      <c r="W41" s="3"/>
      <c r="X41" s="8">
        <f t="shared" si="36"/>
        <v>20.5</v>
      </c>
      <c r="Y41" s="3"/>
      <c r="Z41" s="7">
        <f t="shared" si="37"/>
        <v>2.7927252911926981E-2</v>
      </c>
    </row>
    <row r="42" spans="1:26" s="27" customFormat="1" outlineLevel="1" collapsed="1" x14ac:dyDescent="0.25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SUM(OSRRefD22_6x_0)</f>
        <v>0</v>
      </c>
      <c r="E42" s="1"/>
      <c r="F42" s="5">
        <f t="shared" si="30"/>
        <v>0</v>
      </c>
      <c r="G42" s="1"/>
      <c r="H42" s="1">
        <f>SUM(OSRRefH22_6x_0)</f>
        <v>36.42</v>
      </c>
      <c r="I42" s="1"/>
      <c r="J42" s="5">
        <f t="shared" si="31"/>
        <v>6.7422594529550611E-3</v>
      </c>
      <c r="K42" s="1"/>
      <c r="L42" s="1">
        <f t="shared" si="32"/>
        <v>-36.42</v>
      </c>
      <c r="M42" s="1"/>
      <c r="N42" s="5">
        <f t="shared" si="33"/>
        <v>-1</v>
      </c>
      <c r="O42" s="14"/>
      <c r="P42" s="1">
        <f>SUM(OSRRefP22_6x_0)</f>
        <v>0</v>
      </c>
      <c r="Q42" s="1"/>
      <c r="R42" s="5">
        <f t="shared" si="34"/>
        <v>0</v>
      </c>
      <c r="S42" s="1"/>
      <c r="T42" s="1">
        <f>SUM(OSRRefT22_6x_0)</f>
        <v>36.42</v>
      </c>
      <c r="U42" s="1"/>
      <c r="V42" s="5">
        <f t="shared" si="35"/>
        <v>6.7422594529550611E-3</v>
      </c>
      <c r="W42" s="1"/>
      <c r="X42" s="1">
        <f t="shared" si="36"/>
        <v>-36.42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"6375", " - ", "OUTSIDE REPAIRS &amp; MAINTENANCE")</f>
        <v xml:space="preserve">          6375 - OUTSIDE REPAIRS &amp; MAINTENANCE</v>
      </c>
      <c r="C43" s="11"/>
      <c r="D43" s="8"/>
      <c r="E43" s="3"/>
      <c r="F43" s="7">
        <f t="shared" si="30"/>
        <v>0</v>
      </c>
      <c r="G43" s="3"/>
      <c r="H43" s="8">
        <v>36.42</v>
      </c>
      <c r="I43" s="3"/>
      <c r="J43" s="7">
        <f t="shared" si="31"/>
        <v>6.7422594529550611E-3</v>
      </c>
      <c r="K43" s="3"/>
      <c r="L43" s="8">
        <f t="shared" si="32"/>
        <v>-36.42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36.42</v>
      </c>
      <c r="U43" s="3"/>
      <c r="V43" s="7">
        <f t="shared" si="35"/>
        <v>6.7422594529550611E-3</v>
      </c>
      <c r="W43" s="3"/>
      <c r="X43" s="8">
        <f t="shared" si="36"/>
        <v>-36.42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","Services                                          ")</f>
        <v xml:space="preserve">     Services                                          </v>
      </c>
      <c r="C44" s="14"/>
      <c r="D44" s="1">
        <f>SUM(OSRRefD22_7x_0)</f>
        <v>-145.32</v>
      </c>
      <c r="E44" s="1"/>
      <c r="F44" s="5">
        <f t="shared" si="30"/>
        <v>0</v>
      </c>
      <c r="G44" s="1"/>
      <c r="H44" s="1">
        <f>SUM(OSRRefH22_7x_0)</f>
        <v>117</v>
      </c>
      <c r="I44" s="1"/>
      <c r="J44" s="5">
        <f t="shared" si="31"/>
        <v>2.1659647336511316E-2</v>
      </c>
      <c r="K44" s="1"/>
      <c r="L44" s="1">
        <f t="shared" si="32"/>
        <v>-262.32</v>
      </c>
      <c r="M44" s="1"/>
      <c r="N44" s="5">
        <f t="shared" si="33"/>
        <v>-2.2420512820512819</v>
      </c>
      <c r="O44" s="14"/>
      <c r="P44" s="1">
        <f>SUM(OSRRefP22_7x_0)</f>
        <v>-145.32</v>
      </c>
      <c r="Q44" s="1"/>
      <c r="R44" s="5">
        <f t="shared" si="34"/>
        <v>0</v>
      </c>
      <c r="S44" s="1"/>
      <c r="T44" s="1">
        <f>SUM(OSRRefT22_7x_0)</f>
        <v>117</v>
      </c>
      <c r="U44" s="1"/>
      <c r="V44" s="5">
        <f t="shared" si="35"/>
        <v>2.1659647336511316E-2</v>
      </c>
      <c r="W44" s="1"/>
      <c r="X44" s="1">
        <f t="shared" si="36"/>
        <v>-262.32</v>
      </c>
      <c r="Y44" s="1"/>
      <c r="Z44" s="5">
        <f t="shared" si="37"/>
        <v>-2.2420512820512819</v>
      </c>
    </row>
    <row r="45" spans="1:26" s="24" customFormat="1" hidden="1" outlineLevel="2" x14ac:dyDescent="0.25">
      <c r="A45" s="29"/>
      <c r="B45" s="11" t="str">
        <f>CONCATENATE("          ", "6285", " - ", "JANITORIAL SERVICES")</f>
        <v xml:space="preserve">          6285 - JANITORIAL SERVICES</v>
      </c>
      <c r="C45" s="11"/>
      <c r="D45" s="8">
        <v>-145.32</v>
      </c>
      <c r="E45" s="3"/>
      <c r="F45" s="7">
        <f t="shared" si="30"/>
        <v>0</v>
      </c>
      <c r="G45" s="3"/>
      <c r="H45" s="8">
        <v>22.62</v>
      </c>
      <c r="I45" s="3"/>
      <c r="J45" s="7">
        <f t="shared" si="31"/>
        <v>4.1875318183921878E-3</v>
      </c>
      <c r="K45" s="3"/>
      <c r="L45" s="8">
        <f t="shared" si="32"/>
        <v>-167.94</v>
      </c>
      <c r="M45" s="3"/>
      <c r="N45" s="7">
        <f t="shared" si="33"/>
        <v>-7.4244031830238724</v>
      </c>
      <c r="O45" s="11"/>
      <c r="P45" s="8">
        <v>-145.32</v>
      </c>
      <c r="Q45" s="3"/>
      <c r="R45" s="7">
        <f t="shared" si="34"/>
        <v>0</v>
      </c>
      <c r="S45" s="3"/>
      <c r="T45" s="8">
        <v>22.62</v>
      </c>
      <c r="U45" s="3"/>
      <c r="V45" s="7">
        <f t="shared" si="35"/>
        <v>4.1875318183921878E-3</v>
      </c>
      <c r="W45" s="3"/>
      <c r="X45" s="8">
        <f t="shared" si="36"/>
        <v>-167.94</v>
      </c>
      <c r="Y45" s="3"/>
      <c r="Z45" s="7">
        <f t="shared" si="37"/>
        <v>-7.4244031830238724</v>
      </c>
    </row>
    <row r="46" spans="1:26" s="24" customFormat="1" hidden="1" outlineLevel="2" x14ac:dyDescent="0.25">
      <c r="A46" s="29"/>
      <c r="B46" s="11" t="str">
        <f>CONCATENATE("          ", "6286", " - ", "LAUNDRY EXPENSE")</f>
        <v xml:space="preserve">          6286 - LAUNDRY EXPENSE</v>
      </c>
      <c r="C46" s="11"/>
      <c r="D46" s="8"/>
      <c r="E46" s="3"/>
      <c r="F46" s="7">
        <f t="shared" si="30"/>
        <v>0</v>
      </c>
      <c r="G46" s="3"/>
      <c r="H46" s="8">
        <v>94.38</v>
      </c>
      <c r="I46" s="3"/>
      <c r="J46" s="7">
        <f t="shared" si="31"/>
        <v>1.7472115518119127E-2</v>
      </c>
      <c r="K46" s="3"/>
      <c r="L46" s="8">
        <f t="shared" si="32"/>
        <v>-94.38</v>
      </c>
      <c r="M46" s="3"/>
      <c r="N46" s="7">
        <f t="shared" si="33"/>
        <v>-1</v>
      </c>
      <c r="O46" s="11"/>
      <c r="P46" s="8"/>
      <c r="Q46" s="3"/>
      <c r="R46" s="7">
        <f t="shared" si="34"/>
        <v>0</v>
      </c>
      <c r="S46" s="3"/>
      <c r="T46" s="8">
        <v>94.38</v>
      </c>
      <c r="U46" s="3"/>
      <c r="V46" s="7">
        <f t="shared" si="35"/>
        <v>1.7472115518119127E-2</v>
      </c>
      <c r="W46" s="3"/>
      <c r="X46" s="8">
        <f t="shared" si="36"/>
        <v>-94.38</v>
      </c>
      <c r="Y46" s="3"/>
      <c r="Z46" s="7">
        <f t="shared" si="37"/>
        <v>-1</v>
      </c>
    </row>
    <row r="47" spans="1:26" s="27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207.27</v>
      </c>
      <c r="E47" s="1"/>
      <c r="F47" s="5">
        <f t="shared" ref="F47:F50" si="38">IF(D$12=0,0,D47/D$12)</f>
        <v>0</v>
      </c>
      <c r="G47" s="1"/>
      <c r="H47" s="1">
        <f>SUM(OSRRefH22_8x_0)</f>
        <v>1116.53</v>
      </c>
      <c r="I47" s="1"/>
      <c r="J47" s="5">
        <f t="shared" ref="J47:J50" si="39">IF(H$12=0,0,H47/H$12)</f>
        <v>0.20669782940713657</v>
      </c>
      <c r="K47" s="1"/>
      <c r="L47" s="1">
        <f t="shared" ref="L47:L50" si="40">+D47-H47</f>
        <v>-909.26</v>
      </c>
      <c r="M47" s="1"/>
      <c r="N47" s="5">
        <f t="shared" ref="N47:N50" si="41">IF(H47=0,0,L47/H47)</f>
        <v>-0.81436235479566155</v>
      </c>
      <c r="O47" s="14"/>
      <c r="P47" s="1">
        <f>SUM(OSRRefP22_8x_0)</f>
        <v>207.27</v>
      </c>
      <c r="Q47" s="1"/>
      <c r="R47" s="5">
        <f t="shared" ref="R47:R50" si="42">IF(P$12=0,0,P47/P$12)</f>
        <v>0</v>
      </c>
      <c r="S47" s="1"/>
      <c r="T47" s="1">
        <f>SUM(OSRRefT22_8x_0)</f>
        <v>1116.53</v>
      </c>
      <c r="U47" s="1"/>
      <c r="V47" s="5">
        <f t="shared" ref="V47:V50" si="43">IF(T$12=0,0,T47/T$12)</f>
        <v>0.20669782940713657</v>
      </c>
      <c r="W47" s="1"/>
      <c r="X47" s="1">
        <f t="shared" ref="X47:X50" si="44">+P47-T47</f>
        <v>-909.26</v>
      </c>
      <c r="Y47" s="1"/>
      <c r="Z47" s="5">
        <f t="shared" ref="Z47:Z50" si="45">IF(T47=0,0,X47/T47)</f>
        <v>-0.81436235479566155</v>
      </c>
    </row>
    <row r="48" spans="1:26" s="24" customFormat="1" hidden="1" outlineLevel="2" x14ac:dyDescent="0.25">
      <c r="A48" s="29"/>
      <c r="B48" s="11" t="str">
        <f>CONCATENATE("          ", "6235", " - ", "COVID-19 EXPENSES")</f>
        <v xml:space="preserve">          6235 - COVID-19 EXPENSES</v>
      </c>
      <c r="C48" s="11"/>
      <c r="D48" s="8">
        <v>207.27</v>
      </c>
      <c r="E48" s="3"/>
      <c r="F48" s="7">
        <f t="shared" si="38"/>
        <v>0</v>
      </c>
      <c r="G48" s="3"/>
      <c r="H48" s="8"/>
      <c r="I48" s="3"/>
      <c r="J48" s="7">
        <f t="shared" si="39"/>
        <v>0</v>
      </c>
      <c r="K48" s="3"/>
      <c r="L48" s="8">
        <f t="shared" si="40"/>
        <v>207.27</v>
      </c>
      <c r="M48" s="3"/>
      <c r="N48" s="7">
        <f t="shared" si="41"/>
        <v>0</v>
      </c>
      <c r="O48" s="11"/>
      <c r="P48" s="8">
        <v>207.27</v>
      </c>
      <c r="Q48" s="3"/>
      <c r="R48" s="7">
        <f t="shared" si="42"/>
        <v>0</v>
      </c>
      <c r="S48" s="3"/>
      <c r="T48" s="8"/>
      <c r="U48" s="3"/>
      <c r="V48" s="7">
        <f t="shared" si="43"/>
        <v>0</v>
      </c>
      <c r="W48" s="3"/>
      <c r="X48" s="8">
        <f t="shared" si="44"/>
        <v>207.27</v>
      </c>
      <c r="Y48" s="3"/>
      <c r="Z48" s="7">
        <f t="shared" si="45"/>
        <v>0</v>
      </c>
    </row>
    <row r="49" spans="1:26" s="24" customFormat="1" hidden="1" outlineLevel="2" x14ac:dyDescent="0.25">
      <c r="A49" s="29"/>
      <c r="B49" s="11" t="str">
        <f>CONCATENATE("          ", "6237", " - ", "JANITORIAL SUPPLIES")</f>
        <v xml:space="preserve">          6237 - JANITORIAL SUPPLIES</v>
      </c>
      <c r="C49" s="11"/>
      <c r="D49" s="8"/>
      <c r="E49" s="3"/>
      <c r="F49" s="7">
        <f t="shared" si="38"/>
        <v>0</v>
      </c>
      <c r="G49" s="3"/>
      <c r="H49" s="8">
        <v>20.93</v>
      </c>
      <c r="I49" s="3"/>
      <c r="J49" s="7">
        <f t="shared" si="39"/>
        <v>3.874670245753691E-3</v>
      </c>
      <c r="K49" s="3"/>
      <c r="L49" s="8">
        <f t="shared" si="40"/>
        <v>-20.93</v>
      </c>
      <c r="M49" s="3"/>
      <c r="N49" s="7">
        <f t="shared" si="41"/>
        <v>-1</v>
      </c>
      <c r="O49" s="11"/>
      <c r="P49" s="8"/>
      <c r="Q49" s="3"/>
      <c r="R49" s="7">
        <f t="shared" si="42"/>
        <v>0</v>
      </c>
      <c r="S49" s="3"/>
      <c r="T49" s="8">
        <v>20.93</v>
      </c>
      <c r="U49" s="3"/>
      <c r="V49" s="7">
        <f t="shared" si="43"/>
        <v>3.874670245753691E-3</v>
      </c>
      <c r="W49" s="3"/>
      <c r="X49" s="8">
        <f t="shared" si="44"/>
        <v>-20.93</v>
      </c>
      <c r="Y49" s="3"/>
      <c r="Z49" s="7">
        <f t="shared" si="45"/>
        <v>-1</v>
      </c>
    </row>
    <row r="50" spans="1:26" s="24" customFormat="1" hidden="1" outlineLevel="2" x14ac:dyDescent="0.25">
      <c r="A50" s="29"/>
      <c r="B50" s="11" t="str">
        <f>CONCATENATE("          ", "6247", " - ", "STORE SUPPLIES")</f>
        <v xml:space="preserve">          6247 - STORE SUPPLIES</v>
      </c>
      <c r="C50" s="11"/>
      <c r="D50" s="8"/>
      <c r="E50" s="3"/>
      <c r="F50" s="7">
        <f t="shared" si="38"/>
        <v>0</v>
      </c>
      <c r="G50" s="3"/>
      <c r="H50" s="8">
        <v>1095.5999999999999</v>
      </c>
      <c r="I50" s="3"/>
      <c r="J50" s="7">
        <f t="shared" si="39"/>
        <v>0.20282315916138288</v>
      </c>
      <c r="K50" s="3"/>
      <c r="L50" s="8">
        <f t="shared" si="40"/>
        <v>-1095.5999999999999</v>
      </c>
      <c r="M50" s="3"/>
      <c r="N50" s="7">
        <f t="shared" si="41"/>
        <v>-1</v>
      </c>
      <c r="O50" s="11"/>
      <c r="P50" s="8"/>
      <c r="Q50" s="3"/>
      <c r="R50" s="7">
        <f t="shared" si="42"/>
        <v>0</v>
      </c>
      <c r="S50" s="3"/>
      <c r="T50" s="8">
        <v>1095.5999999999999</v>
      </c>
      <c r="U50" s="3"/>
      <c r="V50" s="7">
        <f t="shared" si="43"/>
        <v>0.20282315916138288</v>
      </c>
      <c r="W50" s="3"/>
      <c r="X50" s="8">
        <f t="shared" si="44"/>
        <v>-1095.5999999999999</v>
      </c>
      <c r="Y50" s="3"/>
      <c r="Z50" s="7">
        <f t="shared" si="45"/>
        <v>-1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SUM(OSRRefD22_9x_0)</f>
        <v>101.5</v>
      </c>
      <c r="E51" s="1"/>
      <c r="F51" s="5">
        <f t="shared" ref="F51:F54" si="46">IF(D$12=0,0,D51/D$12)</f>
        <v>0</v>
      </c>
      <c r="G51" s="1"/>
      <c r="H51" s="1">
        <f>SUM(OSRRefH22_9x_0)</f>
        <v>45</v>
      </c>
      <c r="I51" s="1"/>
      <c r="J51" s="5">
        <f t="shared" ref="J51:J54" si="47">IF(H$12=0,0,H51/H$12)</f>
        <v>8.3306335909658913E-3</v>
      </c>
      <c r="K51" s="1"/>
      <c r="L51" s="1">
        <f t="shared" ref="L51:L54" si="48">+D51-H51</f>
        <v>56.5</v>
      </c>
      <c r="M51" s="1"/>
      <c r="N51" s="5">
        <f t="shared" ref="N51:N54" si="49">IF(H51=0,0,L51/H51)</f>
        <v>1.2555555555555555</v>
      </c>
      <c r="O51" s="14"/>
      <c r="P51" s="1">
        <f>SUM(OSRRefP22_9x_0)</f>
        <v>101.5</v>
      </c>
      <c r="Q51" s="1"/>
      <c r="R51" s="5">
        <f t="shared" ref="R51:R54" si="50">IF(P$12=0,0,P51/P$12)</f>
        <v>0</v>
      </c>
      <c r="S51" s="1"/>
      <c r="T51" s="1">
        <f>SUM(OSRRefT22_9x_0)</f>
        <v>45</v>
      </c>
      <c r="U51" s="1"/>
      <c r="V51" s="5">
        <f t="shared" ref="V51:V54" si="51">IF(T$12=0,0,T51/T$12)</f>
        <v>8.3306335909658913E-3</v>
      </c>
      <c r="W51" s="1"/>
      <c r="X51" s="1">
        <f t="shared" ref="X51:X54" si="52">+P51-T51</f>
        <v>56.5</v>
      </c>
      <c r="Y51" s="1"/>
      <c r="Z51" s="5">
        <f t="shared" ref="Z51:Z54" si="53">IF(T51=0,0,X51/T51)</f>
        <v>1.2555555555555555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8">
        <v>101.5</v>
      </c>
      <c r="E52" s="3"/>
      <c r="F52" s="7">
        <f t="shared" si="46"/>
        <v>0</v>
      </c>
      <c r="G52" s="3"/>
      <c r="H52" s="8">
        <v>45</v>
      </c>
      <c r="I52" s="3"/>
      <c r="J52" s="7">
        <f t="shared" si="47"/>
        <v>8.3306335909658913E-3</v>
      </c>
      <c r="K52" s="3"/>
      <c r="L52" s="8">
        <f t="shared" si="48"/>
        <v>56.5</v>
      </c>
      <c r="M52" s="3"/>
      <c r="N52" s="7">
        <f t="shared" si="49"/>
        <v>1.2555555555555555</v>
      </c>
      <c r="O52" s="11"/>
      <c r="P52" s="8">
        <v>101.5</v>
      </c>
      <c r="Q52" s="3"/>
      <c r="R52" s="7">
        <f t="shared" si="50"/>
        <v>0</v>
      </c>
      <c r="S52" s="3"/>
      <c r="T52" s="8">
        <v>45</v>
      </c>
      <c r="U52" s="3"/>
      <c r="V52" s="7">
        <f t="shared" si="51"/>
        <v>8.3306335909658913E-3</v>
      </c>
      <c r="W52" s="3"/>
      <c r="X52" s="8">
        <f t="shared" si="52"/>
        <v>56.5</v>
      </c>
      <c r="Y52" s="3"/>
      <c r="Z52" s="7">
        <f t="shared" si="53"/>
        <v>1.2555555555555555</v>
      </c>
    </row>
    <row r="53" spans="1:26" s="27" customFormat="1" outlineLevel="1" collapsed="1" x14ac:dyDescent="0.25">
      <c r="A53" s="28"/>
      <c r="B53" s="14" t="str">
        <f>CONCATENATE("     ","Utilities                                         ")</f>
        <v xml:space="preserve">     Utilities                                         </v>
      </c>
      <c r="C53" s="14"/>
      <c r="D53" s="1">
        <f>SUM(OSRRefD22_10x_0)</f>
        <v>50</v>
      </c>
      <c r="E53" s="1"/>
      <c r="F53" s="5">
        <f t="shared" si="46"/>
        <v>0</v>
      </c>
      <c r="G53" s="1"/>
      <c r="H53" s="1">
        <f>SUM(OSRRefH22_10x_0)</f>
        <v>6</v>
      </c>
      <c r="I53" s="1"/>
      <c r="J53" s="5">
        <f t="shared" si="47"/>
        <v>1.1107511454621188E-3</v>
      </c>
      <c r="K53" s="1"/>
      <c r="L53" s="1">
        <f t="shared" si="48"/>
        <v>44</v>
      </c>
      <c r="M53" s="1"/>
      <c r="N53" s="5">
        <f t="shared" si="49"/>
        <v>7.333333333333333</v>
      </c>
      <c r="O53" s="14"/>
      <c r="P53" s="1">
        <f>SUM(OSRRefP22_10x_0)</f>
        <v>50</v>
      </c>
      <c r="Q53" s="1"/>
      <c r="R53" s="5">
        <f t="shared" si="50"/>
        <v>0</v>
      </c>
      <c r="S53" s="1"/>
      <c r="T53" s="1">
        <f>SUM(OSRRefT22_10x_0)</f>
        <v>6</v>
      </c>
      <c r="U53" s="1"/>
      <c r="V53" s="5">
        <f t="shared" si="51"/>
        <v>1.1107511454621188E-3</v>
      </c>
      <c r="W53" s="1"/>
      <c r="X53" s="1">
        <f t="shared" si="52"/>
        <v>44</v>
      </c>
      <c r="Y53" s="1"/>
      <c r="Z53" s="5">
        <f t="shared" si="53"/>
        <v>7.333333333333333</v>
      </c>
    </row>
    <row r="54" spans="1:26" s="24" customFormat="1" hidden="1" outlineLevel="2" x14ac:dyDescent="0.25">
      <c r="A54" s="29"/>
      <c r="B54" s="11" t="str">
        <f>CONCATENATE("          ", "6274", " - ", "UTILITIES")</f>
        <v xml:space="preserve">          6274 - UTILITIES</v>
      </c>
      <c r="C54" s="11"/>
      <c r="D54" s="8">
        <v>50</v>
      </c>
      <c r="E54" s="3"/>
      <c r="F54" s="7">
        <f t="shared" si="46"/>
        <v>0</v>
      </c>
      <c r="G54" s="3"/>
      <c r="H54" s="8">
        <v>6</v>
      </c>
      <c r="I54" s="3"/>
      <c r="J54" s="7">
        <f t="shared" si="47"/>
        <v>1.1107511454621188E-3</v>
      </c>
      <c r="K54" s="3"/>
      <c r="L54" s="8">
        <f t="shared" si="48"/>
        <v>44</v>
      </c>
      <c r="M54" s="3"/>
      <c r="N54" s="7">
        <f t="shared" si="49"/>
        <v>7.333333333333333</v>
      </c>
      <c r="O54" s="11"/>
      <c r="P54" s="8">
        <v>50</v>
      </c>
      <c r="Q54" s="3"/>
      <c r="R54" s="7">
        <f t="shared" si="50"/>
        <v>0</v>
      </c>
      <c r="S54" s="3"/>
      <c r="T54" s="8">
        <v>6</v>
      </c>
      <c r="U54" s="3"/>
      <c r="V54" s="7">
        <f t="shared" si="51"/>
        <v>1.1107511454621188E-3</v>
      </c>
      <c r="W54" s="3"/>
      <c r="X54" s="8">
        <f t="shared" si="52"/>
        <v>44</v>
      </c>
      <c r="Y54" s="3"/>
      <c r="Z54" s="7">
        <f t="shared" si="53"/>
        <v>7.333333333333333</v>
      </c>
    </row>
    <row r="55" spans="1:26" s="61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x14ac:dyDescent="0.25">
      <c r="A58" s="10"/>
      <c r="B58" s="26" t="s">
        <v>3</v>
      </c>
      <c r="C58" s="26"/>
      <c r="D58" s="19">
        <f>+D20-D22+D56</f>
        <v>-5571.05</v>
      </c>
      <c r="E58" s="13"/>
      <c r="F58" s="20">
        <f>IF(D$12=0,0,D58/D$12)</f>
        <v>0</v>
      </c>
      <c r="G58" s="13"/>
      <c r="H58" s="19">
        <f>+H20-H22+H56</f>
        <v>-6936.3800000000019</v>
      </c>
      <c r="I58" s="13"/>
      <c r="J58" s="20">
        <f>IF(H$12=0,0,H58/H$12)</f>
        <v>-1.2840986717267555</v>
      </c>
      <c r="K58" s="16"/>
      <c r="L58" s="19">
        <f>+D58-H58</f>
        <v>1365.3300000000017</v>
      </c>
      <c r="M58" s="16"/>
      <c r="N58" s="20">
        <f>IF(H58=0,0,L58/H58)</f>
        <v>-0.19683610182833139</v>
      </c>
      <c r="O58" s="25"/>
      <c r="P58" s="19">
        <f>+P20-P22+P56</f>
        <v>-5571.05</v>
      </c>
      <c r="Q58" s="13"/>
      <c r="R58" s="20">
        <f>IF(P$12=0,0,P58/P$12)</f>
        <v>0</v>
      </c>
      <c r="S58" s="13"/>
      <c r="T58" s="19">
        <f>+T20-T22+T56</f>
        <v>-6936.3800000000019</v>
      </c>
      <c r="U58" s="13"/>
      <c r="V58" s="20">
        <f>IF(T$12=0,0,T58/T$12)</f>
        <v>-1.2840986717267555</v>
      </c>
      <c r="W58" s="16"/>
      <c r="X58" s="19">
        <f>+P58-T58</f>
        <v>1365.3300000000017</v>
      </c>
      <c r="Y58" s="16"/>
      <c r="Z58" s="20">
        <f>IF(T58=0,0,X58/T58)</f>
        <v>-0.19683610182833139</v>
      </c>
    </row>
    <row r="59" spans="1:26" x14ac:dyDescent="0.25">
      <c r="A59" s="9"/>
      <c r="B59" s="10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>
        <v>1123.18</v>
      </c>
      <c r="I60" s="4"/>
      <c r="J60" s="12">
        <f>IF(H$12=0,0,H60/H$12)</f>
        <v>0.20792891192669044</v>
      </c>
      <c r="K60" s="4"/>
      <c r="L60" s="4">
        <f>+D60-H60</f>
        <v>-1123.18</v>
      </c>
      <c r="M60" s="4"/>
      <c r="N60" s="12">
        <f>IF(H60=0,0,L60/H60)</f>
        <v>-1</v>
      </c>
      <c r="O60" s="10"/>
      <c r="P60" s="4"/>
      <c r="Q60" s="4"/>
      <c r="R60" s="12">
        <f>IF(P$12=0,0,P60/P$12)</f>
        <v>0</v>
      </c>
      <c r="S60" s="4"/>
      <c r="T60" s="4">
        <v>1123.18</v>
      </c>
      <c r="U60" s="4"/>
      <c r="V60" s="12">
        <f>IF(T$12=0,0,T60/T$12)</f>
        <v>0.20792891192669044</v>
      </c>
      <c r="W60" s="4"/>
      <c r="X60" s="4">
        <f>+P60-T60</f>
        <v>-1123.18</v>
      </c>
      <c r="Y60" s="4"/>
      <c r="Z60" s="12">
        <f>IF(T60=0,0,X60/T60)</f>
        <v>-1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ht="15.75" thickBot="1" x14ac:dyDescent="0.3">
      <c r="A62" s="10"/>
      <c r="B62" s="26" t="s">
        <v>4</v>
      </c>
      <c r="C62" s="26"/>
      <c r="D62" s="35">
        <f>+D58-D60</f>
        <v>-5571.05</v>
      </c>
      <c r="E62" s="13"/>
      <c r="F62" s="30">
        <f>IF(D$12=0,0,D62/D$12)</f>
        <v>0</v>
      </c>
      <c r="G62" s="13"/>
      <c r="H62" s="35">
        <f>+H58-H60</f>
        <v>-8059.5600000000022</v>
      </c>
      <c r="I62" s="13"/>
      <c r="J62" s="30">
        <f>IF(H$12=0,0,H62/H$12)</f>
        <v>-1.492027583653446</v>
      </c>
      <c r="K62" s="16"/>
      <c r="L62" s="35">
        <f>D62-H62</f>
        <v>2488.510000000002</v>
      </c>
      <c r="M62" s="16"/>
      <c r="N62" s="30">
        <f>IF(H62=0,0,L62/H62)</f>
        <v>-0.30876499461509083</v>
      </c>
      <c r="O62" s="25"/>
      <c r="P62" s="35">
        <f>+P58-P60</f>
        <v>-5571.05</v>
      </c>
      <c r="Q62" s="13"/>
      <c r="R62" s="30">
        <f>IF(P$12=0,0,P62/P$12)</f>
        <v>0</v>
      </c>
      <c r="S62" s="13"/>
      <c r="T62" s="35">
        <f>+T58-T60</f>
        <v>-8059.5600000000022</v>
      </c>
      <c r="U62" s="13"/>
      <c r="V62" s="30">
        <f>IF(T$12=0,0,T62/T$12)</f>
        <v>-1.492027583653446</v>
      </c>
      <c r="W62" s="16"/>
      <c r="X62" s="35">
        <f>P62-T62</f>
        <v>2488.510000000002</v>
      </c>
      <c r="Y62" s="16"/>
      <c r="Z62" s="30">
        <f>IF(T62=0,0,X62/T62)</f>
        <v>-0.30876499461509083</v>
      </c>
    </row>
    <row r="63" spans="1:26" ht="15.75" thickTop="1" x14ac:dyDescent="0.25">
      <c r="A63" s="9"/>
      <c r="B63" s="9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x14ac:dyDescent="0.25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ht="15.75" thickBot="1" x14ac:dyDescent="0.3">
      <c r="A65" s="10"/>
      <c r="B65" s="26" t="s">
        <v>5</v>
      </c>
      <c r="C65" s="26"/>
      <c r="D65" s="31">
        <f>SUM(D62:D64)</f>
        <v>-5571.05</v>
      </c>
      <c r="E65" s="13"/>
      <c r="F65" s="32">
        <f>IF(D$12=0,0,D65/D$12)</f>
        <v>0</v>
      </c>
      <c r="G65" s="13"/>
      <c r="H65" s="31">
        <f>SUM(H62:H64)</f>
        <v>-8059.5600000000022</v>
      </c>
      <c r="I65" s="13"/>
      <c r="J65" s="32">
        <f>IF(H$12=0,0,H65/H$12)</f>
        <v>-1.492027583653446</v>
      </c>
      <c r="K65" s="16"/>
      <c r="L65" s="31">
        <f>+D65-H65</f>
        <v>2488.510000000002</v>
      </c>
      <c r="M65" s="16"/>
      <c r="N65" s="32">
        <f>IF(H65=0,0,L65/H65)</f>
        <v>-0.30876499461509083</v>
      </c>
      <c r="O65" s="25"/>
      <c r="P65" s="31">
        <f>SUM(P62:P64)</f>
        <v>-5571.05</v>
      </c>
      <c r="Q65" s="13"/>
      <c r="R65" s="32">
        <f>IF(P$12=0,0,P65/P$12)</f>
        <v>0</v>
      </c>
      <c r="S65" s="13"/>
      <c r="T65" s="31">
        <f>SUM(T62:T64)</f>
        <v>-8059.5600000000022</v>
      </c>
      <c r="U65" s="13"/>
      <c r="V65" s="32">
        <f>IF(T$12=0,0,T65/T$12)</f>
        <v>-1.492027583653446</v>
      </c>
      <c r="W65" s="16"/>
      <c r="X65" s="31">
        <f>+P65-T65</f>
        <v>2488.510000000002</v>
      </c>
      <c r="Y65" s="16"/>
      <c r="Z65" s="32">
        <f>IF(T65=0,0,X65/T65)</f>
        <v>-0.30876499461509083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25">
      <c r="A67" s="9"/>
      <c r="B67" s="59">
        <v>44109.414355590277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62" t="s">
        <v>313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6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14361.21</v>
      </c>
      <c r="I12" s="4"/>
      <c r="J12" s="12"/>
      <c r="K12" s="4"/>
      <c r="L12" s="4">
        <f t="shared" ref="L12:L14" si="0">+D12-H12</f>
        <v>-14361.21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14361.21</v>
      </c>
      <c r="U12" s="4"/>
      <c r="V12" s="12"/>
      <c r="W12" s="4"/>
      <c r="X12" s="4">
        <f t="shared" ref="X12:X14" si="2">+P12-T12</f>
        <v>-14361.21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4" si="4">0</f>
        <v>0</v>
      </c>
      <c r="E13" s="3"/>
      <c r="F13" s="22"/>
      <c r="G13" s="3"/>
      <c r="H13" s="3">
        <f>--2833.64</f>
        <v>2833.64</v>
      </c>
      <c r="I13" s="3"/>
      <c r="J13" s="22"/>
      <c r="K13" s="3"/>
      <c r="L13" s="3">
        <f t="shared" si="0"/>
        <v>-2833.64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--2833.64</f>
        <v>2833.64</v>
      </c>
      <c r="U13" s="3"/>
      <c r="V13" s="22"/>
      <c r="W13" s="3"/>
      <c r="X13" s="3">
        <f t="shared" si="2"/>
        <v>-2833.64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--11527.57</f>
        <v>11527.57</v>
      </c>
      <c r="I14" s="3"/>
      <c r="J14" s="22"/>
      <c r="K14" s="3"/>
      <c r="L14" s="3">
        <f t="shared" si="0"/>
        <v>-11527.57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--11527.57</f>
        <v>11527.57</v>
      </c>
      <c r="U14" s="3"/>
      <c r="V14" s="22"/>
      <c r="W14" s="3"/>
      <c r="X14" s="3">
        <f t="shared" si="2"/>
        <v>-11527.57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-226.87</v>
      </c>
      <c r="E16" s="4"/>
      <c r="F16" s="12">
        <f t="shared" ref="F16:F18" si="6">IF(D$12=0,0,D16/D$12)</f>
        <v>0</v>
      </c>
      <c r="G16" s="4"/>
      <c r="H16" s="4">
        <f>SUM(OSRRefH16x_0)</f>
        <v>6791.63</v>
      </c>
      <c r="I16" s="4"/>
      <c r="J16" s="12">
        <f t="shared" ref="J16:J18" si="7">IF(H$12=0,0,H16/H$12)</f>
        <v>0.4729148866982657</v>
      </c>
      <c r="K16" s="4"/>
      <c r="L16" s="4">
        <f t="shared" ref="L16:L18" si="8">+D16-H16</f>
        <v>-7018.5</v>
      </c>
      <c r="M16" s="4"/>
      <c r="N16" s="12">
        <f t="shared" ref="N16:N18" si="9">IF(H16=0,0,L16/H16)</f>
        <v>-1.0334043521216556</v>
      </c>
      <c r="O16" s="10"/>
      <c r="P16" s="4">
        <f>SUM(OSRRefP16x_0)</f>
        <v>-226.87</v>
      </c>
      <c r="Q16" s="4"/>
      <c r="R16" s="12">
        <f t="shared" ref="R16:R18" si="10">IF(P$12=0,0,P16/P$12)</f>
        <v>0</v>
      </c>
      <c r="S16" s="4"/>
      <c r="T16" s="4">
        <f>SUM(OSRRefT16x_0)</f>
        <v>6791.63</v>
      </c>
      <c r="U16" s="4"/>
      <c r="V16" s="12">
        <f t="shared" ref="V16:V18" si="11">IF(T$12=0,0,T16/T$12)</f>
        <v>0.4729148866982657</v>
      </c>
      <c r="W16" s="4"/>
      <c r="X16" s="4">
        <f t="shared" ref="X16:X18" si="12">+P16-T16</f>
        <v>-7018.5</v>
      </c>
      <c r="Y16" s="4"/>
      <c r="Z16" s="12">
        <f t="shared" ref="Z16:Z18" si="13">IF(T16=0,0,X16/T16)</f>
        <v>-1.0334043521216556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>
        <v>-226.87</v>
      </c>
      <c r="E17" s="3"/>
      <c r="F17" s="22">
        <f t="shared" si="6"/>
        <v>0</v>
      </c>
      <c r="G17" s="3"/>
      <c r="H17" s="3">
        <v>12276.42</v>
      </c>
      <c r="I17" s="3"/>
      <c r="J17" s="22">
        <f t="shared" si="7"/>
        <v>0.85483187001652372</v>
      </c>
      <c r="K17" s="3"/>
      <c r="L17" s="3">
        <f t="shared" si="8"/>
        <v>-12503.29</v>
      </c>
      <c r="M17" s="3"/>
      <c r="N17" s="22">
        <f t="shared" si="9"/>
        <v>-1.0184801432339396</v>
      </c>
      <c r="O17" s="11"/>
      <c r="P17" s="3">
        <v>-226.87</v>
      </c>
      <c r="Q17" s="3"/>
      <c r="R17" s="22">
        <f t="shared" si="10"/>
        <v>0</v>
      </c>
      <c r="S17" s="3"/>
      <c r="T17" s="3">
        <v>12276.42</v>
      </c>
      <c r="U17" s="3"/>
      <c r="V17" s="22">
        <f t="shared" si="11"/>
        <v>0.85483187001652372</v>
      </c>
      <c r="W17" s="3"/>
      <c r="X17" s="3">
        <f t="shared" si="12"/>
        <v>-12503.29</v>
      </c>
      <c r="Y17" s="3"/>
      <c r="Z17" s="22">
        <f t="shared" si="13"/>
        <v>-1.0184801432339396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-5484.79</v>
      </c>
      <c r="I18" s="3"/>
      <c r="J18" s="22">
        <f t="shared" si="7"/>
        <v>-0.38191698331825802</v>
      </c>
      <c r="K18" s="3"/>
      <c r="L18" s="3">
        <f t="shared" si="8"/>
        <v>5484.79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-5484.79</v>
      </c>
      <c r="U18" s="3"/>
      <c r="V18" s="22">
        <f t="shared" si="11"/>
        <v>-0.38191698331825802</v>
      </c>
      <c r="W18" s="3"/>
      <c r="X18" s="3">
        <f t="shared" si="12"/>
        <v>5484.79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226.87</v>
      </c>
      <c r="E20" s="13"/>
      <c r="F20" s="20">
        <f>IF(D$12=0,0,D20/D$12)</f>
        <v>0</v>
      </c>
      <c r="G20" s="13"/>
      <c r="H20" s="19">
        <f>H12-H16</f>
        <v>7569.579999999999</v>
      </c>
      <c r="I20" s="13"/>
      <c r="J20" s="20">
        <f>IF(H$12=0,0,H20/H$12)</f>
        <v>0.52708511330173424</v>
      </c>
      <c r="K20" s="16"/>
      <c r="L20" s="19">
        <f>+D20-H20</f>
        <v>-7342.7099999999991</v>
      </c>
      <c r="M20" s="16"/>
      <c r="N20" s="20">
        <f>IF(H20=0,0,L20/H20)</f>
        <v>-0.97002872021961595</v>
      </c>
      <c r="O20" s="25"/>
      <c r="P20" s="19">
        <f>P12-P16</f>
        <v>226.87</v>
      </c>
      <c r="Q20" s="13"/>
      <c r="R20" s="20">
        <f>IF(P$12=0,0,P20/P$12)</f>
        <v>0</v>
      </c>
      <c r="S20" s="13"/>
      <c r="T20" s="19">
        <f>T12-T16</f>
        <v>7569.579999999999</v>
      </c>
      <c r="U20" s="13"/>
      <c r="V20" s="20">
        <f>IF(T$12=0,0,T20/T$12)</f>
        <v>0.52708511330173424</v>
      </c>
      <c r="W20" s="16"/>
      <c r="X20" s="19">
        <f>+P20-T20</f>
        <v>-7342.7099999999991</v>
      </c>
      <c r="Y20" s="16"/>
      <c r="Z20" s="20">
        <f>IF(T20=0,0,X20/T20)</f>
        <v>-0.97002872021961595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5243.07</v>
      </c>
      <c r="E22" s="21"/>
      <c r="F22" s="34">
        <f t="shared" ref="F22:F31" si="14">IF(D$12=0,0,D22/D$12)</f>
        <v>0</v>
      </c>
      <c r="G22" s="21"/>
      <c r="H22" s="21">
        <f>SUM(OSRRefH22x_0)</f>
        <v>20272.43</v>
      </c>
      <c r="I22" s="21"/>
      <c r="J22" s="34">
        <f t="shared" ref="J22:J31" si="15">IF(H$12=0,0,H22/H$12)</f>
        <v>1.4116101637675378</v>
      </c>
      <c r="K22" s="4"/>
      <c r="L22" s="21">
        <f t="shared" ref="L22:L31" si="16">+D22-H22</f>
        <v>-15029.36</v>
      </c>
      <c r="M22" s="4"/>
      <c r="N22" s="34">
        <f t="shared" ref="N22:N31" si="17">IF(H22=0,0,L22/H22)</f>
        <v>-0.74136943622446838</v>
      </c>
      <c r="O22" s="10"/>
      <c r="P22" s="21">
        <f>SUM(OSRRefP22x_0)</f>
        <v>5243.07</v>
      </c>
      <c r="Q22" s="21"/>
      <c r="R22" s="34">
        <f t="shared" ref="R22:R31" si="18">IF(P$12=0,0,P22/P$12)</f>
        <v>0</v>
      </c>
      <c r="S22" s="21"/>
      <c r="T22" s="21">
        <f>SUM(OSRRefT22x_0)</f>
        <v>20272.43</v>
      </c>
      <c r="U22" s="21"/>
      <c r="V22" s="34">
        <f t="shared" ref="V22:V31" si="19">IF(T$12=0,0,T22/T$12)</f>
        <v>1.4116101637675378</v>
      </c>
      <c r="W22" s="4"/>
      <c r="X22" s="21">
        <f t="shared" ref="X22:X31" si="20">+P22-T22</f>
        <v>-15029.36</v>
      </c>
      <c r="Y22" s="4"/>
      <c r="Z22" s="34">
        <f t="shared" ref="Z22:Z31" si="21">IF(T22=0,0,X22/T22)</f>
        <v>-0.74136943622446838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1595.9699999999998</v>
      </c>
      <c r="E23" s="1"/>
      <c r="F23" s="5">
        <f t="shared" si="14"/>
        <v>0</v>
      </c>
      <c r="G23" s="1"/>
      <c r="H23" s="1">
        <f>SUM(OSRRefH22_0x_0)</f>
        <v>2332.16</v>
      </c>
      <c r="I23" s="1"/>
      <c r="J23" s="5">
        <f t="shared" si="15"/>
        <v>0.16239300170389542</v>
      </c>
      <c r="K23" s="1"/>
      <c r="L23" s="1">
        <f t="shared" si="16"/>
        <v>-736.19</v>
      </c>
      <c r="M23" s="1"/>
      <c r="N23" s="5">
        <f t="shared" si="17"/>
        <v>-0.31566873627881453</v>
      </c>
      <c r="O23" s="14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2332.16</v>
      </c>
      <c r="U23" s="1"/>
      <c r="V23" s="5">
        <f t="shared" si="19"/>
        <v>0.16239300170389542</v>
      </c>
      <c r="W23" s="1"/>
      <c r="X23" s="1">
        <f t="shared" si="20"/>
        <v>-736.19</v>
      </c>
      <c r="Y23" s="1"/>
      <c r="Z23" s="5">
        <f t="shared" si="21"/>
        <v>-0.31566873627881453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159.12</v>
      </c>
      <c r="E24" s="3"/>
      <c r="F24" s="7">
        <f t="shared" si="14"/>
        <v>0</v>
      </c>
      <c r="G24" s="3"/>
      <c r="H24" s="8">
        <v>719.78</v>
      </c>
      <c r="I24" s="3"/>
      <c r="J24" s="7">
        <f t="shared" si="15"/>
        <v>5.0119732250973284E-2</v>
      </c>
      <c r="K24" s="3"/>
      <c r="L24" s="8">
        <f t="shared" si="16"/>
        <v>-560.66</v>
      </c>
      <c r="M24" s="3"/>
      <c r="N24" s="7">
        <f t="shared" si="17"/>
        <v>-0.77893245158242796</v>
      </c>
      <c r="O24" s="11"/>
      <c r="P24" s="8">
        <v>159.12</v>
      </c>
      <c r="Q24" s="3"/>
      <c r="R24" s="7">
        <f t="shared" si="18"/>
        <v>0</v>
      </c>
      <c r="S24" s="3"/>
      <c r="T24" s="8">
        <v>719.78</v>
      </c>
      <c r="U24" s="3"/>
      <c r="V24" s="7">
        <f t="shared" si="19"/>
        <v>5.0119732250973284E-2</v>
      </c>
      <c r="W24" s="3"/>
      <c r="X24" s="8">
        <f t="shared" si="20"/>
        <v>-560.66</v>
      </c>
      <c r="Y24" s="3"/>
      <c r="Z24" s="7">
        <f t="shared" si="21"/>
        <v>-0.77893245158242796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163.33000000000001</v>
      </c>
      <c r="I25" s="3"/>
      <c r="J25" s="7">
        <f t="shared" si="15"/>
        <v>1.1372997122108793E-2</v>
      </c>
      <c r="K25" s="3"/>
      <c r="L25" s="8">
        <f t="shared" si="16"/>
        <v>-163.33000000000001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163.33000000000001</v>
      </c>
      <c r="U25" s="3"/>
      <c r="V25" s="7">
        <f t="shared" si="19"/>
        <v>1.1372997122108793E-2</v>
      </c>
      <c r="W25" s="3"/>
      <c r="X25" s="8">
        <f t="shared" si="20"/>
        <v>-163.33000000000001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683.68</v>
      </c>
      <c r="E26" s="3"/>
      <c r="F26" s="7">
        <f t="shared" si="14"/>
        <v>0</v>
      </c>
      <c r="G26" s="3"/>
      <c r="H26" s="8">
        <v>641.14</v>
      </c>
      <c r="I26" s="3"/>
      <c r="J26" s="7">
        <f t="shared" si="15"/>
        <v>4.4643870537371157E-2</v>
      </c>
      <c r="K26" s="3"/>
      <c r="L26" s="8">
        <f t="shared" si="16"/>
        <v>42.539999999999964</v>
      </c>
      <c r="M26" s="3"/>
      <c r="N26" s="7">
        <f t="shared" si="17"/>
        <v>6.6350563059550116E-2</v>
      </c>
      <c r="O26" s="11"/>
      <c r="P26" s="8">
        <v>683.68</v>
      </c>
      <c r="Q26" s="3"/>
      <c r="R26" s="7">
        <f t="shared" si="18"/>
        <v>0</v>
      </c>
      <c r="S26" s="3"/>
      <c r="T26" s="8">
        <v>641.14</v>
      </c>
      <c r="U26" s="3"/>
      <c r="V26" s="7">
        <f t="shared" si="19"/>
        <v>4.4643870537371157E-2</v>
      </c>
      <c r="W26" s="3"/>
      <c r="X26" s="8">
        <f t="shared" si="20"/>
        <v>42.539999999999964</v>
      </c>
      <c r="Y26" s="3"/>
      <c r="Z26" s="7">
        <f t="shared" si="21"/>
        <v>6.6350563059550116E-2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22.35</v>
      </c>
      <c r="I27" s="3"/>
      <c r="J27" s="7">
        <f t="shared" si="15"/>
        <v>1.5562755505977562E-3</v>
      </c>
      <c r="K27" s="3"/>
      <c r="L27" s="8">
        <f t="shared" si="16"/>
        <v>-22.35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22.35</v>
      </c>
      <c r="U27" s="3"/>
      <c r="V27" s="7">
        <f t="shared" si="19"/>
        <v>1.5562755505977562E-3</v>
      </c>
      <c r="W27" s="3"/>
      <c r="X27" s="8">
        <f t="shared" si="20"/>
        <v>-22.35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321.57</v>
      </c>
      <c r="E28" s="3"/>
      <c r="F28" s="7">
        <f t="shared" si="14"/>
        <v>0</v>
      </c>
      <c r="G28" s="3"/>
      <c r="H28" s="8">
        <v>268.22000000000003</v>
      </c>
      <c r="I28" s="3"/>
      <c r="J28" s="7">
        <f t="shared" si="15"/>
        <v>1.867669924748681E-2</v>
      </c>
      <c r="K28" s="3"/>
      <c r="L28" s="8">
        <f t="shared" si="16"/>
        <v>53.349999999999966</v>
      </c>
      <c r="M28" s="3"/>
      <c r="N28" s="7">
        <f t="shared" si="17"/>
        <v>0.19890388487062843</v>
      </c>
      <c r="O28" s="11"/>
      <c r="P28" s="8">
        <v>321.57</v>
      </c>
      <c r="Q28" s="3"/>
      <c r="R28" s="7">
        <f t="shared" si="18"/>
        <v>0</v>
      </c>
      <c r="S28" s="3"/>
      <c r="T28" s="8">
        <v>268.22000000000003</v>
      </c>
      <c r="U28" s="3"/>
      <c r="V28" s="7">
        <f t="shared" si="19"/>
        <v>1.867669924748681E-2</v>
      </c>
      <c r="W28" s="3"/>
      <c r="X28" s="8">
        <f t="shared" si="20"/>
        <v>53.349999999999966</v>
      </c>
      <c r="Y28" s="3"/>
      <c r="Z28" s="7">
        <f t="shared" si="21"/>
        <v>0.19890388487062843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239.72</v>
      </c>
      <c r="E29" s="3"/>
      <c r="F29" s="7">
        <f t="shared" si="14"/>
        <v>0</v>
      </c>
      <c r="G29" s="3"/>
      <c r="H29" s="8">
        <v>221.28</v>
      </c>
      <c r="I29" s="3"/>
      <c r="J29" s="7">
        <f t="shared" si="15"/>
        <v>1.5408172431153087E-2</v>
      </c>
      <c r="K29" s="3"/>
      <c r="L29" s="8">
        <f t="shared" si="16"/>
        <v>18.439999999999998</v>
      </c>
      <c r="M29" s="3"/>
      <c r="N29" s="7">
        <f t="shared" si="17"/>
        <v>8.3333333333333329E-2</v>
      </c>
      <c r="O29" s="11"/>
      <c r="P29" s="8">
        <v>239.72</v>
      </c>
      <c r="Q29" s="3"/>
      <c r="R29" s="7">
        <f t="shared" si="18"/>
        <v>0</v>
      </c>
      <c r="S29" s="3"/>
      <c r="T29" s="8">
        <v>221.28</v>
      </c>
      <c r="U29" s="3"/>
      <c r="V29" s="7">
        <f t="shared" si="19"/>
        <v>1.5408172431153087E-2</v>
      </c>
      <c r="W29" s="3"/>
      <c r="X29" s="8">
        <f t="shared" si="20"/>
        <v>18.439999999999998</v>
      </c>
      <c r="Y29" s="3"/>
      <c r="Z29" s="7">
        <f t="shared" si="21"/>
        <v>8.3333333333333329E-2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191.88</v>
      </c>
      <c r="E30" s="3"/>
      <c r="F30" s="7">
        <f t="shared" si="14"/>
        <v>0</v>
      </c>
      <c r="G30" s="3"/>
      <c r="H30" s="8">
        <v>177.12</v>
      </c>
      <c r="I30" s="3"/>
      <c r="J30" s="7">
        <f t="shared" si="15"/>
        <v>1.2333222618428393E-2</v>
      </c>
      <c r="K30" s="3"/>
      <c r="L30" s="8">
        <f t="shared" si="16"/>
        <v>14.759999999999991</v>
      </c>
      <c r="M30" s="3"/>
      <c r="N30" s="7">
        <f t="shared" si="17"/>
        <v>8.3333333333333273E-2</v>
      </c>
      <c r="O30" s="11"/>
      <c r="P30" s="8">
        <v>191.88</v>
      </c>
      <c r="Q30" s="3"/>
      <c r="R30" s="7">
        <f t="shared" si="18"/>
        <v>0</v>
      </c>
      <c r="S30" s="3"/>
      <c r="T30" s="8">
        <v>177.12</v>
      </c>
      <c r="U30" s="3"/>
      <c r="V30" s="7">
        <f t="shared" si="19"/>
        <v>1.2333222618428393E-2</v>
      </c>
      <c r="W30" s="3"/>
      <c r="X30" s="8">
        <f t="shared" si="20"/>
        <v>14.759999999999991</v>
      </c>
      <c r="Y30" s="3"/>
      <c r="Z30" s="7">
        <f t="shared" si="21"/>
        <v>8.3333333333333273E-2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118.94</v>
      </c>
      <c r="I31" s="3"/>
      <c r="J31" s="7">
        <f t="shared" si="15"/>
        <v>8.2820319457761575E-3</v>
      </c>
      <c r="K31" s="3"/>
      <c r="L31" s="8">
        <f t="shared" si="16"/>
        <v>-118.94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118.94</v>
      </c>
      <c r="U31" s="3"/>
      <c r="V31" s="7">
        <f t="shared" si="19"/>
        <v>8.2820319457761575E-3</v>
      </c>
      <c r="W31" s="3"/>
      <c r="X31" s="8">
        <f t="shared" si="20"/>
        <v>-118.94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2080</v>
      </c>
      <c r="E32" s="1"/>
      <c r="F32" s="5">
        <f t="shared" ref="F32:F35" si="22">IF(D$12=0,0,D32/D$12)</f>
        <v>0</v>
      </c>
      <c r="G32" s="1"/>
      <c r="H32" s="1">
        <f>SUM(OSRRefH22_1x_0)</f>
        <v>11487.5</v>
      </c>
      <c r="I32" s="1"/>
      <c r="J32" s="5">
        <f t="shared" ref="J32:J35" si="23">IF(H$12=0,0,H32/H$12)</f>
        <v>0.79989778020097202</v>
      </c>
      <c r="K32" s="1"/>
      <c r="L32" s="1">
        <f t="shared" ref="L32:L35" si="24">+D32-H32</f>
        <v>-9407.5</v>
      </c>
      <c r="M32" s="1"/>
      <c r="N32" s="5">
        <f t="shared" ref="N32:N35" si="25">IF(H32=0,0,L32/H32)</f>
        <v>-0.81893362350380849</v>
      </c>
      <c r="O32" s="14"/>
      <c r="P32" s="1">
        <f>SUM(OSRRefP22_1x_0)</f>
        <v>2080</v>
      </c>
      <c r="Q32" s="1"/>
      <c r="R32" s="5">
        <f t="shared" ref="R32:R35" si="26">IF(P$12=0,0,P32/P$12)</f>
        <v>0</v>
      </c>
      <c r="S32" s="1"/>
      <c r="T32" s="1">
        <f>SUM(OSRRefT22_1x_0)</f>
        <v>11487.5</v>
      </c>
      <c r="U32" s="1"/>
      <c r="V32" s="5">
        <f t="shared" ref="V32:V35" si="27">IF(T$12=0,0,T32/T$12)</f>
        <v>0.79989778020097202</v>
      </c>
      <c r="W32" s="1"/>
      <c r="X32" s="1">
        <f t="shared" ref="X32:X35" si="28">+P32-T32</f>
        <v>-9407.5</v>
      </c>
      <c r="Y32" s="1"/>
      <c r="Z32" s="5">
        <f t="shared" ref="Z32:Z35" si="29">IF(T32=0,0,X32/T32)</f>
        <v>-0.81893362350380849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2080</v>
      </c>
      <c r="E33" s="3"/>
      <c r="F33" s="7">
        <f t="shared" si="22"/>
        <v>0</v>
      </c>
      <c r="G33" s="3"/>
      <c r="H33" s="8">
        <v>4224</v>
      </c>
      <c r="I33" s="3"/>
      <c r="J33" s="7">
        <f t="shared" si="23"/>
        <v>0.29412563426062288</v>
      </c>
      <c r="K33" s="3"/>
      <c r="L33" s="8">
        <f t="shared" si="24"/>
        <v>-2144</v>
      </c>
      <c r="M33" s="3"/>
      <c r="N33" s="7">
        <f t="shared" si="25"/>
        <v>-0.50757575757575757</v>
      </c>
      <c r="O33" s="11"/>
      <c r="P33" s="8">
        <v>2080</v>
      </c>
      <c r="Q33" s="3"/>
      <c r="R33" s="7">
        <f t="shared" si="26"/>
        <v>0</v>
      </c>
      <c r="S33" s="3"/>
      <c r="T33" s="8">
        <v>4224</v>
      </c>
      <c r="U33" s="3"/>
      <c r="V33" s="7">
        <f t="shared" si="27"/>
        <v>0.29412563426062288</v>
      </c>
      <c r="W33" s="3"/>
      <c r="X33" s="8">
        <f t="shared" si="28"/>
        <v>-2144</v>
      </c>
      <c r="Y33" s="3"/>
      <c r="Z33" s="7">
        <f t="shared" si="29"/>
        <v>-0.50757575757575757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812</v>
      </c>
      <c r="I34" s="3"/>
      <c r="J34" s="7">
        <f t="shared" si="23"/>
        <v>5.6541196737600802E-2</v>
      </c>
      <c r="K34" s="3"/>
      <c r="L34" s="8">
        <f t="shared" si="24"/>
        <v>-812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812</v>
      </c>
      <c r="U34" s="3"/>
      <c r="V34" s="7">
        <f t="shared" si="27"/>
        <v>5.6541196737600802E-2</v>
      </c>
      <c r="W34" s="3"/>
      <c r="X34" s="8">
        <f t="shared" si="28"/>
        <v>-812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8"/>
      <c r="E35" s="3"/>
      <c r="F35" s="7">
        <f t="shared" si="22"/>
        <v>0</v>
      </c>
      <c r="G35" s="3"/>
      <c r="H35" s="8">
        <v>6451.5</v>
      </c>
      <c r="I35" s="3"/>
      <c r="J35" s="7">
        <f t="shared" si="23"/>
        <v>0.44923094920274825</v>
      </c>
      <c r="K35" s="3"/>
      <c r="L35" s="8">
        <f t="shared" si="24"/>
        <v>-6451.5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6451.5</v>
      </c>
      <c r="U35" s="3"/>
      <c r="V35" s="7">
        <f t="shared" si="27"/>
        <v>0.44923094920274825</v>
      </c>
      <c r="W35" s="3"/>
      <c r="X35" s="8">
        <f t="shared" si="28"/>
        <v>-6451.5</v>
      </c>
      <c r="Y35" s="3"/>
      <c r="Z35" s="7">
        <f t="shared" si="29"/>
        <v>-1</v>
      </c>
    </row>
    <row r="36" spans="1:26" s="27" customFormat="1" outlineLevel="1" collapsed="1" x14ac:dyDescent="0.25">
      <c r="A36" s="28"/>
      <c r="B36" s="14" t="str">
        <f>CONCATENATE("     ","Bad Debts/Over/Short                              ")</f>
        <v xml:space="preserve">     Bad Debts/Over/Short                              </v>
      </c>
      <c r="C36" s="14"/>
      <c r="D36" s="1">
        <f>SUM(OSRRefD22_2x_0)</f>
        <v>0</v>
      </c>
      <c r="E36" s="1"/>
      <c r="F36" s="5">
        <f t="shared" ref="F36:F51" si="30">IF(D$12=0,0,D36/D$12)</f>
        <v>0</v>
      </c>
      <c r="G36" s="1"/>
      <c r="H36" s="1">
        <f>SUM(OSRRefH22_2x_0)</f>
        <v>-11.34</v>
      </c>
      <c r="I36" s="1"/>
      <c r="J36" s="5">
        <f t="shared" ref="J36:J51" si="31">IF(H$12=0,0,H36/H$12)</f>
        <v>-7.8962705788718365E-4</v>
      </c>
      <c r="K36" s="1"/>
      <c r="L36" s="1">
        <f t="shared" ref="L36:L51" si="32">+D36-H36</f>
        <v>11.34</v>
      </c>
      <c r="M36" s="1"/>
      <c r="N36" s="5">
        <f t="shared" ref="N36:N51" si="33">IF(H36=0,0,L36/H36)</f>
        <v>-1</v>
      </c>
      <c r="O36" s="14"/>
      <c r="P36" s="1">
        <f>SUM(OSRRefP22_2x_0)</f>
        <v>0</v>
      </c>
      <c r="Q36" s="1"/>
      <c r="R36" s="5">
        <f t="shared" ref="R36:R51" si="34">IF(P$12=0,0,P36/P$12)</f>
        <v>0</v>
      </c>
      <c r="S36" s="1"/>
      <c r="T36" s="1">
        <f>SUM(OSRRefT22_2x_0)</f>
        <v>-11.34</v>
      </c>
      <c r="U36" s="1"/>
      <c r="V36" s="5">
        <f t="shared" ref="V36:V51" si="35">IF(T$12=0,0,T36/T$12)</f>
        <v>-7.8962705788718365E-4</v>
      </c>
      <c r="W36" s="1"/>
      <c r="X36" s="1">
        <f t="shared" ref="X36:X51" si="36">+P36-T36</f>
        <v>11.34</v>
      </c>
      <c r="Y36" s="1"/>
      <c r="Z36" s="5">
        <f t="shared" ref="Z36:Z51" si="37">IF(T36=0,0,X36/T36)</f>
        <v>-1</v>
      </c>
    </row>
    <row r="37" spans="1:26" s="24" customFormat="1" hidden="1" outlineLevel="2" x14ac:dyDescent="0.25">
      <c r="A37" s="29"/>
      <c r="B37" s="11" t="str">
        <f>CONCATENATE("          ", "6272", " - ", "CASH (OVER/SHORT)")</f>
        <v xml:space="preserve">          6272 - CASH (OVER/SHORT)</v>
      </c>
      <c r="C37" s="11"/>
      <c r="D37" s="8"/>
      <c r="E37" s="3"/>
      <c r="F37" s="7">
        <f t="shared" si="30"/>
        <v>0</v>
      </c>
      <c r="G37" s="3"/>
      <c r="H37" s="8">
        <v>-11.34</v>
      </c>
      <c r="I37" s="3"/>
      <c r="J37" s="7">
        <f t="shared" si="31"/>
        <v>-7.8962705788718365E-4</v>
      </c>
      <c r="K37" s="3"/>
      <c r="L37" s="8">
        <f t="shared" si="32"/>
        <v>11.34</v>
      </c>
      <c r="M37" s="3"/>
      <c r="N37" s="7">
        <f t="shared" si="33"/>
        <v>-1</v>
      </c>
      <c r="O37" s="11"/>
      <c r="P37" s="8"/>
      <c r="Q37" s="3"/>
      <c r="R37" s="7">
        <f t="shared" si="34"/>
        <v>0</v>
      </c>
      <c r="S37" s="3"/>
      <c r="T37" s="8">
        <v>-11.34</v>
      </c>
      <c r="U37" s="3"/>
      <c r="V37" s="7">
        <f t="shared" si="35"/>
        <v>-7.8962705788718365E-4</v>
      </c>
      <c r="W37" s="3"/>
      <c r="X37" s="8">
        <f t="shared" si="36"/>
        <v>11.34</v>
      </c>
      <c r="Y37" s="3"/>
      <c r="Z37" s="7">
        <f t="shared" si="37"/>
        <v>-1</v>
      </c>
    </row>
    <row r="38" spans="1:26" s="27" customFormat="1" outlineLevel="1" collapsed="1" x14ac:dyDescent="0.25">
      <c r="A38" s="28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0</v>
      </c>
      <c r="E38" s="1"/>
      <c r="F38" s="5">
        <f t="shared" si="30"/>
        <v>0</v>
      </c>
      <c r="G38" s="1"/>
      <c r="H38" s="1">
        <f>SUM(OSRRefH22_3x_0)</f>
        <v>359.26</v>
      </c>
      <c r="I38" s="1"/>
      <c r="J38" s="5">
        <f t="shared" si="31"/>
        <v>2.5015997955604021E-2</v>
      </c>
      <c r="K38" s="1"/>
      <c r="L38" s="1">
        <f t="shared" si="32"/>
        <v>-359.26</v>
      </c>
      <c r="M38" s="1"/>
      <c r="N38" s="5">
        <f t="shared" si="33"/>
        <v>-1</v>
      </c>
      <c r="O38" s="14"/>
      <c r="P38" s="1">
        <f>SUM(OSRRefP22_3x_0)</f>
        <v>0</v>
      </c>
      <c r="Q38" s="1"/>
      <c r="R38" s="5">
        <f t="shared" si="34"/>
        <v>0</v>
      </c>
      <c r="S38" s="1"/>
      <c r="T38" s="1">
        <f>SUM(OSRRefT22_3x_0)</f>
        <v>359.26</v>
      </c>
      <c r="U38" s="1"/>
      <c r="V38" s="5">
        <f t="shared" si="35"/>
        <v>2.5015997955604021E-2</v>
      </c>
      <c r="W38" s="1"/>
      <c r="X38" s="1">
        <f t="shared" si="36"/>
        <v>-359.26</v>
      </c>
      <c r="Y38" s="1"/>
      <c r="Z38" s="5">
        <f t="shared" si="37"/>
        <v>-1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8"/>
      <c r="E39" s="3"/>
      <c r="F39" s="7">
        <f t="shared" si="30"/>
        <v>0</v>
      </c>
      <c r="G39" s="3"/>
      <c r="H39" s="8">
        <v>359.26</v>
      </c>
      <c r="I39" s="3"/>
      <c r="J39" s="7">
        <f t="shared" si="31"/>
        <v>2.5015997955604021E-2</v>
      </c>
      <c r="K39" s="3"/>
      <c r="L39" s="8">
        <f t="shared" si="32"/>
        <v>-359.26</v>
      </c>
      <c r="M39" s="3"/>
      <c r="N39" s="7">
        <f t="shared" si="33"/>
        <v>-1</v>
      </c>
      <c r="O39" s="11"/>
      <c r="P39" s="8"/>
      <c r="Q39" s="3"/>
      <c r="R39" s="7">
        <f t="shared" si="34"/>
        <v>0</v>
      </c>
      <c r="S39" s="3"/>
      <c r="T39" s="8">
        <v>359.26</v>
      </c>
      <c r="U39" s="3"/>
      <c r="V39" s="7">
        <f t="shared" si="35"/>
        <v>2.5015997955604021E-2</v>
      </c>
      <c r="W39" s="3"/>
      <c r="X39" s="8">
        <f t="shared" si="36"/>
        <v>-359.26</v>
      </c>
      <c r="Y39" s="3"/>
      <c r="Z39" s="7">
        <f t="shared" si="37"/>
        <v>-1</v>
      </c>
    </row>
    <row r="40" spans="1:26" s="27" customFormat="1" outlineLevel="1" collapsed="1" x14ac:dyDescent="0.25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SUM(OSRRefD22_4x_0)</f>
        <v>2017.34</v>
      </c>
      <c r="E40" s="1"/>
      <c r="F40" s="5">
        <f t="shared" si="30"/>
        <v>0</v>
      </c>
      <c r="G40" s="1"/>
      <c r="H40" s="1">
        <f>SUM(OSRRefH22_4x_0)</f>
        <v>1857.58</v>
      </c>
      <c r="I40" s="1"/>
      <c r="J40" s="5">
        <f t="shared" si="31"/>
        <v>0.12934703969930111</v>
      </c>
      <c r="K40" s="1"/>
      <c r="L40" s="1">
        <f t="shared" si="32"/>
        <v>159.76</v>
      </c>
      <c r="M40" s="1"/>
      <c r="N40" s="5">
        <f t="shared" si="33"/>
        <v>8.6004371278760539E-2</v>
      </c>
      <c r="O40" s="14"/>
      <c r="P40" s="1">
        <f>SUM(OSRRefP22_4x_0)</f>
        <v>2017.34</v>
      </c>
      <c r="Q40" s="1"/>
      <c r="R40" s="5">
        <f t="shared" si="34"/>
        <v>0</v>
      </c>
      <c r="S40" s="1"/>
      <c r="T40" s="1">
        <f>SUM(OSRRefT22_4x_0)</f>
        <v>1857.58</v>
      </c>
      <c r="U40" s="1"/>
      <c r="V40" s="5">
        <f t="shared" si="35"/>
        <v>0.12934703969930111</v>
      </c>
      <c r="W40" s="1"/>
      <c r="X40" s="1">
        <f t="shared" si="36"/>
        <v>159.76</v>
      </c>
      <c r="Y40" s="1"/>
      <c r="Z40" s="5">
        <f t="shared" si="37"/>
        <v>8.6004371278760539E-2</v>
      </c>
    </row>
    <row r="41" spans="1:26" s="24" customFormat="1" hidden="1" outlineLevel="2" x14ac:dyDescent="0.25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8">
        <v>2017.34</v>
      </c>
      <c r="E41" s="3"/>
      <c r="F41" s="7">
        <f t="shared" si="30"/>
        <v>0</v>
      </c>
      <c r="G41" s="3"/>
      <c r="H41" s="8">
        <v>1857.58</v>
      </c>
      <c r="I41" s="3"/>
      <c r="J41" s="7">
        <f t="shared" si="31"/>
        <v>0.12934703969930111</v>
      </c>
      <c r="K41" s="3"/>
      <c r="L41" s="8">
        <f t="shared" si="32"/>
        <v>159.76</v>
      </c>
      <c r="M41" s="3"/>
      <c r="N41" s="7">
        <f t="shared" si="33"/>
        <v>8.6004371278760539E-2</v>
      </c>
      <c r="O41" s="11"/>
      <c r="P41" s="8">
        <v>2017.34</v>
      </c>
      <c r="Q41" s="3"/>
      <c r="R41" s="7">
        <f t="shared" si="34"/>
        <v>0</v>
      </c>
      <c r="S41" s="3"/>
      <c r="T41" s="8">
        <v>1857.58</v>
      </c>
      <c r="U41" s="3"/>
      <c r="V41" s="7">
        <f t="shared" si="35"/>
        <v>0.12934703969930111</v>
      </c>
      <c r="W41" s="3"/>
      <c r="X41" s="8">
        <f t="shared" si="36"/>
        <v>159.76</v>
      </c>
      <c r="Y41" s="3"/>
      <c r="Z41" s="7">
        <f t="shared" si="37"/>
        <v>8.6004371278760539E-2</v>
      </c>
    </row>
    <row r="42" spans="1:26" s="27" customFormat="1" outlineLevel="1" collapsed="1" x14ac:dyDescent="0.25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SUM(OSRRefD22_5x_0)</f>
        <v>0</v>
      </c>
      <c r="E42" s="1"/>
      <c r="F42" s="5">
        <f t="shared" si="30"/>
        <v>0</v>
      </c>
      <c r="G42" s="1"/>
      <c r="H42" s="1">
        <f>SUM(OSRRefH22_5x_0)</f>
        <v>744.8</v>
      </c>
      <c r="I42" s="1"/>
      <c r="J42" s="5">
        <f t="shared" si="31"/>
        <v>5.1861925283454527E-2</v>
      </c>
      <c r="K42" s="1"/>
      <c r="L42" s="1">
        <f t="shared" si="32"/>
        <v>-744.8</v>
      </c>
      <c r="M42" s="1"/>
      <c r="N42" s="5">
        <f t="shared" si="33"/>
        <v>-1</v>
      </c>
      <c r="O42" s="14"/>
      <c r="P42" s="1">
        <f>SUM(OSRRefP22_5x_0)</f>
        <v>0</v>
      </c>
      <c r="Q42" s="1"/>
      <c r="R42" s="5">
        <f t="shared" si="34"/>
        <v>0</v>
      </c>
      <c r="S42" s="1"/>
      <c r="T42" s="1">
        <f>SUM(OSRRefT22_5x_0)</f>
        <v>744.8</v>
      </c>
      <c r="U42" s="1"/>
      <c r="V42" s="5">
        <f t="shared" si="35"/>
        <v>5.1861925283454527E-2</v>
      </c>
      <c r="W42" s="1"/>
      <c r="X42" s="1">
        <f t="shared" si="36"/>
        <v>-744.8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"6279", " - ", "GENERAL EXPENSE")</f>
        <v xml:space="preserve">          6279 - GENERAL EXPENSE</v>
      </c>
      <c r="C43" s="11"/>
      <c r="D43" s="8"/>
      <c r="E43" s="3"/>
      <c r="F43" s="7">
        <f t="shared" si="30"/>
        <v>0</v>
      </c>
      <c r="G43" s="3"/>
      <c r="H43" s="8">
        <v>744.8</v>
      </c>
      <c r="I43" s="3"/>
      <c r="J43" s="7">
        <f t="shared" si="31"/>
        <v>5.1861925283454527E-2</v>
      </c>
      <c r="K43" s="3"/>
      <c r="L43" s="8">
        <f t="shared" si="32"/>
        <v>-744.8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744.8</v>
      </c>
      <c r="U43" s="3"/>
      <c r="V43" s="7">
        <f t="shared" si="35"/>
        <v>5.1861925283454527E-2</v>
      </c>
      <c r="W43" s="3"/>
      <c r="X43" s="8">
        <f t="shared" si="36"/>
        <v>-744.8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","Rent                                              ")</f>
        <v xml:space="preserve">     Rent                                              </v>
      </c>
      <c r="C44" s="14"/>
      <c r="D44" s="1">
        <f>SUM(OSRRefD22_6x_0)</f>
        <v>0</v>
      </c>
      <c r="E44" s="1"/>
      <c r="F44" s="5">
        <f t="shared" si="30"/>
        <v>0</v>
      </c>
      <c r="G44" s="1"/>
      <c r="H44" s="1">
        <f>SUM(OSRRefH22_6x_0)</f>
        <v>1150</v>
      </c>
      <c r="I44" s="1"/>
      <c r="J44" s="5">
        <f t="shared" si="31"/>
        <v>8.0076818039705566E-2</v>
      </c>
      <c r="K44" s="1"/>
      <c r="L44" s="1">
        <f t="shared" si="32"/>
        <v>-1150</v>
      </c>
      <c r="M44" s="1"/>
      <c r="N44" s="5">
        <f t="shared" si="33"/>
        <v>-1</v>
      </c>
      <c r="O44" s="14"/>
      <c r="P44" s="1">
        <f>SUM(OSRRefP22_6x_0)</f>
        <v>0</v>
      </c>
      <c r="Q44" s="1"/>
      <c r="R44" s="5">
        <f t="shared" si="34"/>
        <v>0</v>
      </c>
      <c r="S44" s="1"/>
      <c r="T44" s="1">
        <f>SUM(OSRRefT22_6x_0)</f>
        <v>1150</v>
      </c>
      <c r="U44" s="1"/>
      <c r="V44" s="5">
        <f t="shared" si="35"/>
        <v>8.0076818039705566E-2</v>
      </c>
      <c r="W44" s="1"/>
      <c r="X44" s="1">
        <f t="shared" si="36"/>
        <v>-1150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"6273", " - ", "RENT")</f>
        <v xml:space="preserve">          6273 - RENT</v>
      </c>
      <c r="C45" s="11"/>
      <c r="D45" s="8"/>
      <c r="E45" s="3"/>
      <c r="F45" s="7">
        <f t="shared" si="30"/>
        <v>0</v>
      </c>
      <c r="G45" s="3"/>
      <c r="H45" s="8">
        <v>1150</v>
      </c>
      <c r="I45" s="3"/>
      <c r="J45" s="7">
        <f t="shared" si="31"/>
        <v>8.0076818039705566E-2</v>
      </c>
      <c r="K45" s="3"/>
      <c r="L45" s="8">
        <f t="shared" si="32"/>
        <v>-1150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1150</v>
      </c>
      <c r="U45" s="3"/>
      <c r="V45" s="7">
        <f t="shared" si="35"/>
        <v>8.0076818039705566E-2</v>
      </c>
      <c r="W45" s="3"/>
      <c r="X45" s="8">
        <f t="shared" si="36"/>
        <v>-1150</v>
      </c>
      <c r="Y45" s="3"/>
      <c r="Z45" s="7">
        <f t="shared" si="37"/>
        <v>-1</v>
      </c>
    </row>
    <row r="46" spans="1:26" s="27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0</v>
      </c>
      <c r="E46" s="1"/>
      <c r="F46" s="5">
        <f t="shared" si="30"/>
        <v>0</v>
      </c>
      <c r="G46" s="1"/>
      <c r="H46" s="1">
        <f>SUM(OSRRefH22_7x_0)</f>
        <v>640.13</v>
      </c>
      <c r="I46" s="1"/>
      <c r="J46" s="5">
        <f t="shared" si="31"/>
        <v>4.4573542201527587E-2</v>
      </c>
      <c r="K46" s="1"/>
      <c r="L46" s="1">
        <f t="shared" si="32"/>
        <v>-640.13</v>
      </c>
      <c r="M46" s="1"/>
      <c r="N46" s="5">
        <f t="shared" si="33"/>
        <v>-1</v>
      </c>
      <c r="O46" s="14"/>
      <c r="P46" s="1">
        <f>SUM(OSRRefP22_7x_0)</f>
        <v>0</v>
      </c>
      <c r="Q46" s="1"/>
      <c r="R46" s="5">
        <f t="shared" si="34"/>
        <v>0</v>
      </c>
      <c r="S46" s="1"/>
      <c r="T46" s="1">
        <f>SUM(OSRRefT22_7x_0)</f>
        <v>640.13</v>
      </c>
      <c r="U46" s="1"/>
      <c r="V46" s="5">
        <f t="shared" si="35"/>
        <v>4.4573542201527587E-2</v>
      </c>
      <c r="W46" s="1"/>
      <c r="X46" s="1">
        <f t="shared" si="36"/>
        <v>-640.13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8"/>
      <c r="E47" s="3"/>
      <c r="F47" s="7">
        <f t="shared" si="30"/>
        <v>0</v>
      </c>
      <c r="G47" s="3"/>
      <c r="H47" s="8">
        <v>640.13</v>
      </c>
      <c r="I47" s="3"/>
      <c r="J47" s="7">
        <f t="shared" si="31"/>
        <v>4.4573542201527587E-2</v>
      </c>
      <c r="K47" s="3"/>
      <c r="L47" s="8">
        <f t="shared" si="32"/>
        <v>-640.13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640.13</v>
      </c>
      <c r="U47" s="3"/>
      <c r="V47" s="7">
        <f t="shared" si="35"/>
        <v>4.4573542201527587E-2</v>
      </c>
      <c r="W47" s="3"/>
      <c r="X47" s="8">
        <f t="shared" si="36"/>
        <v>-640.13</v>
      </c>
      <c r="Y47" s="3"/>
      <c r="Z47" s="7">
        <f t="shared" si="37"/>
        <v>-1</v>
      </c>
    </row>
    <row r="48" spans="1:26" s="27" customFormat="1" outlineLevel="1" collapsed="1" x14ac:dyDescent="0.25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-486.24</v>
      </c>
      <c r="E48" s="1"/>
      <c r="F48" s="5">
        <f t="shared" si="30"/>
        <v>0</v>
      </c>
      <c r="G48" s="1"/>
      <c r="H48" s="1">
        <f>SUM(OSRRefH22_8x_0)</f>
        <v>414.45</v>
      </c>
      <c r="I48" s="1"/>
      <c r="J48" s="5">
        <f t="shared" si="31"/>
        <v>2.8858988901353022E-2</v>
      </c>
      <c r="K48" s="1"/>
      <c r="L48" s="1">
        <f t="shared" si="32"/>
        <v>-900.69</v>
      </c>
      <c r="M48" s="1"/>
      <c r="N48" s="5">
        <f t="shared" si="33"/>
        <v>-2.1732175171914587</v>
      </c>
      <c r="O48" s="14"/>
      <c r="P48" s="1">
        <f>SUM(OSRRefP22_8x_0)</f>
        <v>-486.24</v>
      </c>
      <c r="Q48" s="1"/>
      <c r="R48" s="5">
        <f t="shared" si="34"/>
        <v>0</v>
      </c>
      <c r="S48" s="1"/>
      <c r="T48" s="1">
        <f>SUM(OSRRefT22_8x_0)</f>
        <v>414.45</v>
      </c>
      <c r="U48" s="1"/>
      <c r="V48" s="5">
        <f t="shared" si="35"/>
        <v>2.8858988901353022E-2</v>
      </c>
      <c r="W48" s="1"/>
      <c r="X48" s="1">
        <f t="shared" si="36"/>
        <v>-900.69</v>
      </c>
      <c r="Y48" s="1"/>
      <c r="Z48" s="5">
        <f t="shared" si="37"/>
        <v>-2.1732175171914587</v>
      </c>
    </row>
    <row r="49" spans="1:26" s="24" customFormat="1" hidden="1" outlineLevel="2" x14ac:dyDescent="0.25">
      <c r="A49" s="29"/>
      <c r="B49" s="11" t="str">
        <f>CONCATENATE("          ", "6282", " - ", "JANITORIAL/EXTERMINATOR EXPENS")</f>
        <v xml:space="preserve">          6282 - JANITORIAL/EXTERMINATOR EXPENS</v>
      </c>
      <c r="C49" s="11"/>
      <c r="D49" s="8"/>
      <c r="E49" s="3"/>
      <c r="F49" s="7">
        <f t="shared" si="30"/>
        <v>0</v>
      </c>
      <c r="G49" s="3"/>
      <c r="H49" s="8">
        <v>116.81</v>
      </c>
      <c r="I49" s="3"/>
      <c r="J49" s="7">
        <f t="shared" si="31"/>
        <v>8.1337157523634854E-3</v>
      </c>
      <c r="K49" s="3"/>
      <c r="L49" s="8">
        <f t="shared" si="32"/>
        <v>-116.81</v>
      </c>
      <c r="M49" s="3"/>
      <c r="N49" s="7">
        <f t="shared" si="33"/>
        <v>-1</v>
      </c>
      <c r="O49" s="11"/>
      <c r="P49" s="8"/>
      <c r="Q49" s="3"/>
      <c r="R49" s="7">
        <f t="shared" si="34"/>
        <v>0</v>
      </c>
      <c r="S49" s="3"/>
      <c r="T49" s="8">
        <v>116.81</v>
      </c>
      <c r="U49" s="3"/>
      <c r="V49" s="7">
        <f t="shared" si="35"/>
        <v>8.1337157523634854E-3</v>
      </c>
      <c r="W49" s="3"/>
      <c r="X49" s="8">
        <f t="shared" si="36"/>
        <v>-116.81</v>
      </c>
      <c r="Y49" s="3"/>
      <c r="Z49" s="7">
        <f t="shared" si="37"/>
        <v>-1</v>
      </c>
    </row>
    <row r="50" spans="1:26" s="24" customFormat="1" hidden="1" outlineLevel="2" x14ac:dyDescent="0.25">
      <c r="A50" s="29"/>
      <c r="B50" s="11" t="str">
        <f>CONCATENATE("          ", "6285", " - ", "JANITORIAL SERVICES")</f>
        <v xml:space="preserve">          6285 - JANITORIAL SERVICES</v>
      </c>
      <c r="C50" s="11"/>
      <c r="D50" s="8">
        <v>-486.24</v>
      </c>
      <c r="E50" s="3"/>
      <c r="F50" s="7">
        <f t="shared" si="30"/>
        <v>0</v>
      </c>
      <c r="G50" s="3"/>
      <c r="H50" s="8"/>
      <c r="I50" s="3"/>
      <c r="J50" s="7">
        <f t="shared" si="31"/>
        <v>0</v>
      </c>
      <c r="K50" s="3"/>
      <c r="L50" s="8">
        <f t="shared" si="32"/>
        <v>-486.24</v>
      </c>
      <c r="M50" s="3"/>
      <c r="N50" s="7">
        <f t="shared" si="33"/>
        <v>0</v>
      </c>
      <c r="O50" s="11"/>
      <c r="P50" s="8">
        <v>-486.24</v>
      </c>
      <c r="Q50" s="3"/>
      <c r="R50" s="7">
        <f t="shared" si="34"/>
        <v>0</v>
      </c>
      <c r="S50" s="3"/>
      <c r="T50" s="8"/>
      <c r="U50" s="3"/>
      <c r="V50" s="7">
        <f t="shared" si="35"/>
        <v>0</v>
      </c>
      <c r="W50" s="3"/>
      <c r="X50" s="8">
        <f t="shared" si="36"/>
        <v>-486.24</v>
      </c>
      <c r="Y50" s="3"/>
      <c r="Z50" s="7">
        <f t="shared" si="37"/>
        <v>0</v>
      </c>
    </row>
    <row r="51" spans="1:26" s="24" customFormat="1" hidden="1" outlineLevel="2" x14ac:dyDescent="0.25">
      <c r="A51" s="29"/>
      <c r="B51" s="11" t="str">
        <f>CONCATENATE("          ", "6286", " - ", "LAUNDRY EXPENSE")</f>
        <v xml:space="preserve">          6286 - LAUNDRY EXPENSE</v>
      </c>
      <c r="C51" s="11"/>
      <c r="D51" s="8"/>
      <c r="E51" s="3"/>
      <c r="F51" s="7">
        <f t="shared" si="30"/>
        <v>0</v>
      </c>
      <c r="G51" s="3"/>
      <c r="H51" s="8">
        <v>297.64</v>
      </c>
      <c r="I51" s="3"/>
      <c r="J51" s="7">
        <f t="shared" si="31"/>
        <v>2.0725273148989535E-2</v>
      </c>
      <c r="K51" s="3"/>
      <c r="L51" s="8">
        <f t="shared" si="32"/>
        <v>-297.64</v>
      </c>
      <c r="M51" s="3"/>
      <c r="N51" s="7">
        <f t="shared" si="33"/>
        <v>-1</v>
      </c>
      <c r="O51" s="11"/>
      <c r="P51" s="8"/>
      <c r="Q51" s="3"/>
      <c r="R51" s="7">
        <f t="shared" si="34"/>
        <v>0</v>
      </c>
      <c r="S51" s="3"/>
      <c r="T51" s="8">
        <v>297.64</v>
      </c>
      <c r="U51" s="3"/>
      <c r="V51" s="7">
        <f t="shared" si="35"/>
        <v>2.0725273148989535E-2</v>
      </c>
      <c r="W51" s="3"/>
      <c r="X51" s="8">
        <f t="shared" si="36"/>
        <v>-297.64</v>
      </c>
      <c r="Y51" s="3"/>
      <c r="Z51" s="7">
        <f t="shared" si="37"/>
        <v>-1</v>
      </c>
    </row>
    <row r="52" spans="1:26" s="27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1103.8899999999999</v>
      </c>
      <c r="I52" s="1"/>
      <c r="J52" s="5">
        <f t="shared" ref="J52:J55" si="39">IF(H$12=0,0,H52/H$12)</f>
        <v>7.68660857963918E-2</v>
      </c>
      <c r="K52" s="1"/>
      <c r="L52" s="1">
        <f t="shared" ref="L52:L55" si="40">+D52-H52</f>
        <v>-1103.8899999999999</v>
      </c>
      <c r="M52" s="1"/>
      <c r="N52" s="5">
        <f t="shared" ref="N52:N55" si="41">IF(H52=0,0,L52/H52)</f>
        <v>-1</v>
      </c>
      <c r="O52" s="14"/>
      <c r="P52" s="1">
        <f>SUM(OSRRefP22_9x_0)</f>
        <v>0</v>
      </c>
      <c r="Q52" s="1"/>
      <c r="R52" s="5">
        <f t="shared" ref="R52:R55" si="42">IF(P$12=0,0,P52/P$12)</f>
        <v>0</v>
      </c>
      <c r="S52" s="1"/>
      <c r="T52" s="1">
        <f>SUM(OSRRefT22_9x_0)</f>
        <v>1103.8899999999999</v>
      </c>
      <c r="U52" s="1"/>
      <c r="V52" s="5">
        <f t="shared" ref="V52:V55" si="43">IF(T$12=0,0,T52/T$12)</f>
        <v>7.68660857963918E-2</v>
      </c>
      <c r="W52" s="1"/>
      <c r="X52" s="1">
        <f t="shared" ref="X52:X55" si="44">+P52-T52</f>
        <v>-1103.8899999999999</v>
      </c>
      <c r="Y52" s="1"/>
      <c r="Z52" s="5">
        <f t="shared" ref="Z52:Z55" si="45">IF(T52=0,0,X52/T52)</f>
        <v>-1</v>
      </c>
    </row>
    <row r="53" spans="1:26" s="24" customFormat="1" hidden="1" outlineLevel="2" x14ac:dyDescent="0.25">
      <c r="A53" s="29"/>
      <c r="B53" s="11" t="str">
        <f>CONCATENATE("          ", "6237", " - ", "JANITORIAL SUPPLIES")</f>
        <v xml:space="preserve">          6237 - JANITORIAL SUPPLIES</v>
      </c>
      <c r="C53" s="11"/>
      <c r="D53" s="8"/>
      <c r="E53" s="3"/>
      <c r="F53" s="7">
        <f t="shared" si="38"/>
        <v>0</v>
      </c>
      <c r="G53" s="3"/>
      <c r="H53" s="8">
        <v>24.25</v>
      </c>
      <c r="I53" s="3"/>
      <c r="J53" s="7">
        <f t="shared" si="39"/>
        <v>1.6885763804024871E-3</v>
      </c>
      <c r="K53" s="3"/>
      <c r="L53" s="8">
        <f t="shared" si="40"/>
        <v>-24.25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24.25</v>
      </c>
      <c r="U53" s="3"/>
      <c r="V53" s="7">
        <f t="shared" si="43"/>
        <v>1.6885763804024871E-3</v>
      </c>
      <c r="W53" s="3"/>
      <c r="X53" s="8">
        <f t="shared" si="44"/>
        <v>-24.25</v>
      </c>
      <c r="Y53" s="3"/>
      <c r="Z53" s="7">
        <f t="shared" si="45"/>
        <v>-1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8"/>
      <c r="E54" s="3"/>
      <c r="F54" s="7">
        <f t="shared" si="38"/>
        <v>0</v>
      </c>
      <c r="G54" s="3"/>
      <c r="H54" s="8">
        <v>195.21</v>
      </c>
      <c r="I54" s="3"/>
      <c r="J54" s="7">
        <f t="shared" si="39"/>
        <v>1.3592865782200805E-2</v>
      </c>
      <c r="K54" s="3"/>
      <c r="L54" s="8">
        <f t="shared" si="40"/>
        <v>-195.21</v>
      </c>
      <c r="M54" s="3"/>
      <c r="N54" s="7">
        <f t="shared" si="41"/>
        <v>-1</v>
      </c>
      <c r="O54" s="11"/>
      <c r="P54" s="8"/>
      <c r="Q54" s="3"/>
      <c r="R54" s="7">
        <f t="shared" si="42"/>
        <v>0</v>
      </c>
      <c r="S54" s="3"/>
      <c r="T54" s="8">
        <v>195.21</v>
      </c>
      <c r="U54" s="3"/>
      <c r="V54" s="7">
        <f t="shared" si="43"/>
        <v>1.3592865782200805E-2</v>
      </c>
      <c r="W54" s="3"/>
      <c r="X54" s="8">
        <f t="shared" si="44"/>
        <v>-195.21</v>
      </c>
      <c r="Y54" s="3"/>
      <c r="Z54" s="7">
        <f t="shared" si="45"/>
        <v>-1</v>
      </c>
    </row>
    <row r="55" spans="1:26" s="24" customFormat="1" hidden="1" outlineLevel="2" x14ac:dyDescent="0.25">
      <c r="A55" s="29"/>
      <c r="B55" s="11" t="str">
        <f>CONCATENATE("          ", "6247", " - ", "STORE SUPPLIES")</f>
        <v xml:space="preserve">          6247 - STORE SUPPLIES</v>
      </c>
      <c r="C55" s="11"/>
      <c r="D55" s="8"/>
      <c r="E55" s="3"/>
      <c r="F55" s="7">
        <f t="shared" si="38"/>
        <v>0</v>
      </c>
      <c r="G55" s="3"/>
      <c r="H55" s="8">
        <v>884.43</v>
      </c>
      <c r="I55" s="3"/>
      <c r="J55" s="7">
        <f t="shared" si="39"/>
        <v>6.1584643633788516E-2</v>
      </c>
      <c r="K55" s="3"/>
      <c r="L55" s="8">
        <f t="shared" si="40"/>
        <v>-884.43</v>
      </c>
      <c r="M55" s="3"/>
      <c r="N55" s="7">
        <f t="shared" si="41"/>
        <v>-1</v>
      </c>
      <c r="O55" s="11"/>
      <c r="P55" s="8"/>
      <c r="Q55" s="3"/>
      <c r="R55" s="7">
        <f t="shared" si="42"/>
        <v>0</v>
      </c>
      <c r="S55" s="3"/>
      <c r="T55" s="8">
        <v>884.43</v>
      </c>
      <c r="U55" s="3"/>
      <c r="V55" s="7">
        <f t="shared" si="43"/>
        <v>6.1584643633788516E-2</v>
      </c>
      <c r="W55" s="3"/>
      <c r="X55" s="8">
        <f t="shared" si="44"/>
        <v>-884.43</v>
      </c>
      <c r="Y55" s="3"/>
      <c r="Z55" s="7">
        <f t="shared" si="45"/>
        <v>-1</v>
      </c>
    </row>
    <row r="56" spans="1:26" s="27" customFormat="1" outlineLevel="1" collapsed="1" x14ac:dyDescent="0.25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SUM(OSRRefD22_10x_0)</f>
        <v>36</v>
      </c>
      <c r="E56" s="1"/>
      <c r="F56" s="5">
        <f t="shared" ref="F56:F59" si="46">IF(D$12=0,0,D56/D$12)</f>
        <v>0</v>
      </c>
      <c r="G56" s="1"/>
      <c r="H56" s="1">
        <f>SUM(OSRRefH22_10x_0)</f>
        <v>12</v>
      </c>
      <c r="I56" s="1"/>
      <c r="J56" s="5">
        <f t="shared" ref="J56:J59" si="47">IF(H$12=0,0,H56/H$12)</f>
        <v>8.3558418824040601E-4</v>
      </c>
      <c r="K56" s="1"/>
      <c r="L56" s="1">
        <f t="shared" ref="L56:L59" si="48">+D56-H56</f>
        <v>24</v>
      </c>
      <c r="M56" s="1"/>
      <c r="N56" s="5">
        <f t="shared" ref="N56:N59" si="49">IF(H56=0,0,L56/H56)</f>
        <v>2</v>
      </c>
      <c r="O56" s="14"/>
      <c r="P56" s="1">
        <f>SUM(OSRRefP22_10x_0)</f>
        <v>36</v>
      </c>
      <c r="Q56" s="1"/>
      <c r="R56" s="5">
        <f t="shared" ref="R56:R59" si="50">IF(P$12=0,0,P56/P$12)</f>
        <v>0</v>
      </c>
      <c r="S56" s="1"/>
      <c r="T56" s="1">
        <f>SUM(OSRRefT22_10x_0)</f>
        <v>12</v>
      </c>
      <c r="U56" s="1"/>
      <c r="V56" s="5">
        <f t="shared" ref="V56:V59" si="51">IF(T$12=0,0,T56/T$12)</f>
        <v>8.3558418824040601E-4</v>
      </c>
      <c r="W56" s="1"/>
      <c r="X56" s="1">
        <f t="shared" ref="X56:X59" si="52">+P56-T56</f>
        <v>24</v>
      </c>
      <c r="Y56" s="1"/>
      <c r="Z56" s="5">
        <f t="shared" ref="Z56:Z59" si="53">IF(T56=0,0,X56/T56)</f>
        <v>2</v>
      </c>
    </row>
    <row r="57" spans="1:26" s="24" customFormat="1" hidden="1" outlineLevel="2" x14ac:dyDescent="0.25">
      <c r="A57" s="29"/>
      <c r="B57" s="11" t="str">
        <f>CONCATENATE("          ", "6309", " - ", "TELEPHONE")</f>
        <v xml:space="preserve">          6309 - TELEPHONE</v>
      </c>
      <c r="C57" s="11"/>
      <c r="D57" s="8">
        <v>36</v>
      </c>
      <c r="E57" s="3"/>
      <c r="F57" s="7">
        <f t="shared" si="46"/>
        <v>0</v>
      </c>
      <c r="G57" s="3"/>
      <c r="H57" s="8">
        <v>12</v>
      </c>
      <c r="I57" s="3"/>
      <c r="J57" s="7">
        <f t="shared" si="47"/>
        <v>8.3558418824040601E-4</v>
      </c>
      <c r="K57" s="3"/>
      <c r="L57" s="8">
        <f t="shared" si="48"/>
        <v>24</v>
      </c>
      <c r="M57" s="3"/>
      <c r="N57" s="7">
        <f t="shared" si="49"/>
        <v>2</v>
      </c>
      <c r="O57" s="11"/>
      <c r="P57" s="8">
        <v>36</v>
      </c>
      <c r="Q57" s="3"/>
      <c r="R57" s="7">
        <f t="shared" si="50"/>
        <v>0</v>
      </c>
      <c r="S57" s="3"/>
      <c r="T57" s="8">
        <v>12</v>
      </c>
      <c r="U57" s="3"/>
      <c r="V57" s="7">
        <f t="shared" si="51"/>
        <v>8.3558418824040601E-4</v>
      </c>
      <c r="W57" s="3"/>
      <c r="X57" s="8">
        <f t="shared" si="52"/>
        <v>24</v>
      </c>
      <c r="Y57" s="3"/>
      <c r="Z57" s="7">
        <f t="shared" si="53"/>
        <v>2</v>
      </c>
    </row>
    <row r="58" spans="1:26" s="27" customFormat="1" outlineLevel="1" collapsed="1" x14ac:dyDescent="0.25">
      <c r="A58" s="28"/>
      <c r="B58" s="14" t="str">
        <f>CONCATENATE("     ","Utilities                                         ")</f>
        <v xml:space="preserve">     Utilities                                         </v>
      </c>
      <c r="C58" s="14"/>
      <c r="D58" s="1">
        <f>SUM(OSRRefD22_11x_0)</f>
        <v>0</v>
      </c>
      <c r="E58" s="1"/>
      <c r="F58" s="5">
        <f t="shared" si="46"/>
        <v>0</v>
      </c>
      <c r="G58" s="1"/>
      <c r="H58" s="1">
        <f>SUM(OSRRefH22_11x_0)</f>
        <v>182</v>
      </c>
      <c r="I58" s="1"/>
      <c r="J58" s="5">
        <f t="shared" si="47"/>
        <v>1.267302685497949E-2</v>
      </c>
      <c r="K58" s="1"/>
      <c r="L58" s="1">
        <f t="shared" si="48"/>
        <v>-182</v>
      </c>
      <c r="M58" s="1"/>
      <c r="N58" s="5">
        <f t="shared" si="49"/>
        <v>-1</v>
      </c>
      <c r="O58" s="14"/>
      <c r="P58" s="1">
        <f>SUM(OSRRefP22_11x_0)</f>
        <v>0</v>
      </c>
      <c r="Q58" s="1"/>
      <c r="R58" s="5">
        <f t="shared" si="50"/>
        <v>0</v>
      </c>
      <c r="S58" s="1"/>
      <c r="T58" s="1">
        <f>SUM(OSRRefT22_11x_0)</f>
        <v>182</v>
      </c>
      <c r="U58" s="1"/>
      <c r="V58" s="5">
        <f t="shared" si="51"/>
        <v>1.267302685497949E-2</v>
      </c>
      <c r="W58" s="1"/>
      <c r="X58" s="1">
        <f t="shared" si="52"/>
        <v>-182</v>
      </c>
      <c r="Y58" s="1"/>
      <c r="Z58" s="5">
        <f t="shared" si="53"/>
        <v>-1</v>
      </c>
    </row>
    <row r="59" spans="1:26" s="24" customFormat="1" hidden="1" outlineLevel="2" x14ac:dyDescent="0.25">
      <c r="A59" s="29"/>
      <c r="B59" s="11" t="str">
        <f>CONCATENATE("          ", "6274", " - ", "UTILITIES")</f>
        <v xml:space="preserve">          6274 - UTILITIES</v>
      </c>
      <c r="C59" s="11"/>
      <c r="D59" s="8"/>
      <c r="E59" s="3"/>
      <c r="F59" s="7">
        <f t="shared" si="46"/>
        <v>0</v>
      </c>
      <c r="G59" s="3"/>
      <c r="H59" s="8">
        <v>182</v>
      </c>
      <c r="I59" s="3"/>
      <c r="J59" s="7">
        <f t="shared" si="47"/>
        <v>1.267302685497949E-2</v>
      </c>
      <c r="K59" s="3"/>
      <c r="L59" s="8">
        <f t="shared" si="48"/>
        <v>-182</v>
      </c>
      <c r="M59" s="3"/>
      <c r="N59" s="7">
        <f t="shared" si="49"/>
        <v>-1</v>
      </c>
      <c r="O59" s="11"/>
      <c r="P59" s="8"/>
      <c r="Q59" s="3"/>
      <c r="R59" s="7">
        <f t="shared" si="50"/>
        <v>0</v>
      </c>
      <c r="S59" s="3"/>
      <c r="T59" s="8">
        <v>182</v>
      </c>
      <c r="U59" s="3"/>
      <c r="V59" s="7">
        <f t="shared" si="51"/>
        <v>1.267302685497949E-2</v>
      </c>
      <c r="W59" s="3"/>
      <c r="X59" s="8">
        <f t="shared" si="52"/>
        <v>-182</v>
      </c>
      <c r="Y59" s="3"/>
      <c r="Z59" s="7">
        <f t="shared" si="53"/>
        <v>-1</v>
      </c>
    </row>
    <row r="60" spans="1:26" s="61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25">
      <c r="A63" s="10"/>
      <c r="B63" s="26" t="s">
        <v>3</v>
      </c>
      <c r="C63" s="26"/>
      <c r="D63" s="19">
        <f>+D20-D22+D61</f>
        <v>-5016.2</v>
      </c>
      <c r="E63" s="13"/>
      <c r="F63" s="20">
        <f>IF(D$12=0,0,D63/D$12)</f>
        <v>0</v>
      </c>
      <c r="G63" s="13"/>
      <c r="H63" s="19">
        <f>+H20-H22+H61</f>
        <v>-12702.850000000002</v>
      </c>
      <c r="I63" s="13"/>
      <c r="J63" s="20">
        <f>IF(H$12=0,0,H63/H$12)</f>
        <v>-0.88452505046580354</v>
      </c>
      <c r="K63" s="16"/>
      <c r="L63" s="19">
        <f>+D63-H63</f>
        <v>7686.6500000000024</v>
      </c>
      <c r="M63" s="16"/>
      <c r="N63" s="20">
        <f>IF(H63=0,0,L63/H63)</f>
        <v>-0.60511223859212704</v>
      </c>
      <c r="O63" s="25"/>
      <c r="P63" s="19">
        <f>+P20-P22+P61</f>
        <v>-5016.2</v>
      </c>
      <c r="Q63" s="13"/>
      <c r="R63" s="20">
        <f>IF(P$12=0,0,P63/P$12)</f>
        <v>0</v>
      </c>
      <c r="S63" s="13"/>
      <c r="T63" s="19">
        <f>+T20-T22+T61</f>
        <v>-12702.850000000002</v>
      </c>
      <c r="U63" s="13"/>
      <c r="V63" s="20">
        <f>IF(T$12=0,0,T63/T$12)</f>
        <v>-0.88452505046580354</v>
      </c>
      <c r="W63" s="16"/>
      <c r="X63" s="19">
        <f>+P63-T63</f>
        <v>7686.6500000000024</v>
      </c>
      <c r="Y63" s="16"/>
      <c r="Z63" s="20">
        <f>IF(T63=0,0,X63/T63)</f>
        <v>-0.60511223859212704</v>
      </c>
    </row>
    <row r="64" spans="1:26" x14ac:dyDescent="0.25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2986.12</v>
      </c>
      <c r="I65" s="4"/>
      <c r="J65" s="12">
        <f>IF(H$12=0,0,H65/H$12)</f>
        <v>0.20792955468237009</v>
      </c>
      <c r="K65" s="4"/>
      <c r="L65" s="4">
        <f>+D65-H65</f>
        <v>-2986.12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2986.12</v>
      </c>
      <c r="U65" s="4"/>
      <c r="V65" s="12">
        <f>IF(T$12=0,0,T65/T$12)</f>
        <v>0.20792955468237009</v>
      </c>
      <c r="W65" s="4"/>
      <c r="X65" s="4">
        <f>+P65-T65</f>
        <v>-2986.12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.75" thickBot="1" x14ac:dyDescent="0.3">
      <c r="A67" s="10"/>
      <c r="B67" s="26" t="s">
        <v>4</v>
      </c>
      <c r="C67" s="26"/>
      <c r="D67" s="35">
        <f>+D63-D65</f>
        <v>-5016.2</v>
      </c>
      <c r="E67" s="13"/>
      <c r="F67" s="30">
        <f>IF(D$12=0,0,D67/D$12)</f>
        <v>0</v>
      </c>
      <c r="G67" s="13"/>
      <c r="H67" s="35">
        <f>+H63-H65</f>
        <v>-15688.970000000001</v>
      </c>
      <c r="I67" s="13"/>
      <c r="J67" s="30">
        <f>IF(H$12=0,0,H67/H$12)</f>
        <v>-1.0924546051481736</v>
      </c>
      <c r="K67" s="16"/>
      <c r="L67" s="35">
        <f>D67-H67</f>
        <v>10672.77</v>
      </c>
      <c r="M67" s="16"/>
      <c r="N67" s="30">
        <f>IF(H67=0,0,L67/H67)</f>
        <v>-0.68027219122733995</v>
      </c>
      <c r="O67" s="25"/>
      <c r="P67" s="35">
        <f>+P63-P65</f>
        <v>-5016.2</v>
      </c>
      <c r="Q67" s="13"/>
      <c r="R67" s="30">
        <f>IF(P$12=0,0,P67/P$12)</f>
        <v>0</v>
      </c>
      <c r="S67" s="13"/>
      <c r="T67" s="35">
        <f>+T63-T65</f>
        <v>-15688.970000000001</v>
      </c>
      <c r="U67" s="13"/>
      <c r="V67" s="30">
        <f>IF(T$12=0,0,T67/T$12)</f>
        <v>-1.0924546051481736</v>
      </c>
      <c r="W67" s="16"/>
      <c r="X67" s="35">
        <f>P67-T67</f>
        <v>10672.77</v>
      </c>
      <c r="Y67" s="16"/>
      <c r="Z67" s="30">
        <f>IF(T67=0,0,X67/T67)</f>
        <v>-0.68027219122733995</v>
      </c>
    </row>
    <row r="68" spans="1:26" ht="15.75" thickTop="1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.75" thickBot="1" x14ac:dyDescent="0.3">
      <c r="A70" s="10"/>
      <c r="B70" s="26" t="s">
        <v>5</v>
      </c>
      <c r="C70" s="26"/>
      <c r="D70" s="31">
        <f>SUM(D67:D69)</f>
        <v>-5016.2</v>
      </c>
      <c r="E70" s="13"/>
      <c r="F70" s="32">
        <f>IF(D$12=0,0,D70/D$12)</f>
        <v>0</v>
      </c>
      <c r="G70" s="13"/>
      <c r="H70" s="31">
        <f>SUM(H67:H69)</f>
        <v>-15688.970000000001</v>
      </c>
      <c r="I70" s="13"/>
      <c r="J70" s="32">
        <f>IF(H$12=0,0,H70/H$12)</f>
        <v>-1.0924546051481736</v>
      </c>
      <c r="K70" s="16"/>
      <c r="L70" s="31">
        <f>+D70-H70</f>
        <v>10672.77</v>
      </c>
      <c r="M70" s="16"/>
      <c r="N70" s="32">
        <f>IF(H70=0,0,L70/H70)</f>
        <v>-0.68027219122733995</v>
      </c>
      <c r="O70" s="25"/>
      <c r="P70" s="31">
        <f>SUM(P67:P69)</f>
        <v>-5016.2</v>
      </c>
      <c r="Q70" s="13"/>
      <c r="R70" s="32">
        <f>IF(P$12=0,0,P70/P$12)</f>
        <v>0</v>
      </c>
      <c r="S70" s="13"/>
      <c r="T70" s="31">
        <f>SUM(T67:T69)</f>
        <v>-15688.970000000001</v>
      </c>
      <c r="U70" s="13"/>
      <c r="V70" s="32">
        <f>IF(T$12=0,0,T70/T$12)</f>
        <v>-1.0924546051481736</v>
      </c>
      <c r="W70" s="16"/>
      <c r="X70" s="31">
        <f>+P70-T70</f>
        <v>10672.77</v>
      </c>
      <c r="Y70" s="16"/>
      <c r="Z70" s="32">
        <f>IF(T70=0,0,X70/T70)</f>
        <v>-0.68027219122733995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9">
        <v>44109.414375231485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","323", " - ", "Library Copy Center")</f>
        <v>Department 323 - Library Copy Center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25">
      <c r="A22" s="10"/>
      <c r="B22" s="26" t="s">
        <v>3</v>
      </c>
      <c r="C22" s="26"/>
      <c r="D22" s="19">
        <f>+D16-D18+D20</f>
        <v>0</v>
      </c>
      <c r="E22" s="13"/>
      <c r="F22" s="20">
        <f>IF(D$12=0,0,D22/D$12)</f>
        <v>0</v>
      </c>
      <c r="G22" s="13"/>
      <c r="H22" s="19">
        <f>+H16-H18+H20</f>
        <v>0</v>
      </c>
      <c r="I22" s="13"/>
      <c r="J22" s="20">
        <f>IF(H$12=0,0,H22/H$12)</f>
        <v>0</v>
      </c>
      <c r="K22" s="16"/>
      <c r="L22" s="19">
        <f>+D22-H22</f>
        <v>0</v>
      </c>
      <c r="M22" s="16"/>
      <c r="N22" s="20">
        <f>IF(H22=0,0,L22/H22)</f>
        <v>0</v>
      </c>
      <c r="O22" s="25"/>
      <c r="P22" s="19">
        <f>+P16-P18+P20</f>
        <v>0</v>
      </c>
      <c r="Q22" s="13"/>
      <c r="R22" s="20">
        <f>IF(P$12=0,0,P22/P$12)</f>
        <v>0</v>
      </c>
      <c r="S22" s="13"/>
      <c r="T22" s="19">
        <f>+T16-T18+T20</f>
        <v>0</v>
      </c>
      <c r="U22" s="13"/>
      <c r="V22" s="20">
        <f>IF(T$12=0,0,T22/T$12)</f>
        <v>0</v>
      </c>
      <c r="W22" s="16"/>
      <c r="X22" s="19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x14ac:dyDescent="0.25">
      <c r="A28" s="9"/>
      <c r="B28" s="9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ht="15.75" thickBot="1" x14ac:dyDescent="0.3">
      <c r="A29" s="10"/>
      <c r="B29" s="26" t="s">
        <v>5</v>
      </c>
      <c r="C29" s="26"/>
      <c r="D29" s="31">
        <f>SUM(D26:D28)</f>
        <v>0</v>
      </c>
      <c r="E29" s="13"/>
      <c r="F29" s="32">
        <f>IF(D$12=0,0,D29/D$12)</f>
        <v>0</v>
      </c>
      <c r="G29" s="13"/>
      <c r="H29" s="31">
        <f>SUM(H26:H28)</f>
        <v>0</v>
      </c>
      <c r="I29" s="13"/>
      <c r="J29" s="32">
        <f>IF(H$12=0,0,H29/H$12)</f>
        <v>0</v>
      </c>
      <c r="K29" s="16"/>
      <c r="L29" s="31">
        <f>+D29-H29</f>
        <v>0</v>
      </c>
      <c r="M29" s="16"/>
      <c r="N29" s="32">
        <f>IF(H29=0,0,L29/H29)</f>
        <v>0</v>
      </c>
      <c r="O29" s="25"/>
      <c r="P29" s="31">
        <f>SUM(P26:P28)</f>
        <v>0</v>
      </c>
      <c r="Q29" s="13"/>
      <c r="R29" s="32">
        <f>IF(P$12=0,0,P29/P$12)</f>
        <v>0</v>
      </c>
      <c r="S29" s="13"/>
      <c r="T29" s="31">
        <f>SUM(T26:T28)</f>
        <v>0</v>
      </c>
      <c r="U29" s="13"/>
      <c r="V29" s="32">
        <f>IF(T$12=0,0,T29/T$12)</f>
        <v>0</v>
      </c>
      <c r="W29" s="16"/>
      <c r="X29" s="31">
        <f>+P29-T29</f>
        <v>0</v>
      </c>
      <c r="Y29" s="16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9">
        <v>44109.41439140046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2" t="s">
        <v>313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6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14491.7</v>
      </c>
      <c r="I12" s="4"/>
      <c r="J12" s="12"/>
      <c r="K12" s="4"/>
      <c r="L12" s="4">
        <f t="shared" ref="L12:L14" si="0">+D12-H12</f>
        <v>-14491.7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14491.7</v>
      </c>
      <c r="U12" s="4"/>
      <c r="V12" s="12"/>
      <c r="W12" s="4"/>
      <c r="X12" s="4">
        <f t="shared" ref="X12:X14" si="2">+P12-T12</f>
        <v>-14491.7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3">
        <f t="shared" ref="D13:D14" si="4">0</f>
        <v>0</v>
      </c>
      <c r="E13" s="3"/>
      <c r="F13" s="22"/>
      <c r="G13" s="3"/>
      <c r="H13" s="3">
        <f>--2132.37</f>
        <v>2132.37</v>
      </c>
      <c r="I13" s="3"/>
      <c r="J13" s="22"/>
      <c r="K13" s="3"/>
      <c r="L13" s="3">
        <f t="shared" si="0"/>
        <v>-2132.37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--2132.37</f>
        <v>2132.37</v>
      </c>
      <c r="U13" s="3"/>
      <c r="V13" s="22"/>
      <c r="W13" s="3"/>
      <c r="X13" s="3">
        <f t="shared" si="2"/>
        <v>-2132.37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3">
        <f t="shared" si="4"/>
        <v>0</v>
      </c>
      <c r="E14" s="3"/>
      <c r="F14" s="22"/>
      <c r="G14" s="3"/>
      <c r="H14" s="3">
        <f>--12359.33</f>
        <v>12359.33</v>
      </c>
      <c r="I14" s="3"/>
      <c r="J14" s="22"/>
      <c r="K14" s="3"/>
      <c r="L14" s="3">
        <f t="shared" si="0"/>
        <v>-12359.33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--12359.33</f>
        <v>12359.33</v>
      </c>
      <c r="U14" s="3"/>
      <c r="V14" s="22"/>
      <c r="W14" s="3"/>
      <c r="X14" s="3">
        <f t="shared" si="2"/>
        <v>-12359.33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6629.08</v>
      </c>
      <c r="I16" s="4"/>
      <c r="J16" s="12">
        <f t="shared" ref="J16:J18" si="7">IF(H$12=0,0,H16/H$12)</f>
        <v>0.45743977587170587</v>
      </c>
      <c r="K16" s="4"/>
      <c r="L16" s="4">
        <f t="shared" ref="L16:L18" si="8">+D16-H16</f>
        <v>-6629.08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6629.08</v>
      </c>
      <c r="U16" s="4"/>
      <c r="V16" s="12">
        <f t="shared" ref="V16:V18" si="11">IF(T$12=0,0,T16/T$12)</f>
        <v>0.45743977587170587</v>
      </c>
      <c r="W16" s="4"/>
      <c r="X16" s="4">
        <f t="shared" ref="X16:X18" si="12">+P16-T16</f>
        <v>-6629.08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7678.71</v>
      </c>
      <c r="I17" s="3"/>
      <c r="J17" s="22">
        <f t="shared" si="7"/>
        <v>0.52986951151348705</v>
      </c>
      <c r="K17" s="3"/>
      <c r="L17" s="3">
        <f t="shared" si="8"/>
        <v>-7678.71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7678.71</v>
      </c>
      <c r="U17" s="3"/>
      <c r="V17" s="22">
        <f t="shared" si="11"/>
        <v>0.52986951151348705</v>
      </c>
      <c r="W17" s="3"/>
      <c r="X17" s="3">
        <f t="shared" si="12"/>
        <v>-7678.71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-1049.6300000000001</v>
      </c>
      <c r="I18" s="3"/>
      <c r="J18" s="22">
        <f t="shared" si="7"/>
        <v>-7.2429735641781165E-2</v>
      </c>
      <c r="K18" s="3"/>
      <c r="L18" s="3">
        <f t="shared" si="8"/>
        <v>1049.6300000000001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-1049.6300000000001</v>
      </c>
      <c r="U18" s="3"/>
      <c r="V18" s="22">
        <f t="shared" si="11"/>
        <v>-7.2429735641781165E-2</v>
      </c>
      <c r="W18" s="3"/>
      <c r="X18" s="3">
        <f t="shared" si="12"/>
        <v>1049.6300000000001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7862.6200000000008</v>
      </c>
      <c r="I20" s="13"/>
      <c r="J20" s="20">
        <f>IF(H$12=0,0,H20/H$12)</f>
        <v>0.54256022412829419</v>
      </c>
      <c r="K20" s="16"/>
      <c r="L20" s="19">
        <f>+D20-H20</f>
        <v>-7862.6200000000008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7862.6200000000008</v>
      </c>
      <c r="U20" s="13"/>
      <c r="V20" s="20">
        <f>IF(T$12=0,0,T20/T$12)</f>
        <v>0.54256022412829419</v>
      </c>
      <c r="W20" s="16"/>
      <c r="X20" s="19">
        <f>+P20-T20</f>
        <v>-7862.6200000000008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14436.4</v>
      </c>
      <c r="E22" s="21"/>
      <c r="F22" s="34">
        <f t="shared" ref="F22:F31" si="14">IF(D$12=0,0,D22/D$12)</f>
        <v>0</v>
      </c>
      <c r="G22" s="21"/>
      <c r="H22" s="21">
        <f>SUM(OSRRefH22x_0)</f>
        <v>23831.420000000002</v>
      </c>
      <c r="I22" s="21"/>
      <c r="J22" s="34">
        <f t="shared" ref="J22:J31" si="15">IF(H$12=0,0,H22/H$12)</f>
        <v>1.6444875342437395</v>
      </c>
      <c r="K22" s="4"/>
      <c r="L22" s="21">
        <f t="shared" ref="L22:L31" si="16">+D22-H22</f>
        <v>-9395.0200000000023</v>
      </c>
      <c r="M22" s="4"/>
      <c r="N22" s="34">
        <f t="shared" ref="N22:N31" si="17">IF(H22=0,0,L22/H22)</f>
        <v>-0.394228291893643</v>
      </c>
      <c r="O22" s="10"/>
      <c r="P22" s="21">
        <f>SUM(OSRRefP22x_0)</f>
        <v>14436.4</v>
      </c>
      <c r="Q22" s="21"/>
      <c r="R22" s="34">
        <f t="shared" ref="R22:R31" si="18">IF(P$12=0,0,P22/P$12)</f>
        <v>0</v>
      </c>
      <c r="S22" s="21"/>
      <c r="T22" s="21">
        <f>SUM(OSRRefT22x_0)</f>
        <v>23831.420000000002</v>
      </c>
      <c r="U22" s="21"/>
      <c r="V22" s="34">
        <f t="shared" ref="V22:V31" si="19">IF(T$12=0,0,T22/T$12)</f>
        <v>1.6444875342437395</v>
      </c>
      <c r="W22" s="4"/>
      <c r="X22" s="21">
        <f t="shared" ref="X22:X31" si="20">+P22-T22</f>
        <v>-9395.0200000000023</v>
      </c>
      <c r="Y22" s="4"/>
      <c r="Z22" s="34">
        <f t="shared" ref="Z22:Z31" si="21">IF(T22=0,0,X22/T22)</f>
        <v>-0.394228291893643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2889.72</v>
      </c>
      <c r="E23" s="1"/>
      <c r="F23" s="5">
        <f t="shared" si="14"/>
        <v>0</v>
      </c>
      <c r="G23" s="1"/>
      <c r="H23" s="1">
        <f>SUM(OSRRefH22_0x_0)</f>
        <v>3963.5499999999997</v>
      </c>
      <c r="I23" s="1"/>
      <c r="J23" s="5">
        <f t="shared" si="15"/>
        <v>0.27350483380141732</v>
      </c>
      <c r="K23" s="1"/>
      <c r="L23" s="1">
        <f t="shared" si="16"/>
        <v>-1073.83</v>
      </c>
      <c r="M23" s="1"/>
      <c r="N23" s="5">
        <f t="shared" si="17"/>
        <v>-0.27092631605505169</v>
      </c>
      <c r="O23" s="14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3963.5499999999997</v>
      </c>
      <c r="U23" s="1"/>
      <c r="V23" s="5">
        <f t="shared" si="19"/>
        <v>0.27350483380141732</v>
      </c>
      <c r="W23" s="1"/>
      <c r="X23" s="1">
        <f t="shared" si="20"/>
        <v>-1073.83</v>
      </c>
      <c r="Y23" s="1"/>
      <c r="Z23" s="5">
        <f t="shared" si="21"/>
        <v>-0.27092631605505169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159.12</v>
      </c>
      <c r="E24" s="3"/>
      <c r="F24" s="7">
        <f t="shared" si="14"/>
        <v>0</v>
      </c>
      <c r="G24" s="3"/>
      <c r="H24" s="8">
        <v>461.45</v>
      </c>
      <c r="I24" s="3"/>
      <c r="J24" s="7">
        <f t="shared" si="15"/>
        <v>3.1842364939931131E-2</v>
      </c>
      <c r="K24" s="3"/>
      <c r="L24" s="8">
        <f t="shared" si="16"/>
        <v>-302.33</v>
      </c>
      <c r="M24" s="3"/>
      <c r="N24" s="7">
        <f t="shared" si="17"/>
        <v>-0.65517390833243039</v>
      </c>
      <c r="O24" s="11"/>
      <c r="P24" s="8">
        <v>159.12</v>
      </c>
      <c r="Q24" s="3"/>
      <c r="R24" s="7">
        <f t="shared" si="18"/>
        <v>0</v>
      </c>
      <c r="S24" s="3"/>
      <c r="T24" s="8">
        <v>461.45</v>
      </c>
      <c r="U24" s="3"/>
      <c r="V24" s="7">
        <f t="shared" si="19"/>
        <v>3.1842364939931131E-2</v>
      </c>
      <c r="W24" s="3"/>
      <c r="X24" s="8">
        <f t="shared" si="20"/>
        <v>-302.33</v>
      </c>
      <c r="Y24" s="3"/>
      <c r="Z24" s="7">
        <f t="shared" si="21"/>
        <v>-0.65517390833243039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202.56</v>
      </c>
      <c r="I25" s="3"/>
      <c r="J25" s="7">
        <f t="shared" si="15"/>
        <v>1.3977656175603965E-2</v>
      </c>
      <c r="K25" s="3"/>
      <c r="L25" s="8">
        <f t="shared" si="16"/>
        <v>-202.56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202.56</v>
      </c>
      <c r="U25" s="3"/>
      <c r="V25" s="7">
        <f t="shared" si="19"/>
        <v>1.3977656175603965E-2</v>
      </c>
      <c r="W25" s="3"/>
      <c r="X25" s="8">
        <f t="shared" si="20"/>
        <v>-202.56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1915.63</v>
      </c>
      <c r="E26" s="3"/>
      <c r="F26" s="7">
        <f t="shared" si="14"/>
        <v>0</v>
      </c>
      <c r="G26" s="3"/>
      <c r="H26" s="8">
        <v>2283.4699999999998</v>
      </c>
      <c r="I26" s="3"/>
      <c r="J26" s="7">
        <f t="shared" si="15"/>
        <v>0.1575708854033688</v>
      </c>
      <c r="K26" s="3"/>
      <c r="L26" s="8">
        <f t="shared" si="16"/>
        <v>-367.83999999999969</v>
      </c>
      <c r="M26" s="3"/>
      <c r="N26" s="7">
        <f t="shared" si="17"/>
        <v>-0.1610881684453922</v>
      </c>
      <c r="O26" s="11"/>
      <c r="P26" s="8">
        <v>1915.63</v>
      </c>
      <c r="Q26" s="3"/>
      <c r="R26" s="7">
        <f t="shared" si="18"/>
        <v>0</v>
      </c>
      <c r="S26" s="3"/>
      <c r="T26" s="8">
        <v>2283.4699999999998</v>
      </c>
      <c r="U26" s="3"/>
      <c r="V26" s="7">
        <f t="shared" si="19"/>
        <v>0.1575708854033688</v>
      </c>
      <c r="W26" s="3"/>
      <c r="X26" s="8">
        <f t="shared" si="20"/>
        <v>-367.83999999999969</v>
      </c>
      <c r="Y26" s="3"/>
      <c r="Z26" s="7">
        <f t="shared" si="21"/>
        <v>-0.1610881684453922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17.309999999999999</v>
      </c>
      <c r="I27" s="3"/>
      <c r="J27" s="7">
        <f t="shared" si="15"/>
        <v>1.1944768384661564E-3</v>
      </c>
      <c r="K27" s="3"/>
      <c r="L27" s="8">
        <f t="shared" si="16"/>
        <v>-17.309999999999999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17.309999999999999</v>
      </c>
      <c r="U27" s="3"/>
      <c r="V27" s="7">
        <f t="shared" si="19"/>
        <v>1.1944768384661564E-3</v>
      </c>
      <c r="W27" s="3"/>
      <c r="X27" s="8">
        <f t="shared" si="20"/>
        <v>-17.309999999999999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458.89</v>
      </c>
      <c r="E28" s="3"/>
      <c r="F28" s="7">
        <f t="shared" si="14"/>
        <v>0</v>
      </c>
      <c r="G28" s="3"/>
      <c r="H28" s="8">
        <v>392.49</v>
      </c>
      <c r="I28" s="3"/>
      <c r="J28" s="7">
        <f t="shared" si="15"/>
        <v>2.7083778990732627E-2</v>
      </c>
      <c r="K28" s="3"/>
      <c r="L28" s="8">
        <f t="shared" si="16"/>
        <v>66.399999999999977</v>
      </c>
      <c r="M28" s="3"/>
      <c r="N28" s="7">
        <f t="shared" si="17"/>
        <v>0.16917628474610813</v>
      </c>
      <c r="O28" s="11"/>
      <c r="P28" s="8">
        <v>458.89</v>
      </c>
      <c r="Q28" s="3"/>
      <c r="R28" s="7">
        <f t="shared" si="18"/>
        <v>0</v>
      </c>
      <c r="S28" s="3"/>
      <c r="T28" s="8">
        <v>392.49</v>
      </c>
      <c r="U28" s="3"/>
      <c r="V28" s="7">
        <f t="shared" si="19"/>
        <v>2.7083778990732627E-2</v>
      </c>
      <c r="W28" s="3"/>
      <c r="X28" s="8">
        <f t="shared" si="20"/>
        <v>66.399999999999977</v>
      </c>
      <c r="Y28" s="3"/>
      <c r="Z28" s="7">
        <f t="shared" si="21"/>
        <v>0.16917628474610813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152.1</v>
      </c>
      <c r="E29" s="3"/>
      <c r="F29" s="7">
        <f t="shared" si="14"/>
        <v>0</v>
      </c>
      <c r="G29" s="3"/>
      <c r="H29" s="8">
        <v>280.8</v>
      </c>
      <c r="I29" s="3"/>
      <c r="J29" s="7">
        <f t="shared" si="15"/>
        <v>1.9376608679450995E-2</v>
      </c>
      <c r="K29" s="3"/>
      <c r="L29" s="8">
        <f t="shared" si="16"/>
        <v>-128.70000000000002</v>
      </c>
      <c r="M29" s="3"/>
      <c r="N29" s="7">
        <f t="shared" si="17"/>
        <v>-0.45833333333333337</v>
      </c>
      <c r="O29" s="11"/>
      <c r="P29" s="8">
        <v>152.1</v>
      </c>
      <c r="Q29" s="3"/>
      <c r="R29" s="7">
        <f t="shared" si="18"/>
        <v>0</v>
      </c>
      <c r="S29" s="3"/>
      <c r="T29" s="8">
        <v>280.8</v>
      </c>
      <c r="U29" s="3"/>
      <c r="V29" s="7">
        <f t="shared" si="19"/>
        <v>1.9376608679450995E-2</v>
      </c>
      <c r="W29" s="3"/>
      <c r="X29" s="8">
        <f t="shared" si="20"/>
        <v>-128.70000000000002</v>
      </c>
      <c r="Y29" s="3"/>
      <c r="Z29" s="7">
        <f t="shared" si="21"/>
        <v>-0.45833333333333337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203.98</v>
      </c>
      <c r="E30" s="3"/>
      <c r="F30" s="7">
        <f t="shared" si="14"/>
        <v>0</v>
      </c>
      <c r="G30" s="3"/>
      <c r="H30" s="8">
        <v>177.12</v>
      </c>
      <c r="I30" s="3"/>
      <c r="J30" s="7">
        <f t="shared" si="15"/>
        <v>1.2222168551653706E-2</v>
      </c>
      <c r="K30" s="3"/>
      <c r="L30" s="8">
        <f t="shared" si="16"/>
        <v>26.859999999999985</v>
      </c>
      <c r="M30" s="3"/>
      <c r="N30" s="7">
        <f t="shared" si="17"/>
        <v>0.15164859981933143</v>
      </c>
      <c r="O30" s="11"/>
      <c r="P30" s="8">
        <v>203.98</v>
      </c>
      <c r="Q30" s="3"/>
      <c r="R30" s="7">
        <f t="shared" si="18"/>
        <v>0</v>
      </c>
      <c r="S30" s="3"/>
      <c r="T30" s="8">
        <v>177.12</v>
      </c>
      <c r="U30" s="3"/>
      <c r="V30" s="7">
        <f t="shared" si="19"/>
        <v>1.2222168551653706E-2</v>
      </c>
      <c r="W30" s="3"/>
      <c r="X30" s="8">
        <f t="shared" si="20"/>
        <v>26.859999999999985</v>
      </c>
      <c r="Y30" s="3"/>
      <c r="Z30" s="7">
        <f t="shared" si="21"/>
        <v>0.15164859981933143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148.35</v>
      </c>
      <c r="I31" s="3"/>
      <c r="J31" s="7">
        <f t="shared" si="15"/>
        <v>1.0236894222209953E-2</v>
      </c>
      <c r="K31" s="3"/>
      <c r="L31" s="8">
        <f t="shared" si="16"/>
        <v>-148.35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148.35</v>
      </c>
      <c r="U31" s="3"/>
      <c r="V31" s="7">
        <f t="shared" si="19"/>
        <v>1.0236894222209953E-2</v>
      </c>
      <c r="W31" s="3"/>
      <c r="X31" s="8">
        <f t="shared" si="20"/>
        <v>-148.35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884</v>
      </c>
      <c r="E32" s="1"/>
      <c r="F32" s="5">
        <f t="shared" ref="F32:F36" si="22">IF(D$12=0,0,D32/D$12)</f>
        <v>0</v>
      </c>
      <c r="G32" s="1"/>
      <c r="H32" s="1">
        <f>SUM(OSRRefH22_1x_0)</f>
        <v>7111.94</v>
      </c>
      <c r="I32" s="1"/>
      <c r="J32" s="5">
        <f t="shared" ref="J32:J36" si="23">IF(H$12=0,0,H32/H$12)</f>
        <v>0.49075953821842844</v>
      </c>
      <c r="K32" s="1"/>
      <c r="L32" s="1">
        <f t="shared" ref="L32:L36" si="24">+D32-H32</f>
        <v>-6227.94</v>
      </c>
      <c r="M32" s="1"/>
      <c r="N32" s="5">
        <f t="shared" ref="N32:N36" si="25">IF(H32=0,0,L32/H32)</f>
        <v>-0.87570198848696701</v>
      </c>
      <c r="O32" s="14"/>
      <c r="P32" s="1">
        <f>SUM(OSRRefP22_1x_0)</f>
        <v>884</v>
      </c>
      <c r="Q32" s="1"/>
      <c r="R32" s="5">
        <f t="shared" ref="R32:R36" si="26">IF(P$12=0,0,P32/P$12)</f>
        <v>0</v>
      </c>
      <c r="S32" s="1"/>
      <c r="T32" s="1">
        <f>SUM(OSRRefT22_1x_0)</f>
        <v>7111.94</v>
      </c>
      <c r="U32" s="1"/>
      <c r="V32" s="5">
        <f t="shared" ref="V32:V36" si="27">IF(T$12=0,0,T32/T$12)</f>
        <v>0.49075953821842844</v>
      </c>
      <c r="W32" s="1"/>
      <c r="X32" s="1">
        <f t="shared" ref="X32:X36" si="28">+P32-T32</f>
        <v>-6227.94</v>
      </c>
      <c r="Y32" s="1"/>
      <c r="Z32" s="5">
        <f t="shared" ref="Z32:Z36" si="29">IF(T32=0,0,X32/T32)</f>
        <v>-0.87570198848696701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884</v>
      </c>
      <c r="E33" s="3"/>
      <c r="F33" s="7">
        <f t="shared" si="22"/>
        <v>0</v>
      </c>
      <c r="G33" s="3"/>
      <c r="H33" s="8">
        <v>4224</v>
      </c>
      <c r="I33" s="3"/>
      <c r="J33" s="7">
        <f t="shared" si="23"/>
        <v>0.29147719039174147</v>
      </c>
      <c r="K33" s="3"/>
      <c r="L33" s="8">
        <f t="shared" si="24"/>
        <v>-3340</v>
      </c>
      <c r="M33" s="3"/>
      <c r="N33" s="7">
        <f t="shared" si="25"/>
        <v>-0.79071969696969702</v>
      </c>
      <c r="O33" s="11"/>
      <c r="P33" s="8">
        <v>884</v>
      </c>
      <c r="Q33" s="3"/>
      <c r="R33" s="7">
        <f t="shared" si="26"/>
        <v>0</v>
      </c>
      <c r="S33" s="3"/>
      <c r="T33" s="8">
        <v>4224</v>
      </c>
      <c r="U33" s="3"/>
      <c r="V33" s="7">
        <f t="shared" si="27"/>
        <v>0.29147719039174147</v>
      </c>
      <c r="W33" s="3"/>
      <c r="X33" s="8">
        <f t="shared" si="28"/>
        <v>-3340</v>
      </c>
      <c r="Y33" s="3"/>
      <c r="Z33" s="7">
        <f t="shared" si="29"/>
        <v>-0.79071969696969702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62.69</v>
      </c>
      <c r="I34" s="3"/>
      <c r="J34" s="7">
        <f t="shared" si="23"/>
        <v>4.3259244947107655E-3</v>
      </c>
      <c r="K34" s="3"/>
      <c r="L34" s="8">
        <f t="shared" si="24"/>
        <v>-62.69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62.69</v>
      </c>
      <c r="U34" s="3"/>
      <c r="V34" s="7">
        <f t="shared" si="27"/>
        <v>4.3259244947107655E-3</v>
      </c>
      <c r="W34" s="3"/>
      <c r="X34" s="8">
        <f t="shared" si="28"/>
        <v>-62.69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8"/>
      <c r="E35" s="3"/>
      <c r="F35" s="7">
        <f t="shared" si="22"/>
        <v>0</v>
      </c>
      <c r="G35" s="3"/>
      <c r="H35" s="8">
        <v>2717.25</v>
      </c>
      <c r="I35" s="3"/>
      <c r="J35" s="7">
        <f t="shared" si="23"/>
        <v>0.18750388153218739</v>
      </c>
      <c r="K35" s="3"/>
      <c r="L35" s="8">
        <f t="shared" si="24"/>
        <v>-2717.25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2717.25</v>
      </c>
      <c r="U35" s="3"/>
      <c r="V35" s="7">
        <f t="shared" si="27"/>
        <v>0.18750388153218739</v>
      </c>
      <c r="W35" s="3"/>
      <c r="X35" s="8">
        <f t="shared" si="28"/>
        <v>-2717.25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8"/>
      <c r="E36" s="3"/>
      <c r="F36" s="7">
        <f t="shared" si="22"/>
        <v>0</v>
      </c>
      <c r="G36" s="3"/>
      <c r="H36" s="8">
        <v>108</v>
      </c>
      <c r="I36" s="3"/>
      <c r="J36" s="7">
        <f t="shared" si="23"/>
        <v>7.4525417997888446E-3</v>
      </c>
      <c r="K36" s="3"/>
      <c r="L36" s="8">
        <f t="shared" si="24"/>
        <v>-108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108</v>
      </c>
      <c r="U36" s="3"/>
      <c r="V36" s="7">
        <f t="shared" si="27"/>
        <v>7.4525417997888446E-3</v>
      </c>
      <c r="W36" s="3"/>
      <c r="X36" s="8">
        <f t="shared" si="28"/>
        <v>-108</v>
      </c>
      <c r="Y36" s="3"/>
      <c r="Z36" s="7">
        <f t="shared" si="29"/>
        <v>-1</v>
      </c>
    </row>
    <row r="37" spans="1:26" s="27" customFormat="1" outlineLevel="1" collapsed="1" x14ac:dyDescent="0.25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SUM(OSRRefD22_2x_0)</f>
        <v>0</v>
      </c>
      <c r="E37" s="1"/>
      <c r="F37" s="5">
        <f t="shared" ref="F37:F43" si="30">IF(D$12=0,0,D37/D$12)</f>
        <v>0</v>
      </c>
      <c r="G37" s="1"/>
      <c r="H37" s="1">
        <f>SUM(OSRRefH22_2x_0)</f>
        <v>-7.77</v>
      </c>
      <c r="I37" s="1"/>
      <c r="J37" s="5">
        <f t="shared" ref="J37:J43" si="31">IF(H$12=0,0,H37/H$12)</f>
        <v>-5.3616897948480853E-4</v>
      </c>
      <c r="K37" s="1"/>
      <c r="L37" s="1">
        <f t="shared" ref="L37:L43" si="32">+D37-H37</f>
        <v>7.77</v>
      </c>
      <c r="M37" s="1"/>
      <c r="N37" s="5">
        <f t="shared" ref="N37:N43" si="33">IF(H37=0,0,L37/H37)</f>
        <v>-1</v>
      </c>
      <c r="O37" s="14"/>
      <c r="P37" s="1">
        <f>SUM(OSRRefP22_2x_0)</f>
        <v>0</v>
      </c>
      <c r="Q37" s="1"/>
      <c r="R37" s="5">
        <f t="shared" ref="R37:R43" si="34">IF(P$12=0,0,P37/P$12)</f>
        <v>0</v>
      </c>
      <c r="S37" s="1"/>
      <c r="T37" s="1">
        <f>SUM(OSRRefT22_2x_0)</f>
        <v>-7.77</v>
      </c>
      <c r="U37" s="1"/>
      <c r="V37" s="5">
        <f t="shared" ref="V37:V43" si="35">IF(T$12=0,0,T37/T$12)</f>
        <v>-5.3616897948480853E-4</v>
      </c>
      <c r="W37" s="1"/>
      <c r="X37" s="1">
        <f t="shared" ref="X37:X43" si="36">+P37-T37</f>
        <v>7.77</v>
      </c>
      <c r="Y37" s="1"/>
      <c r="Z37" s="5">
        <f t="shared" ref="Z37:Z43" si="37">IF(T37=0,0,X37/T37)</f>
        <v>-1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8"/>
      <c r="E38" s="3"/>
      <c r="F38" s="7">
        <f t="shared" si="30"/>
        <v>0</v>
      </c>
      <c r="G38" s="3"/>
      <c r="H38" s="8">
        <v>-7.77</v>
      </c>
      <c r="I38" s="3"/>
      <c r="J38" s="7">
        <f t="shared" si="31"/>
        <v>-5.3616897948480853E-4</v>
      </c>
      <c r="K38" s="3"/>
      <c r="L38" s="8">
        <f t="shared" si="32"/>
        <v>7.77</v>
      </c>
      <c r="M38" s="3"/>
      <c r="N38" s="7">
        <f t="shared" si="33"/>
        <v>-1</v>
      </c>
      <c r="O38" s="11"/>
      <c r="P38" s="8"/>
      <c r="Q38" s="3"/>
      <c r="R38" s="7">
        <f t="shared" si="34"/>
        <v>0</v>
      </c>
      <c r="S38" s="3"/>
      <c r="T38" s="8">
        <v>-7.77</v>
      </c>
      <c r="U38" s="3"/>
      <c r="V38" s="7">
        <f t="shared" si="35"/>
        <v>-5.3616897948480853E-4</v>
      </c>
      <c r="W38" s="3"/>
      <c r="X38" s="8">
        <f t="shared" si="36"/>
        <v>7.77</v>
      </c>
      <c r="Y38" s="3"/>
      <c r="Z38" s="7">
        <f t="shared" si="37"/>
        <v>-1</v>
      </c>
    </row>
    <row r="39" spans="1:26" s="27" customFormat="1" outlineLevel="1" collapsed="1" x14ac:dyDescent="0.25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403.75</v>
      </c>
      <c r="I39" s="1"/>
      <c r="J39" s="5">
        <f t="shared" si="31"/>
        <v>2.7860775478377276E-2</v>
      </c>
      <c r="K39" s="1"/>
      <c r="L39" s="1">
        <f t="shared" si="32"/>
        <v>-403.75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403.75</v>
      </c>
      <c r="U39" s="1"/>
      <c r="V39" s="5">
        <f t="shared" si="35"/>
        <v>2.7860775478377276E-2</v>
      </c>
      <c r="W39" s="1"/>
      <c r="X39" s="1">
        <f t="shared" si="36"/>
        <v>-403.75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8"/>
      <c r="E40" s="3"/>
      <c r="F40" s="7">
        <f t="shared" si="30"/>
        <v>0</v>
      </c>
      <c r="G40" s="3"/>
      <c r="H40" s="8">
        <v>403.75</v>
      </c>
      <c r="I40" s="3"/>
      <c r="J40" s="7">
        <f t="shared" si="31"/>
        <v>2.7860775478377276E-2</v>
      </c>
      <c r="K40" s="3"/>
      <c r="L40" s="8">
        <f t="shared" si="32"/>
        <v>-403.75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403.75</v>
      </c>
      <c r="U40" s="3"/>
      <c r="V40" s="7">
        <f t="shared" si="35"/>
        <v>2.7860775478377276E-2</v>
      </c>
      <c r="W40" s="3"/>
      <c r="X40" s="8">
        <f t="shared" si="36"/>
        <v>-403.75</v>
      </c>
      <c r="Y40" s="3"/>
      <c r="Z40" s="7">
        <f t="shared" si="37"/>
        <v>-1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SUM(OSRRefD22_4x_0)</f>
        <v>5582.59</v>
      </c>
      <c r="E41" s="1"/>
      <c r="F41" s="5">
        <f t="shared" si="30"/>
        <v>0</v>
      </c>
      <c r="G41" s="1"/>
      <c r="H41" s="1">
        <f>SUM(OSRRefH22_4x_0)</f>
        <v>5421.37</v>
      </c>
      <c r="I41" s="1"/>
      <c r="J41" s="5">
        <f t="shared" si="31"/>
        <v>0.37410172719556711</v>
      </c>
      <c r="K41" s="1"/>
      <c r="L41" s="1">
        <f t="shared" si="32"/>
        <v>161.22000000000025</v>
      </c>
      <c r="M41" s="1"/>
      <c r="N41" s="5">
        <f t="shared" si="33"/>
        <v>2.9737870685823002E-2</v>
      </c>
      <c r="O41" s="14"/>
      <c r="P41" s="1">
        <f>SUM(OSRRefP22_4x_0)</f>
        <v>5582.59</v>
      </c>
      <c r="Q41" s="1"/>
      <c r="R41" s="5">
        <f t="shared" si="34"/>
        <v>0</v>
      </c>
      <c r="S41" s="1"/>
      <c r="T41" s="1">
        <f>SUM(OSRRefT22_4x_0)</f>
        <v>5421.37</v>
      </c>
      <c r="U41" s="1"/>
      <c r="V41" s="5">
        <f t="shared" si="35"/>
        <v>0.37410172719556711</v>
      </c>
      <c r="W41" s="1"/>
      <c r="X41" s="1">
        <f t="shared" si="36"/>
        <v>161.22000000000025</v>
      </c>
      <c r="Y41" s="1"/>
      <c r="Z41" s="5">
        <f t="shared" si="37"/>
        <v>2.9737870685823002E-2</v>
      </c>
    </row>
    <row r="42" spans="1:26" s="24" customFormat="1" hidden="1" outlineLevel="2" x14ac:dyDescent="0.25">
      <c r="A42" s="29"/>
      <c r="B42" s="11" t="str">
        <f>CONCATENATE("          ", "6321", " - ", "BUILDING DEPRECIATION")</f>
        <v xml:space="preserve">          6321 - BUILDING DEPRECIATION</v>
      </c>
      <c r="C42" s="11"/>
      <c r="D42" s="8">
        <v>5080.51</v>
      </c>
      <c r="E42" s="3"/>
      <c r="F42" s="7">
        <f t="shared" si="30"/>
        <v>0</v>
      </c>
      <c r="G42" s="3"/>
      <c r="H42" s="8">
        <v>5080.51</v>
      </c>
      <c r="I42" s="3"/>
      <c r="J42" s="7">
        <f t="shared" si="31"/>
        <v>0.35058067721523356</v>
      </c>
      <c r="K42" s="3"/>
      <c r="L42" s="8">
        <f t="shared" si="32"/>
        <v>0</v>
      </c>
      <c r="M42" s="3"/>
      <c r="N42" s="7">
        <f t="shared" si="33"/>
        <v>0</v>
      </c>
      <c r="O42" s="11"/>
      <c r="P42" s="8">
        <v>5080.51</v>
      </c>
      <c r="Q42" s="3"/>
      <c r="R42" s="7">
        <f t="shared" si="34"/>
        <v>0</v>
      </c>
      <c r="S42" s="3"/>
      <c r="T42" s="8">
        <v>5080.51</v>
      </c>
      <c r="U42" s="3"/>
      <c r="V42" s="7">
        <f t="shared" si="35"/>
        <v>0.35058067721523356</v>
      </c>
      <c r="W42" s="3"/>
      <c r="X42" s="8">
        <f t="shared" si="36"/>
        <v>0</v>
      </c>
      <c r="Y42" s="3"/>
      <c r="Z42" s="7">
        <f t="shared" si="37"/>
        <v>0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8">
        <v>502.08</v>
      </c>
      <c r="E43" s="3"/>
      <c r="F43" s="7">
        <f t="shared" si="30"/>
        <v>0</v>
      </c>
      <c r="G43" s="3"/>
      <c r="H43" s="8">
        <v>340.86</v>
      </c>
      <c r="I43" s="3"/>
      <c r="J43" s="7">
        <f t="shared" si="31"/>
        <v>2.352104998033357E-2</v>
      </c>
      <c r="K43" s="3"/>
      <c r="L43" s="8">
        <f t="shared" si="32"/>
        <v>161.21999999999997</v>
      </c>
      <c r="M43" s="3"/>
      <c r="N43" s="7">
        <f t="shared" si="33"/>
        <v>0.47298010913571542</v>
      </c>
      <c r="O43" s="11"/>
      <c r="P43" s="8">
        <v>502.08</v>
      </c>
      <c r="Q43" s="3"/>
      <c r="R43" s="7">
        <f t="shared" si="34"/>
        <v>0</v>
      </c>
      <c r="S43" s="3"/>
      <c r="T43" s="8">
        <v>340.86</v>
      </c>
      <c r="U43" s="3"/>
      <c r="V43" s="7">
        <f t="shared" si="35"/>
        <v>2.352104998033357E-2</v>
      </c>
      <c r="W43" s="3"/>
      <c r="X43" s="8">
        <f t="shared" si="36"/>
        <v>161.21999999999997</v>
      </c>
      <c r="Y43" s="3"/>
      <c r="Z43" s="7">
        <f t="shared" si="37"/>
        <v>0.47298010913571542</v>
      </c>
    </row>
    <row r="44" spans="1:26" s="27" customFormat="1" outlineLevel="1" collapsed="1" x14ac:dyDescent="0.25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SUM(OSRRefD22_5x_0)</f>
        <v>0</v>
      </c>
      <c r="E44" s="1"/>
      <c r="F44" s="5">
        <f t="shared" ref="F44:F55" si="38">IF(D$12=0,0,D44/D$12)</f>
        <v>0</v>
      </c>
      <c r="G44" s="1"/>
      <c r="H44" s="1">
        <f>SUM(OSRRefH22_5x_0)</f>
        <v>146.47</v>
      </c>
      <c r="I44" s="1"/>
      <c r="J44" s="5">
        <f t="shared" ref="J44:J55" si="39">IF(H$12=0,0,H44/H$12)</f>
        <v>1.0107164790880297E-2</v>
      </c>
      <c r="K44" s="1"/>
      <c r="L44" s="1">
        <f t="shared" ref="L44:L55" si="40">+D44-H44</f>
        <v>-146.47</v>
      </c>
      <c r="M44" s="1"/>
      <c r="N44" s="5">
        <f t="shared" ref="N44:N55" si="41">IF(H44=0,0,L44/H44)</f>
        <v>-1</v>
      </c>
      <c r="O44" s="14"/>
      <c r="P44" s="1">
        <f>SUM(OSRRefP22_5x_0)</f>
        <v>0</v>
      </c>
      <c r="Q44" s="1"/>
      <c r="R44" s="5">
        <f t="shared" ref="R44:R55" si="42">IF(P$12=0,0,P44/P$12)</f>
        <v>0</v>
      </c>
      <c r="S44" s="1"/>
      <c r="T44" s="1">
        <f>SUM(OSRRefT22_5x_0)</f>
        <v>146.47</v>
      </c>
      <c r="U44" s="1"/>
      <c r="V44" s="5">
        <f t="shared" ref="V44:V55" si="43">IF(T$12=0,0,T44/T$12)</f>
        <v>1.0107164790880297E-2</v>
      </c>
      <c r="W44" s="1"/>
      <c r="X44" s="1">
        <f t="shared" ref="X44:X55" si="44">+P44-T44</f>
        <v>-146.47</v>
      </c>
      <c r="Y44" s="1"/>
      <c r="Z44" s="5">
        <f t="shared" ref="Z44:Z55" si="45">IF(T44=0,0,X44/T44)</f>
        <v>-1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8"/>
      <c r="E45" s="3"/>
      <c r="F45" s="7">
        <f t="shared" si="38"/>
        <v>0</v>
      </c>
      <c r="G45" s="3"/>
      <c r="H45" s="8">
        <v>146.47</v>
      </c>
      <c r="I45" s="3"/>
      <c r="J45" s="7">
        <f t="shared" si="39"/>
        <v>1.0107164790880297E-2</v>
      </c>
      <c r="K45" s="3"/>
      <c r="L45" s="8">
        <f t="shared" si="40"/>
        <v>-146.47</v>
      </c>
      <c r="M45" s="3"/>
      <c r="N45" s="7">
        <f t="shared" si="41"/>
        <v>-1</v>
      </c>
      <c r="O45" s="11"/>
      <c r="P45" s="8"/>
      <c r="Q45" s="3"/>
      <c r="R45" s="7">
        <f t="shared" si="42"/>
        <v>0</v>
      </c>
      <c r="S45" s="3"/>
      <c r="T45" s="8">
        <v>146.47</v>
      </c>
      <c r="U45" s="3"/>
      <c r="V45" s="7">
        <f t="shared" si="43"/>
        <v>1.0107164790880297E-2</v>
      </c>
      <c r="W45" s="3"/>
      <c r="X45" s="8">
        <f t="shared" si="44"/>
        <v>-146.47</v>
      </c>
      <c r="Y45" s="3"/>
      <c r="Z45" s="7">
        <f t="shared" si="45"/>
        <v>-1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754.55</v>
      </c>
      <c r="E46" s="1"/>
      <c r="F46" s="5">
        <f t="shared" si="38"/>
        <v>0</v>
      </c>
      <c r="G46" s="1"/>
      <c r="H46" s="1">
        <f>SUM(OSRRefH22_6x_0)</f>
        <v>740.3</v>
      </c>
      <c r="I46" s="1"/>
      <c r="J46" s="5">
        <f t="shared" si="39"/>
        <v>5.1084413836885938E-2</v>
      </c>
      <c r="K46" s="1"/>
      <c r="L46" s="1">
        <f t="shared" si="40"/>
        <v>14.25</v>
      </c>
      <c r="M46" s="1"/>
      <c r="N46" s="5">
        <f t="shared" si="41"/>
        <v>1.9248953127110634E-2</v>
      </c>
      <c r="O46" s="14"/>
      <c r="P46" s="1">
        <f>SUM(OSRRefP22_6x_0)</f>
        <v>754.55</v>
      </c>
      <c r="Q46" s="1"/>
      <c r="R46" s="5">
        <f t="shared" si="42"/>
        <v>0</v>
      </c>
      <c r="S46" s="1"/>
      <c r="T46" s="1">
        <f>SUM(OSRRefT22_6x_0)</f>
        <v>740.3</v>
      </c>
      <c r="U46" s="1"/>
      <c r="V46" s="5">
        <f t="shared" si="43"/>
        <v>5.1084413836885938E-2</v>
      </c>
      <c r="W46" s="1"/>
      <c r="X46" s="1">
        <f t="shared" si="44"/>
        <v>14.25</v>
      </c>
      <c r="Y46" s="1"/>
      <c r="Z46" s="5">
        <f t="shared" si="45"/>
        <v>1.9248953127110634E-2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8">
        <v>754.55</v>
      </c>
      <c r="E47" s="3"/>
      <c r="F47" s="7">
        <f t="shared" si="38"/>
        <v>0</v>
      </c>
      <c r="G47" s="3"/>
      <c r="H47" s="8">
        <v>740.3</v>
      </c>
      <c r="I47" s="3"/>
      <c r="J47" s="7">
        <f t="shared" si="39"/>
        <v>5.1084413836885938E-2</v>
      </c>
      <c r="K47" s="3"/>
      <c r="L47" s="8">
        <f t="shared" si="40"/>
        <v>14.25</v>
      </c>
      <c r="M47" s="3"/>
      <c r="N47" s="7">
        <f t="shared" si="41"/>
        <v>1.9248953127110634E-2</v>
      </c>
      <c r="O47" s="11"/>
      <c r="P47" s="8">
        <v>754.55</v>
      </c>
      <c r="Q47" s="3"/>
      <c r="R47" s="7">
        <f t="shared" si="42"/>
        <v>0</v>
      </c>
      <c r="S47" s="3"/>
      <c r="T47" s="8">
        <v>740.3</v>
      </c>
      <c r="U47" s="3"/>
      <c r="V47" s="7">
        <f t="shared" si="43"/>
        <v>5.1084413836885938E-2</v>
      </c>
      <c r="W47" s="3"/>
      <c r="X47" s="8">
        <f t="shared" si="44"/>
        <v>14.25</v>
      </c>
      <c r="Y47" s="3"/>
      <c r="Z47" s="7">
        <f t="shared" si="45"/>
        <v>1.9248953127110634E-2</v>
      </c>
    </row>
    <row r="48" spans="1:26" s="27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SUM(OSRRefD22_7x_0)</f>
        <v>243.54</v>
      </c>
      <c r="E48" s="1"/>
      <c r="F48" s="5">
        <f t="shared" si="38"/>
        <v>0</v>
      </c>
      <c r="G48" s="1"/>
      <c r="H48" s="1">
        <f>SUM(OSRRefH22_7x_0)</f>
        <v>243.54</v>
      </c>
      <c r="I48" s="1"/>
      <c r="J48" s="5">
        <f t="shared" si="39"/>
        <v>1.6805481758523845E-2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243.54</v>
      </c>
      <c r="Q48" s="1"/>
      <c r="R48" s="5">
        <f t="shared" si="42"/>
        <v>0</v>
      </c>
      <c r="S48" s="1"/>
      <c r="T48" s="1">
        <f>SUM(OSRRefT22_7x_0)</f>
        <v>243.54</v>
      </c>
      <c r="U48" s="1"/>
      <c r="V48" s="5">
        <f t="shared" si="43"/>
        <v>1.6805481758523845E-2</v>
      </c>
      <c r="W48" s="1"/>
      <c r="X48" s="1">
        <f t="shared" si="44"/>
        <v>0</v>
      </c>
      <c r="Y48" s="1"/>
      <c r="Z48" s="5">
        <f t="shared" si="45"/>
        <v>0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8">
        <v>243.54</v>
      </c>
      <c r="E49" s="3"/>
      <c r="F49" s="7">
        <f t="shared" si="38"/>
        <v>0</v>
      </c>
      <c r="G49" s="3"/>
      <c r="H49" s="8">
        <v>243.54</v>
      </c>
      <c r="I49" s="3"/>
      <c r="J49" s="7">
        <f t="shared" si="39"/>
        <v>1.6805481758523845E-2</v>
      </c>
      <c r="K49" s="3"/>
      <c r="L49" s="8">
        <f t="shared" si="40"/>
        <v>0</v>
      </c>
      <c r="M49" s="3"/>
      <c r="N49" s="7">
        <f t="shared" si="41"/>
        <v>0</v>
      </c>
      <c r="O49" s="11"/>
      <c r="P49" s="8">
        <v>243.54</v>
      </c>
      <c r="Q49" s="3"/>
      <c r="R49" s="7">
        <f t="shared" si="42"/>
        <v>0</v>
      </c>
      <c r="S49" s="3"/>
      <c r="T49" s="8">
        <v>243.54</v>
      </c>
      <c r="U49" s="3"/>
      <c r="V49" s="7">
        <f t="shared" si="43"/>
        <v>1.6805481758523845E-2</v>
      </c>
      <c r="W49" s="3"/>
      <c r="X49" s="8">
        <f t="shared" si="44"/>
        <v>0</v>
      </c>
      <c r="Y49" s="3"/>
      <c r="Z49" s="7">
        <f t="shared" si="45"/>
        <v>0</v>
      </c>
    </row>
    <row r="50" spans="1:26" s="27" customFormat="1" outlineLevel="1" collapsed="1" x14ac:dyDescent="0.25">
      <c r="A50" s="28"/>
      <c r="B50" s="14" t="str">
        <f>CONCATENATE("     ","Interest                                          ")</f>
        <v xml:space="preserve">     Interest                                          </v>
      </c>
      <c r="C50" s="14"/>
      <c r="D50" s="1">
        <f>SUM(OSRRefD22_8x_0)</f>
        <v>4044</v>
      </c>
      <c r="E50" s="1"/>
      <c r="F50" s="5">
        <f t="shared" si="38"/>
        <v>0</v>
      </c>
      <c r="G50" s="1"/>
      <c r="H50" s="1">
        <f>SUM(OSRRefH22_8x_0)</f>
        <v>4110</v>
      </c>
      <c r="I50" s="1"/>
      <c r="J50" s="5">
        <f t="shared" si="39"/>
        <v>0.28361061849196434</v>
      </c>
      <c r="K50" s="1"/>
      <c r="L50" s="1">
        <f t="shared" si="40"/>
        <v>-66</v>
      </c>
      <c r="M50" s="1"/>
      <c r="N50" s="5">
        <f t="shared" si="41"/>
        <v>-1.6058394160583942E-2</v>
      </c>
      <c r="O50" s="14"/>
      <c r="P50" s="1">
        <f>SUM(OSRRefP22_8x_0)</f>
        <v>4044</v>
      </c>
      <c r="Q50" s="1"/>
      <c r="R50" s="5">
        <f t="shared" si="42"/>
        <v>0</v>
      </c>
      <c r="S50" s="1"/>
      <c r="T50" s="1">
        <f>SUM(OSRRefT22_8x_0)</f>
        <v>4110</v>
      </c>
      <c r="U50" s="1"/>
      <c r="V50" s="5">
        <f t="shared" si="43"/>
        <v>0.28361061849196434</v>
      </c>
      <c r="W50" s="1"/>
      <c r="X50" s="1">
        <f t="shared" si="44"/>
        <v>-66</v>
      </c>
      <c r="Y50" s="1"/>
      <c r="Z50" s="5">
        <f t="shared" si="45"/>
        <v>-1.6058394160583942E-2</v>
      </c>
    </row>
    <row r="51" spans="1:26" s="24" customFormat="1" hidden="1" outlineLevel="2" x14ac:dyDescent="0.25">
      <c r="A51" s="29"/>
      <c r="B51" s="11" t="str">
        <f>CONCATENATE("          ", "6401", " - ", "INTEREST EXPENSE")</f>
        <v xml:space="preserve">          6401 - INTEREST EXPENSE</v>
      </c>
      <c r="C51" s="11"/>
      <c r="D51" s="8">
        <v>4044</v>
      </c>
      <c r="E51" s="3"/>
      <c r="F51" s="7">
        <f t="shared" si="38"/>
        <v>0</v>
      </c>
      <c r="G51" s="3"/>
      <c r="H51" s="8">
        <v>4110</v>
      </c>
      <c r="I51" s="3"/>
      <c r="J51" s="7">
        <f t="shared" si="39"/>
        <v>0.28361061849196434</v>
      </c>
      <c r="K51" s="3"/>
      <c r="L51" s="8">
        <f t="shared" si="40"/>
        <v>-66</v>
      </c>
      <c r="M51" s="3"/>
      <c r="N51" s="7">
        <f t="shared" si="41"/>
        <v>-1.6058394160583942E-2</v>
      </c>
      <c r="O51" s="11"/>
      <c r="P51" s="8">
        <v>4044</v>
      </c>
      <c r="Q51" s="3"/>
      <c r="R51" s="7">
        <f t="shared" si="42"/>
        <v>0</v>
      </c>
      <c r="S51" s="3"/>
      <c r="T51" s="8">
        <v>4110</v>
      </c>
      <c r="U51" s="3"/>
      <c r="V51" s="7">
        <f t="shared" si="43"/>
        <v>0.28361061849196434</v>
      </c>
      <c r="W51" s="3"/>
      <c r="X51" s="8">
        <f t="shared" si="44"/>
        <v>-66</v>
      </c>
      <c r="Y51" s="3"/>
      <c r="Z51" s="7">
        <f t="shared" si="45"/>
        <v>-1.6058394160583942E-2</v>
      </c>
    </row>
    <row r="52" spans="1:26" s="27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436.71000000000004</v>
      </c>
      <c r="I52" s="1"/>
      <c r="J52" s="5">
        <f t="shared" si="39"/>
        <v>3.0135180827646171E-2</v>
      </c>
      <c r="K52" s="1"/>
      <c r="L52" s="1">
        <f t="shared" si="40"/>
        <v>-436.71000000000004</v>
      </c>
      <c r="M52" s="1"/>
      <c r="N52" s="5">
        <f t="shared" si="41"/>
        <v>-1</v>
      </c>
      <c r="O52" s="14"/>
      <c r="P52" s="1">
        <f>SUM(OSRRefP22_9x_0)</f>
        <v>0</v>
      </c>
      <c r="Q52" s="1"/>
      <c r="R52" s="5">
        <f t="shared" si="42"/>
        <v>0</v>
      </c>
      <c r="S52" s="1"/>
      <c r="T52" s="1">
        <f>SUM(OSRRefT22_9x_0)</f>
        <v>436.71000000000004</v>
      </c>
      <c r="U52" s="1"/>
      <c r="V52" s="5">
        <f t="shared" si="43"/>
        <v>3.0135180827646171E-2</v>
      </c>
      <c r="W52" s="1"/>
      <c r="X52" s="1">
        <f t="shared" si="44"/>
        <v>-436.71000000000004</v>
      </c>
      <c r="Y52" s="1"/>
      <c r="Z52" s="5">
        <f t="shared" si="45"/>
        <v>-1</v>
      </c>
    </row>
    <row r="53" spans="1:26" s="24" customFormat="1" hidden="1" outlineLevel="2" x14ac:dyDescent="0.25">
      <c r="A53" s="29"/>
      <c r="B53" s="11" t="str">
        <f>CONCATENATE("          ", "6282", " - ", "JANITORIAL/EXTERMINATOR EXPENS")</f>
        <v xml:space="preserve">          6282 - JANITORIAL/EXTERMINATOR EXPENS</v>
      </c>
      <c r="C53" s="11"/>
      <c r="D53" s="8"/>
      <c r="E53" s="3"/>
      <c r="F53" s="7">
        <f t="shared" si="38"/>
        <v>0</v>
      </c>
      <c r="G53" s="3"/>
      <c r="H53" s="8">
        <v>157.35</v>
      </c>
      <c r="I53" s="3"/>
      <c r="J53" s="7">
        <f t="shared" si="39"/>
        <v>1.0857939372192357E-2</v>
      </c>
      <c r="K53" s="3"/>
      <c r="L53" s="8">
        <f t="shared" si="40"/>
        <v>-157.35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157.35</v>
      </c>
      <c r="U53" s="3"/>
      <c r="V53" s="7">
        <f t="shared" si="43"/>
        <v>1.0857939372192357E-2</v>
      </c>
      <c r="W53" s="3"/>
      <c r="X53" s="8">
        <f t="shared" si="44"/>
        <v>-157.35</v>
      </c>
      <c r="Y53" s="3"/>
      <c r="Z53" s="7">
        <f t="shared" si="45"/>
        <v>-1</v>
      </c>
    </row>
    <row r="54" spans="1:26" s="24" customFormat="1" hidden="1" outlineLevel="2" x14ac:dyDescent="0.25">
      <c r="A54" s="29"/>
      <c r="B54" s="11" t="str">
        <f>CONCATENATE("          ", "6284", " - ", "TRASH REMOVAL EXPENSE")</f>
        <v xml:space="preserve">          6284 - TRASH REMOVAL EXPENSE</v>
      </c>
      <c r="C54" s="11"/>
      <c r="D54" s="8"/>
      <c r="E54" s="3"/>
      <c r="F54" s="7">
        <f t="shared" si="38"/>
        <v>0</v>
      </c>
      <c r="G54" s="3"/>
      <c r="H54" s="8">
        <v>237</v>
      </c>
      <c r="I54" s="3"/>
      <c r="J54" s="7">
        <f t="shared" si="39"/>
        <v>1.6354188949536632E-2</v>
      </c>
      <c r="K54" s="3"/>
      <c r="L54" s="8">
        <f t="shared" si="40"/>
        <v>-237</v>
      </c>
      <c r="M54" s="3"/>
      <c r="N54" s="7">
        <f t="shared" si="41"/>
        <v>-1</v>
      </c>
      <c r="O54" s="11"/>
      <c r="P54" s="8"/>
      <c r="Q54" s="3"/>
      <c r="R54" s="7">
        <f t="shared" si="42"/>
        <v>0</v>
      </c>
      <c r="S54" s="3"/>
      <c r="T54" s="8">
        <v>237</v>
      </c>
      <c r="U54" s="3"/>
      <c r="V54" s="7">
        <f t="shared" si="43"/>
        <v>1.6354188949536632E-2</v>
      </c>
      <c r="W54" s="3"/>
      <c r="X54" s="8">
        <f t="shared" si="44"/>
        <v>-237</v>
      </c>
      <c r="Y54" s="3"/>
      <c r="Z54" s="7">
        <f t="shared" si="45"/>
        <v>-1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8"/>
      <c r="E55" s="3"/>
      <c r="F55" s="7">
        <f t="shared" si="38"/>
        <v>0</v>
      </c>
      <c r="G55" s="3"/>
      <c r="H55" s="8">
        <v>42.36</v>
      </c>
      <c r="I55" s="3"/>
      <c r="J55" s="7">
        <f t="shared" si="39"/>
        <v>2.9230525059171799E-3</v>
      </c>
      <c r="K55" s="3"/>
      <c r="L55" s="8">
        <f t="shared" si="40"/>
        <v>-42.36</v>
      </c>
      <c r="M55" s="3"/>
      <c r="N55" s="7">
        <f t="shared" si="41"/>
        <v>-1</v>
      </c>
      <c r="O55" s="11"/>
      <c r="P55" s="8"/>
      <c r="Q55" s="3"/>
      <c r="R55" s="7">
        <f t="shared" si="42"/>
        <v>0</v>
      </c>
      <c r="S55" s="3"/>
      <c r="T55" s="8">
        <v>42.36</v>
      </c>
      <c r="U55" s="3"/>
      <c r="V55" s="7">
        <f t="shared" si="43"/>
        <v>2.9230525059171799E-3</v>
      </c>
      <c r="W55" s="3"/>
      <c r="X55" s="8">
        <f t="shared" si="44"/>
        <v>-42.36</v>
      </c>
      <c r="Y55" s="3"/>
      <c r="Z55" s="7">
        <f t="shared" si="45"/>
        <v>-1</v>
      </c>
    </row>
    <row r="56" spans="1:26" s="27" customFormat="1" outlineLevel="1" collapsed="1" x14ac:dyDescent="0.25">
      <c r="A56" s="28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SUM(OSRRefD22_10x_0)</f>
        <v>0</v>
      </c>
      <c r="E56" s="1"/>
      <c r="F56" s="5">
        <f t="shared" ref="F56:F63" si="46">IF(D$12=0,0,D56/D$12)</f>
        <v>0</v>
      </c>
      <c r="G56" s="1"/>
      <c r="H56" s="1">
        <f>SUM(OSRRefH22_10x_0)</f>
        <v>176.4</v>
      </c>
      <c r="I56" s="1"/>
      <c r="J56" s="5">
        <f t="shared" ref="J56:J63" si="47">IF(H$12=0,0,H56/H$12)</f>
        <v>1.2172484939655113E-2</v>
      </c>
      <c r="K56" s="1"/>
      <c r="L56" s="1">
        <f t="shared" ref="L56:L63" si="48">+D56-H56</f>
        <v>-176.4</v>
      </c>
      <c r="M56" s="1"/>
      <c r="N56" s="5">
        <f t="shared" ref="N56:N63" si="49">IF(H56=0,0,L56/H56)</f>
        <v>-1</v>
      </c>
      <c r="O56" s="14"/>
      <c r="P56" s="1">
        <f>SUM(OSRRefP22_10x_0)</f>
        <v>0</v>
      </c>
      <c r="Q56" s="1"/>
      <c r="R56" s="5">
        <f t="shared" ref="R56:R63" si="50">IF(P$12=0,0,P56/P$12)</f>
        <v>0</v>
      </c>
      <c r="S56" s="1"/>
      <c r="T56" s="1">
        <f>SUM(OSRRefT22_10x_0)</f>
        <v>176.4</v>
      </c>
      <c r="U56" s="1"/>
      <c r="V56" s="5">
        <f t="shared" ref="V56:V63" si="51">IF(T$12=0,0,T56/T$12)</f>
        <v>1.2172484939655113E-2</v>
      </c>
      <c r="W56" s="1"/>
      <c r="X56" s="1">
        <f t="shared" ref="X56:X63" si="52">+P56-T56</f>
        <v>-176.4</v>
      </c>
      <c r="Y56" s="1"/>
      <c r="Z56" s="5">
        <f t="shared" ref="Z56:Z63" si="53">IF(T56=0,0,X56/T56)</f>
        <v>-1</v>
      </c>
    </row>
    <row r="57" spans="1:26" s="24" customFormat="1" hidden="1" outlineLevel="2" x14ac:dyDescent="0.25">
      <c r="A57" s="29"/>
      <c r="B57" s="11" t="str">
        <f>CONCATENATE("          ", "6275", " - ", "SUBSCRIPTIONS")</f>
        <v xml:space="preserve">          6275 - SUBSCRIPTIONS</v>
      </c>
      <c r="C57" s="11"/>
      <c r="D57" s="8"/>
      <c r="E57" s="3"/>
      <c r="F57" s="7">
        <f t="shared" si="46"/>
        <v>0</v>
      </c>
      <c r="G57" s="3"/>
      <c r="H57" s="8">
        <v>176.4</v>
      </c>
      <c r="I57" s="3"/>
      <c r="J57" s="7">
        <f t="shared" si="47"/>
        <v>1.2172484939655113E-2</v>
      </c>
      <c r="K57" s="3"/>
      <c r="L57" s="8">
        <f t="shared" si="48"/>
        <v>-176.4</v>
      </c>
      <c r="M57" s="3"/>
      <c r="N57" s="7">
        <f t="shared" si="49"/>
        <v>-1</v>
      </c>
      <c r="O57" s="11"/>
      <c r="P57" s="8"/>
      <c r="Q57" s="3"/>
      <c r="R57" s="7">
        <f t="shared" si="50"/>
        <v>0</v>
      </c>
      <c r="S57" s="3"/>
      <c r="T57" s="8">
        <v>176.4</v>
      </c>
      <c r="U57" s="3"/>
      <c r="V57" s="7">
        <f t="shared" si="51"/>
        <v>1.2172484939655113E-2</v>
      </c>
      <c r="W57" s="3"/>
      <c r="X57" s="8">
        <f t="shared" si="52"/>
        <v>-176.4</v>
      </c>
      <c r="Y57" s="3"/>
      <c r="Z57" s="7">
        <f t="shared" si="53"/>
        <v>-1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SUM(OSRRefD22_11x_0)</f>
        <v>0</v>
      </c>
      <c r="E58" s="1"/>
      <c r="F58" s="5">
        <f t="shared" si="46"/>
        <v>0</v>
      </c>
      <c r="G58" s="1"/>
      <c r="H58" s="1">
        <f>SUM(OSRRefH22_11x_0)</f>
        <v>276.91000000000003</v>
      </c>
      <c r="I58" s="1"/>
      <c r="J58" s="5">
        <f t="shared" si="47"/>
        <v>1.9108179164625268E-2</v>
      </c>
      <c r="K58" s="1"/>
      <c r="L58" s="1">
        <f t="shared" si="48"/>
        <v>-276.91000000000003</v>
      </c>
      <c r="M58" s="1"/>
      <c r="N58" s="5">
        <f t="shared" si="49"/>
        <v>-1</v>
      </c>
      <c r="O58" s="14"/>
      <c r="P58" s="1">
        <f>SUM(OSRRefP22_11x_0)</f>
        <v>0</v>
      </c>
      <c r="Q58" s="1"/>
      <c r="R58" s="5">
        <f t="shared" si="50"/>
        <v>0</v>
      </c>
      <c r="S58" s="1"/>
      <c r="T58" s="1">
        <f>SUM(OSRRefT22_11x_0)</f>
        <v>276.91000000000003</v>
      </c>
      <c r="U58" s="1"/>
      <c r="V58" s="5">
        <f t="shared" si="51"/>
        <v>1.9108179164625268E-2</v>
      </c>
      <c r="W58" s="1"/>
      <c r="X58" s="1">
        <f t="shared" si="52"/>
        <v>-276.91000000000003</v>
      </c>
      <c r="Y58" s="1"/>
      <c r="Z58" s="5">
        <f t="shared" si="53"/>
        <v>-1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8"/>
      <c r="E59" s="3"/>
      <c r="F59" s="7">
        <f t="shared" si="46"/>
        <v>0</v>
      </c>
      <c r="G59" s="3"/>
      <c r="H59" s="8">
        <v>276.91000000000003</v>
      </c>
      <c r="I59" s="3"/>
      <c r="J59" s="7">
        <f t="shared" si="47"/>
        <v>1.9108179164625268E-2</v>
      </c>
      <c r="K59" s="3"/>
      <c r="L59" s="8">
        <f t="shared" si="48"/>
        <v>-276.91000000000003</v>
      </c>
      <c r="M59" s="3"/>
      <c r="N59" s="7">
        <f t="shared" si="49"/>
        <v>-1</v>
      </c>
      <c r="O59" s="11"/>
      <c r="P59" s="8"/>
      <c r="Q59" s="3"/>
      <c r="R59" s="7">
        <f t="shared" si="50"/>
        <v>0</v>
      </c>
      <c r="S59" s="3"/>
      <c r="T59" s="8">
        <v>276.91000000000003</v>
      </c>
      <c r="U59" s="3"/>
      <c r="V59" s="7">
        <f t="shared" si="51"/>
        <v>1.9108179164625268E-2</v>
      </c>
      <c r="W59" s="3"/>
      <c r="X59" s="8">
        <f t="shared" si="52"/>
        <v>-276.91000000000003</v>
      </c>
      <c r="Y59" s="3"/>
      <c r="Z59" s="7">
        <f t="shared" si="53"/>
        <v>-1</v>
      </c>
    </row>
    <row r="60" spans="1:26" s="27" customFormat="1" outlineLevel="1" collapsed="1" x14ac:dyDescent="0.25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38</v>
      </c>
      <c r="E60" s="1"/>
      <c r="F60" s="5">
        <f t="shared" si="46"/>
        <v>0</v>
      </c>
      <c r="G60" s="1"/>
      <c r="H60" s="1">
        <f>SUM(OSRRefH22_12x_0)</f>
        <v>37.25</v>
      </c>
      <c r="I60" s="1"/>
      <c r="J60" s="5">
        <f t="shared" si="47"/>
        <v>2.5704368707605042E-3</v>
      </c>
      <c r="K60" s="1"/>
      <c r="L60" s="1">
        <f t="shared" si="48"/>
        <v>0.75</v>
      </c>
      <c r="M60" s="1"/>
      <c r="N60" s="5">
        <f t="shared" si="49"/>
        <v>2.0134228187919462E-2</v>
      </c>
      <c r="O60" s="14"/>
      <c r="P60" s="1">
        <f>SUM(OSRRefP22_12x_0)</f>
        <v>38</v>
      </c>
      <c r="Q60" s="1"/>
      <c r="R60" s="5">
        <f t="shared" si="50"/>
        <v>0</v>
      </c>
      <c r="S60" s="1"/>
      <c r="T60" s="1">
        <f>SUM(OSRRefT22_12x_0)</f>
        <v>37.25</v>
      </c>
      <c r="U60" s="1"/>
      <c r="V60" s="5">
        <f t="shared" si="51"/>
        <v>2.5704368707605042E-3</v>
      </c>
      <c r="W60" s="1"/>
      <c r="X60" s="1">
        <f t="shared" si="52"/>
        <v>0.75</v>
      </c>
      <c r="Y60" s="1"/>
      <c r="Z60" s="5">
        <f t="shared" si="53"/>
        <v>2.0134228187919462E-2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8">
        <v>38</v>
      </c>
      <c r="E61" s="3"/>
      <c r="F61" s="7">
        <f t="shared" si="46"/>
        <v>0</v>
      </c>
      <c r="G61" s="3"/>
      <c r="H61" s="8">
        <v>37.25</v>
      </c>
      <c r="I61" s="3"/>
      <c r="J61" s="7">
        <f t="shared" si="47"/>
        <v>2.5704368707605042E-3</v>
      </c>
      <c r="K61" s="3"/>
      <c r="L61" s="8">
        <f t="shared" si="48"/>
        <v>0.75</v>
      </c>
      <c r="M61" s="3"/>
      <c r="N61" s="7">
        <f t="shared" si="49"/>
        <v>2.0134228187919462E-2</v>
      </c>
      <c r="O61" s="11"/>
      <c r="P61" s="8">
        <v>38</v>
      </c>
      <c r="Q61" s="3"/>
      <c r="R61" s="7">
        <f t="shared" si="50"/>
        <v>0</v>
      </c>
      <c r="S61" s="3"/>
      <c r="T61" s="8">
        <v>37.25</v>
      </c>
      <c r="U61" s="3"/>
      <c r="V61" s="7">
        <f t="shared" si="51"/>
        <v>2.5704368707605042E-3</v>
      </c>
      <c r="W61" s="3"/>
      <c r="X61" s="8">
        <f t="shared" si="52"/>
        <v>0.75</v>
      </c>
      <c r="Y61" s="3"/>
      <c r="Z61" s="7">
        <f t="shared" si="53"/>
        <v>2.0134228187919462E-2</v>
      </c>
    </row>
    <row r="62" spans="1:26" s="27" customFormat="1" outlineLevel="1" collapsed="1" x14ac:dyDescent="0.25">
      <c r="A62" s="28"/>
      <c r="B62" s="14" t="str">
        <f>CONCATENATE("     ","Utilities                                         ")</f>
        <v xml:space="preserve">     Utilities                                         </v>
      </c>
      <c r="C62" s="14"/>
      <c r="D62" s="1">
        <f>SUM(OSRRefD22_13x_0)</f>
        <v>0</v>
      </c>
      <c r="E62" s="1"/>
      <c r="F62" s="5">
        <f t="shared" si="46"/>
        <v>0</v>
      </c>
      <c r="G62" s="1"/>
      <c r="H62" s="1">
        <f>SUM(OSRRefH22_13x_0)</f>
        <v>771</v>
      </c>
      <c r="I62" s="1"/>
      <c r="J62" s="5">
        <f t="shared" si="47"/>
        <v>5.3202867848492583E-2</v>
      </c>
      <c r="K62" s="1"/>
      <c r="L62" s="1">
        <f t="shared" si="48"/>
        <v>-771</v>
      </c>
      <c r="M62" s="1"/>
      <c r="N62" s="5">
        <f t="shared" si="49"/>
        <v>-1</v>
      </c>
      <c r="O62" s="14"/>
      <c r="P62" s="1">
        <f>SUM(OSRRefP22_13x_0)</f>
        <v>0</v>
      </c>
      <c r="Q62" s="1"/>
      <c r="R62" s="5">
        <f t="shared" si="50"/>
        <v>0</v>
      </c>
      <c r="S62" s="1"/>
      <c r="T62" s="1">
        <f>SUM(OSRRefT22_13x_0)</f>
        <v>771</v>
      </c>
      <c r="U62" s="1"/>
      <c r="V62" s="5">
        <f t="shared" si="51"/>
        <v>5.3202867848492583E-2</v>
      </c>
      <c r="W62" s="1"/>
      <c r="X62" s="1">
        <f t="shared" si="52"/>
        <v>-771</v>
      </c>
      <c r="Y62" s="1"/>
      <c r="Z62" s="5">
        <f t="shared" si="53"/>
        <v>-1</v>
      </c>
    </row>
    <row r="63" spans="1:26" s="24" customFormat="1" hidden="1" outlineLevel="2" x14ac:dyDescent="0.25">
      <c r="A63" s="29"/>
      <c r="B63" s="11" t="str">
        <f>CONCATENATE("          ", "6274", " - ", "UTILITIES")</f>
        <v xml:space="preserve">          6274 - UTILITIES</v>
      </c>
      <c r="C63" s="11"/>
      <c r="D63" s="8"/>
      <c r="E63" s="3"/>
      <c r="F63" s="7">
        <f t="shared" si="46"/>
        <v>0</v>
      </c>
      <c r="G63" s="3"/>
      <c r="H63" s="8">
        <v>771</v>
      </c>
      <c r="I63" s="3"/>
      <c r="J63" s="7">
        <f t="shared" si="47"/>
        <v>5.3202867848492583E-2</v>
      </c>
      <c r="K63" s="3"/>
      <c r="L63" s="8">
        <f t="shared" si="48"/>
        <v>-771</v>
      </c>
      <c r="M63" s="3"/>
      <c r="N63" s="7">
        <f t="shared" si="49"/>
        <v>-1</v>
      </c>
      <c r="O63" s="11"/>
      <c r="P63" s="8"/>
      <c r="Q63" s="3"/>
      <c r="R63" s="7">
        <f t="shared" si="50"/>
        <v>0</v>
      </c>
      <c r="S63" s="3"/>
      <c r="T63" s="8">
        <v>771</v>
      </c>
      <c r="U63" s="3"/>
      <c r="V63" s="7">
        <f t="shared" si="51"/>
        <v>5.3202867848492583E-2</v>
      </c>
      <c r="W63" s="3"/>
      <c r="X63" s="8">
        <f t="shared" si="52"/>
        <v>-771</v>
      </c>
      <c r="Y63" s="3"/>
      <c r="Z63" s="7">
        <f t="shared" si="53"/>
        <v>-1</v>
      </c>
    </row>
    <row r="64" spans="1:26" s="61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25">
      <c r="A67" s="10"/>
      <c r="B67" s="26" t="s">
        <v>3</v>
      </c>
      <c r="C67" s="26"/>
      <c r="D67" s="19">
        <f>+D20-D22+D65</f>
        <v>-14436.4</v>
      </c>
      <c r="E67" s="13"/>
      <c r="F67" s="20">
        <f>IF(D$12=0,0,D67/D$12)</f>
        <v>0</v>
      </c>
      <c r="G67" s="13"/>
      <c r="H67" s="19">
        <f>+H20-H22+H65</f>
        <v>-15968.800000000001</v>
      </c>
      <c r="I67" s="13"/>
      <c r="J67" s="20">
        <f>IF(H$12=0,0,H67/H$12)</f>
        <v>-1.1019273101154454</v>
      </c>
      <c r="K67" s="16"/>
      <c r="L67" s="19">
        <f>+D67-H67</f>
        <v>1532.4000000000015</v>
      </c>
      <c r="M67" s="16"/>
      <c r="N67" s="20">
        <f>IF(H67=0,0,L67/H67)</f>
        <v>-9.5962126145984761E-2</v>
      </c>
      <c r="O67" s="25"/>
      <c r="P67" s="19">
        <f>+P20-P22+P65</f>
        <v>-14436.4</v>
      </c>
      <c r="Q67" s="13"/>
      <c r="R67" s="20">
        <f>IF(P$12=0,0,P67/P$12)</f>
        <v>0</v>
      </c>
      <c r="S67" s="13"/>
      <c r="T67" s="19">
        <f>+T20-T22+T65</f>
        <v>-15968.800000000001</v>
      </c>
      <c r="U67" s="13"/>
      <c r="V67" s="20">
        <f>IF(T$12=0,0,T67/T$12)</f>
        <v>-1.1019273101154454</v>
      </c>
      <c r="W67" s="16"/>
      <c r="X67" s="19">
        <f>+P67-T67</f>
        <v>1532.4000000000015</v>
      </c>
      <c r="Y67" s="16"/>
      <c r="Z67" s="20">
        <f>IF(T67=0,0,X67/T67)</f>
        <v>-9.5962126145984761E-2</v>
      </c>
    </row>
    <row r="68" spans="1:26" x14ac:dyDescent="0.25">
      <c r="A68" s="9"/>
      <c r="B68" s="10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25">
      <c r="A69" s="51"/>
      <c r="B69" s="10" t="s">
        <v>13</v>
      </c>
      <c r="C69" s="10"/>
      <c r="D69" s="4"/>
      <c r="E69" s="4"/>
      <c r="F69" s="12">
        <f>IF(D$12=0,0,D69/D$12)</f>
        <v>0</v>
      </c>
      <c r="G69" s="4"/>
      <c r="H69" s="4">
        <v>3013.25</v>
      </c>
      <c r="I69" s="4"/>
      <c r="J69" s="12">
        <f>IF(H$12=0,0,H69/H$12)</f>
        <v>0.20792936646494198</v>
      </c>
      <c r="K69" s="4"/>
      <c r="L69" s="4">
        <f>+D69-H69</f>
        <v>-3013.25</v>
      </c>
      <c r="M69" s="4"/>
      <c r="N69" s="12">
        <f>IF(H69=0,0,L69/H69)</f>
        <v>-1</v>
      </c>
      <c r="O69" s="10"/>
      <c r="P69" s="4"/>
      <c r="Q69" s="4"/>
      <c r="R69" s="12">
        <f>IF(P$12=0,0,P69/P$12)</f>
        <v>0</v>
      </c>
      <c r="S69" s="4"/>
      <c r="T69" s="4">
        <v>3013.25</v>
      </c>
      <c r="U69" s="4"/>
      <c r="V69" s="12">
        <f>IF(T$12=0,0,T69/T$12)</f>
        <v>0.20792936646494198</v>
      </c>
      <c r="W69" s="4"/>
      <c r="X69" s="4">
        <f>+P69-T69</f>
        <v>-3013.25</v>
      </c>
      <c r="Y69" s="4"/>
      <c r="Z69" s="12">
        <f>IF(T69=0,0,X69/T69)</f>
        <v>-1</v>
      </c>
    </row>
    <row r="70" spans="1:26" x14ac:dyDescent="0.25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ht="15.75" thickBot="1" x14ac:dyDescent="0.3">
      <c r="A71" s="10"/>
      <c r="B71" s="26" t="s">
        <v>4</v>
      </c>
      <c r="C71" s="26"/>
      <c r="D71" s="35">
        <f>+D67-D69</f>
        <v>-14436.4</v>
      </c>
      <c r="E71" s="13"/>
      <c r="F71" s="30">
        <f>IF(D$12=0,0,D71/D$12)</f>
        <v>0</v>
      </c>
      <c r="G71" s="13"/>
      <c r="H71" s="35">
        <f>+H67-H69</f>
        <v>-18982.050000000003</v>
      </c>
      <c r="I71" s="13"/>
      <c r="J71" s="30">
        <f>IF(H$12=0,0,H71/H$12)</f>
        <v>-1.3098566765803876</v>
      </c>
      <c r="K71" s="16"/>
      <c r="L71" s="35">
        <f>D71-H71</f>
        <v>4545.6500000000033</v>
      </c>
      <c r="M71" s="16"/>
      <c r="N71" s="30">
        <f>IF(H71=0,0,L71/H71)</f>
        <v>-0.23947097389375765</v>
      </c>
      <c r="O71" s="25"/>
      <c r="P71" s="35">
        <f>+P67-P69</f>
        <v>-14436.4</v>
      </c>
      <c r="Q71" s="13"/>
      <c r="R71" s="30">
        <f>IF(P$12=0,0,P71/P$12)</f>
        <v>0</v>
      </c>
      <c r="S71" s="13"/>
      <c r="T71" s="35">
        <f>+T67-T69</f>
        <v>-18982.050000000003</v>
      </c>
      <c r="U71" s="13"/>
      <c r="V71" s="30">
        <f>IF(T$12=0,0,T71/T$12)</f>
        <v>-1.3098566765803876</v>
      </c>
      <c r="W71" s="16"/>
      <c r="X71" s="35">
        <f>P71-T71</f>
        <v>4545.6500000000033</v>
      </c>
      <c r="Y71" s="16"/>
      <c r="Z71" s="30">
        <f>IF(T71=0,0,X71/T71)</f>
        <v>-0.23947097389375765</v>
      </c>
    </row>
    <row r="72" spans="1:26" ht="15.75" thickTop="1" x14ac:dyDescent="0.25">
      <c r="A72" s="9"/>
      <c r="B72" s="9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ht="15.75" thickBot="1" x14ac:dyDescent="0.3">
      <c r="A74" s="10"/>
      <c r="B74" s="26" t="s">
        <v>5</v>
      </c>
      <c r="C74" s="26"/>
      <c r="D74" s="31">
        <f>SUM(D71:D73)</f>
        <v>-14436.4</v>
      </c>
      <c r="E74" s="13"/>
      <c r="F74" s="32">
        <f>IF(D$12=0,0,D74/D$12)</f>
        <v>0</v>
      </c>
      <c r="G74" s="13"/>
      <c r="H74" s="31">
        <f>SUM(H71:H73)</f>
        <v>-18982.050000000003</v>
      </c>
      <c r="I74" s="13"/>
      <c r="J74" s="32">
        <f>IF(H$12=0,0,H74/H$12)</f>
        <v>-1.3098566765803876</v>
      </c>
      <c r="K74" s="16"/>
      <c r="L74" s="31">
        <f>+D74-H74</f>
        <v>4545.6500000000033</v>
      </c>
      <c r="M74" s="16"/>
      <c r="N74" s="32">
        <f>IF(H74=0,0,L74/H74)</f>
        <v>-0.23947097389375765</v>
      </c>
      <c r="O74" s="25"/>
      <c r="P74" s="31">
        <f>SUM(P71:P73)</f>
        <v>-14436.4</v>
      </c>
      <c r="Q74" s="13"/>
      <c r="R74" s="32">
        <f>IF(P$12=0,0,P74/P$12)</f>
        <v>0</v>
      </c>
      <c r="S74" s="13"/>
      <c r="T74" s="31">
        <f>SUM(T71:T73)</f>
        <v>-18982.050000000003</v>
      </c>
      <c r="U74" s="13"/>
      <c r="V74" s="32">
        <f>IF(T$12=0,0,T74/T$12)</f>
        <v>-1.3098566765803876</v>
      </c>
      <c r="W74" s="16"/>
      <c r="X74" s="31">
        <f>+P74-T74</f>
        <v>4545.6500000000033</v>
      </c>
      <c r="Y74" s="16"/>
      <c r="Z74" s="32">
        <f>IF(T74=0,0,X74/T74)</f>
        <v>-0.23947097389375765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9">
        <v>44109.414426157404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62" t="s">
        <v>313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237</v>
      </c>
      <c r="I12" s="4"/>
      <c r="J12" s="12"/>
      <c r="K12" s="4"/>
      <c r="L12" s="4">
        <f t="shared" ref="L12:L13" si="0">+D12-H12</f>
        <v>-237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237</v>
      </c>
      <c r="U12" s="4"/>
      <c r="V12" s="12"/>
      <c r="W12" s="4"/>
      <c r="X12" s="4">
        <f t="shared" ref="X12:X13" si="2">+P12-T12</f>
        <v>-237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0"/>
      <c r="B13" s="11" t="str">
        <f>CONCATENATE("          ", "4153", " - ", "NON-TAXABLE SALES-FOOD")</f>
        <v xml:space="preserve">          4153 - NON-TAXABLE SALES-FOOD</v>
      </c>
      <c r="C13" s="11"/>
      <c r="D13" s="3">
        <f>0</f>
        <v>0</v>
      </c>
      <c r="E13" s="3"/>
      <c r="F13" s="22"/>
      <c r="G13" s="3"/>
      <c r="H13" s="3">
        <f>--237</f>
        <v>237</v>
      </c>
      <c r="I13" s="3"/>
      <c r="J13" s="22"/>
      <c r="K13" s="3"/>
      <c r="L13" s="3">
        <f t="shared" si="0"/>
        <v>-237</v>
      </c>
      <c r="M13" s="3"/>
      <c r="N13" s="22">
        <f t="shared" si="1"/>
        <v>-1</v>
      </c>
      <c r="O13" s="11"/>
      <c r="P13" s="3">
        <f>0</f>
        <v>0</v>
      </c>
      <c r="Q13" s="3"/>
      <c r="R13" s="22"/>
      <c r="S13" s="3"/>
      <c r="T13" s="3">
        <f>--237</f>
        <v>237</v>
      </c>
      <c r="U13" s="3"/>
      <c r="V13" s="22"/>
      <c r="W13" s="3"/>
      <c r="X13" s="3">
        <f t="shared" si="2"/>
        <v>-237</v>
      </c>
      <c r="Y13" s="3"/>
      <c r="Z13" s="22">
        <f t="shared" si="3"/>
        <v>-1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-2250.04</v>
      </c>
      <c r="I15" s="4"/>
      <c r="J15" s="12">
        <f t="shared" ref="J15:J16" si="5">IF(H$12=0,0,H15/H$12)</f>
        <v>-9.4938396624472574</v>
      </c>
      <c r="K15" s="4"/>
      <c r="L15" s="4">
        <f t="shared" ref="L15:L16" si="6">+D15-H15</f>
        <v>2250.04</v>
      </c>
      <c r="M15" s="4"/>
      <c r="N15" s="12">
        <f t="shared" ref="N15:N16" si="7">IF(H15=0,0,L15/H15)</f>
        <v>-1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-2250.04</v>
      </c>
      <c r="U15" s="4"/>
      <c r="V15" s="12">
        <f t="shared" ref="V15:V16" si="9">IF(T$12=0,0,T15/T$12)</f>
        <v>-9.4938396624472574</v>
      </c>
      <c r="W15" s="4"/>
      <c r="X15" s="4">
        <f t="shared" ref="X15:X16" si="10">+P15-T15</f>
        <v>2250.04</v>
      </c>
      <c r="Y15" s="4"/>
      <c r="Z15" s="12">
        <f t="shared" ref="Z15:Z16" si="11">IF(T15=0,0,X15/T15)</f>
        <v>-1</v>
      </c>
    </row>
    <row r="16" spans="1:26" s="24" customFormat="1" hidden="1" outlineLevel="1" x14ac:dyDescent="0.25">
      <c r="A16" s="50"/>
      <c r="B16" s="11" t="str">
        <f>CONCATENATE("          ", "5059", " - ", "PURCHASES @ COST-FOOD")</f>
        <v xml:space="preserve">          5059 - PURCHASES @ COST-FOOD</v>
      </c>
      <c r="C16" s="11"/>
      <c r="D16" s="3"/>
      <c r="E16" s="3"/>
      <c r="F16" s="22">
        <f t="shared" si="4"/>
        <v>0</v>
      </c>
      <c r="G16" s="3"/>
      <c r="H16" s="3">
        <v>-2250.04</v>
      </c>
      <c r="I16" s="3"/>
      <c r="J16" s="22">
        <f t="shared" si="5"/>
        <v>-9.4938396624472574</v>
      </c>
      <c r="K16" s="3"/>
      <c r="L16" s="3">
        <f t="shared" si="6"/>
        <v>2250.04</v>
      </c>
      <c r="M16" s="3"/>
      <c r="N16" s="22">
        <f t="shared" si="7"/>
        <v>-1</v>
      </c>
      <c r="O16" s="11"/>
      <c r="P16" s="3"/>
      <c r="Q16" s="3"/>
      <c r="R16" s="22">
        <f t="shared" si="8"/>
        <v>0</v>
      </c>
      <c r="S16" s="3"/>
      <c r="T16" s="3">
        <v>-2250.04</v>
      </c>
      <c r="U16" s="3"/>
      <c r="V16" s="22">
        <f t="shared" si="9"/>
        <v>-9.4938396624472574</v>
      </c>
      <c r="W16" s="3"/>
      <c r="X16" s="3">
        <f t="shared" si="10"/>
        <v>2250.04</v>
      </c>
      <c r="Y16" s="3"/>
      <c r="Z16" s="22">
        <f t="shared" si="11"/>
        <v>-1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>
        <f>D12-D15</f>
        <v>0</v>
      </c>
      <c r="E18" s="13"/>
      <c r="F18" s="20">
        <f>IF(D$12=0,0,D18/D$12)</f>
        <v>0</v>
      </c>
      <c r="G18" s="13"/>
      <c r="H18" s="19">
        <f>H12-H15</f>
        <v>2487.04</v>
      </c>
      <c r="I18" s="13"/>
      <c r="J18" s="20">
        <f>IF(H$12=0,0,H18/H$12)</f>
        <v>10.493839662447257</v>
      </c>
      <c r="K18" s="16"/>
      <c r="L18" s="19">
        <f>+D18-H18</f>
        <v>-2487.04</v>
      </c>
      <c r="M18" s="16"/>
      <c r="N18" s="20">
        <f>IF(H18=0,0,L18/H18)</f>
        <v>-1</v>
      </c>
      <c r="O18" s="25"/>
      <c r="P18" s="19">
        <f>P12-P15</f>
        <v>0</v>
      </c>
      <c r="Q18" s="13"/>
      <c r="R18" s="20">
        <f>IF(P$12=0,0,P18/P$12)</f>
        <v>0</v>
      </c>
      <c r="S18" s="13"/>
      <c r="T18" s="19">
        <f>T12-T15</f>
        <v>2487.04</v>
      </c>
      <c r="U18" s="13"/>
      <c r="V18" s="20">
        <f>IF(T$12=0,0,T18/T$12)</f>
        <v>10.493839662447257</v>
      </c>
      <c r="W18" s="16"/>
      <c r="X18" s="19">
        <f>+P18-T18</f>
        <v>-2487.04</v>
      </c>
      <c r="Y18" s="16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>
        <f>SUM(OSRRefD22x_0)</f>
        <v>0</v>
      </c>
      <c r="E20" s="21"/>
      <c r="F20" s="34">
        <f t="shared" ref="F20:F22" si="12">IF(D$12=0,0,D20/D$12)</f>
        <v>0</v>
      </c>
      <c r="G20" s="21"/>
      <c r="H20" s="21">
        <f>SUM(OSRRefH22x_0)</f>
        <v>53.96</v>
      </c>
      <c r="I20" s="21"/>
      <c r="J20" s="34">
        <f t="shared" ref="J20:J22" si="13">IF(H$12=0,0,H20/H$12)</f>
        <v>0.22767932489451478</v>
      </c>
      <c r="K20" s="4"/>
      <c r="L20" s="21">
        <f t="shared" ref="L20:L22" si="14">+D20-H20</f>
        <v>-53.96</v>
      </c>
      <c r="M20" s="4"/>
      <c r="N20" s="34">
        <f t="shared" ref="N20:N22" si="15">IF(H20=0,0,L20/H20)</f>
        <v>-1</v>
      </c>
      <c r="O20" s="10"/>
      <c r="P20" s="21">
        <f>SUM(OSRRefP22x_0)</f>
        <v>0</v>
      </c>
      <c r="Q20" s="21"/>
      <c r="R20" s="34">
        <f t="shared" ref="R20:R22" si="16">IF(P$12=0,0,P20/P$12)</f>
        <v>0</v>
      </c>
      <c r="S20" s="21"/>
      <c r="T20" s="21">
        <f>SUM(OSRRefT22x_0)</f>
        <v>53.96</v>
      </c>
      <c r="U20" s="21"/>
      <c r="V20" s="34">
        <f t="shared" ref="V20:V22" si="17">IF(T$12=0,0,T20/T$12)</f>
        <v>0.22767932489451478</v>
      </c>
      <c r="W20" s="4"/>
      <c r="X20" s="21">
        <f t="shared" ref="X20:X22" si="18">+P20-T20</f>
        <v>-53.96</v>
      </c>
      <c r="Y20" s="4"/>
      <c r="Z20" s="34">
        <f t="shared" ref="Z20:Z22" si="19">IF(T20=0,0,X20/T20)</f>
        <v>-1</v>
      </c>
    </row>
    <row r="21" spans="1:26" s="27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53.96</v>
      </c>
      <c r="I21" s="1"/>
      <c r="J21" s="5">
        <f t="shared" si="13"/>
        <v>0.22767932489451478</v>
      </c>
      <c r="K21" s="1"/>
      <c r="L21" s="1">
        <f t="shared" si="14"/>
        <v>-53.96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53.96</v>
      </c>
      <c r="U21" s="1"/>
      <c r="V21" s="5">
        <f t="shared" si="17"/>
        <v>0.22767932489451478</v>
      </c>
      <c r="W21" s="1"/>
      <c r="X21" s="1">
        <f t="shared" si="18"/>
        <v>-53.96</v>
      </c>
      <c r="Y21" s="1"/>
      <c r="Z21" s="5">
        <f t="shared" si="19"/>
        <v>-1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8"/>
      <c r="E22" s="3"/>
      <c r="F22" s="7">
        <f t="shared" si="12"/>
        <v>0</v>
      </c>
      <c r="G22" s="3"/>
      <c r="H22" s="8">
        <v>53.96</v>
      </c>
      <c r="I22" s="3"/>
      <c r="J22" s="7">
        <f t="shared" si="13"/>
        <v>0.22767932489451478</v>
      </c>
      <c r="K22" s="3"/>
      <c r="L22" s="8">
        <f t="shared" si="14"/>
        <v>-53.96</v>
      </c>
      <c r="M22" s="3"/>
      <c r="N22" s="7">
        <f t="shared" si="15"/>
        <v>-1</v>
      </c>
      <c r="O22" s="11"/>
      <c r="P22" s="8"/>
      <c r="Q22" s="3"/>
      <c r="R22" s="7">
        <f t="shared" si="16"/>
        <v>0</v>
      </c>
      <c r="S22" s="3"/>
      <c r="T22" s="8">
        <v>53.96</v>
      </c>
      <c r="U22" s="3"/>
      <c r="V22" s="7">
        <f t="shared" si="17"/>
        <v>0.22767932489451478</v>
      </c>
      <c r="W22" s="3"/>
      <c r="X22" s="8">
        <f t="shared" si="18"/>
        <v>-53.96</v>
      </c>
      <c r="Y22" s="3"/>
      <c r="Z22" s="7">
        <f t="shared" si="19"/>
        <v>-1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0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25">
      <c r="A26" s="10"/>
      <c r="B26" s="26" t="s">
        <v>3</v>
      </c>
      <c r="C26" s="26"/>
      <c r="D26" s="19">
        <f>+D18-D20+D24</f>
        <v>0</v>
      </c>
      <c r="E26" s="13"/>
      <c r="F26" s="20">
        <f>IF(D$12=0,0,D26/D$12)</f>
        <v>0</v>
      </c>
      <c r="G26" s="13"/>
      <c r="H26" s="19">
        <f>+H18-H20+H24</f>
        <v>2433.08</v>
      </c>
      <c r="I26" s="13"/>
      <c r="J26" s="20">
        <f>IF(H$12=0,0,H26/H$12)</f>
        <v>10.266160337552742</v>
      </c>
      <c r="K26" s="16"/>
      <c r="L26" s="19">
        <f>+D26-H26</f>
        <v>-2433.08</v>
      </c>
      <c r="M26" s="16"/>
      <c r="N26" s="20">
        <f>IF(H26=0,0,L26/H26)</f>
        <v>-1</v>
      </c>
      <c r="O26" s="25"/>
      <c r="P26" s="19">
        <f>+P18-P20+P24</f>
        <v>0</v>
      </c>
      <c r="Q26" s="13"/>
      <c r="R26" s="20">
        <f>IF(P$12=0,0,P26/P$12)</f>
        <v>0</v>
      </c>
      <c r="S26" s="13"/>
      <c r="T26" s="19">
        <f>+T18-T20+T24</f>
        <v>2433.08</v>
      </c>
      <c r="U26" s="13"/>
      <c r="V26" s="20">
        <f>IF(T$12=0,0,T26/T$12)</f>
        <v>10.266160337552742</v>
      </c>
      <c r="W26" s="16"/>
      <c r="X26" s="19">
        <f>+P26-T26</f>
        <v>-2433.08</v>
      </c>
      <c r="Y26" s="16"/>
      <c r="Z26" s="20">
        <f>IF(T26=0,0,X26/T26)</f>
        <v>-1</v>
      </c>
    </row>
    <row r="27" spans="1:26" x14ac:dyDescent="0.25">
      <c r="A27" s="9"/>
      <c r="B27" s="10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25">
      <c r="A28" s="51"/>
      <c r="B28" s="10" t="s">
        <v>13</v>
      </c>
      <c r="C28" s="10"/>
      <c r="D28" s="4"/>
      <c r="E28" s="4"/>
      <c r="F28" s="12">
        <f>IF(D$12=0,0,D28/D$12)</f>
        <v>0</v>
      </c>
      <c r="G28" s="4"/>
      <c r="H28" s="4">
        <v>49.28</v>
      </c>
      <c r="I28" s="4"/>
      <c r="J28" s="12">
        <f>IF(H$12=0,0,H28/H$12)</f>
        <v>0.2079324894514768</v>
      </c>
      <c r="K28" s="4"/>
      <c r="L28" s="4">
        <f>+D28-H28</f>
        <v>-49.28</v>
      </c>
      <c r="M28" s="4"/>
      <c r="N28" s="12">
        <f>IF(H28=0,0,L28/H28)</f>
        <v>-1</v>
      </c>
      <c r="O28" s="10"/>
      <c r="P28" s="4"/>
      <c r="Q28" s="4"/>
      <c r="R28" s="12">
        <f>IF(P$12=0,0,P28/P$12)</f>
        <v>0</v>
      </c>
      <c r="S28" s="4"/>
      <c r="T28" s="4">
        <v>49.28</v>
      </c>
      <c r="U28" s="4"/>
      <c r="V28" s="12">
        <f>IF(T$12=0,0,T28/T$12)</f>
        <v>0.2079324894514768</v>
      </c>
      <c r="W28" s="4"/>
      <c r="X28" s="4">
        <f>+P28-T28</f>
        <v>-49.28</v>
      </c>
      <c r="Y28" s="4"/>
      <c r="Z28" s="12">
        <f>IF(T28=0,0,X28/T28)</f>
        <v>-1</v>
      </c>
    </row>
    <row r="29" spans="1:26" x14ac:dyDescent="0.25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ht="15.75" thickBot="1" x14ac:dyDescent="0.3">
      <c r="A30" s="10"/>
      <c r="B30" s="26" t="s">
        <v>4</v>
      </c>
      <c r="C30" s="26"/>
      <c r="D30" s="35">
        <f>+D26-D28</f>
        <v>0</v>
      </c>
      <c r="E30" s="13"/>
      <c r="F30" s="30">
        <f>IF(D$12=0,0,D30/D$12)</f>
        <v>0</v>
      </c>
      <c r="G30" s="13"/>
      <c r="H30" s="35">
        <f>+H26-H28</f>
        <v>2383.7999999999997</v>
      </c>
      <c r="I30" s="13"/>
      <c r="J30" s="30">
        <f>IF(H$12=0,0,H30/H$12)</f>
        <v>10.058227848101264</v>
      </c>
      <c r="K30" s="16"/>
      <c r="L30" s="35">
        <f>D30-H30</f>
        <v>-2383.7999999999997</v>
      </c>
      <c r="M30" s="16"/>
      <c r="N30" s="30">
        <f>IF(H30=0,0,L30/H30)</f>
        <v>-1</v>
      </c>
      <c r="O30" s="25"/>
      <c r="P30" s="35">
        <f>+P26-P28</f>
        <v>0</v>
      </c>
      <c r="Q30" s="13"/>
      <c r="R30" s="30">
        <f>IF(P$12=0,0,P30/P$12)</f>
        <v>0</v>
      </c>
      <c r="S30" s="13"/>
      <c r="T30" s="35">
        <f>+T26-T28</f>
        <v>2383.7999999999997</v>
      </c>
      <c r="U30" s="13"/>
      <c r="V30" s="30">
        <f>IF(T$12=0,0,T30/T$12)</f>
        <v>10.058227848101264</v>
      </c>
      <c r="W30" s="16"/>
      <c r="X30" s="35">
        <f>P30-T30</f>
        <v>-2383.7999999999997</v>
      </c>
      <c r="Y30" s="16"/>
      <c r="Z30" s="30">
        <f>IF(T30=0,0,X30/T30)</f>
        <v>-1</v>
      </c>
    </row>
    <row r="31" spans="1:26" ht="15.75" thickTop="1" x14ac:dyDescent="0.25">
      <c r="A31" s="9"/>
      <c r="B31" s="9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ht="15.75" thickBot="1" x14ac:dyDescent="0.3">
      <c r="A33" s="10"/>
      <c r="B33" s="26" t="s">
        <v>5</v>
      </c>
      <c r="C33" s="26"/>
      <c r="D33" s="31">
        <f>SUM(D30:D32)</f>
        <v>0</v>
      </c>
      <c r="E33" s="13"/>
      <c r="F33" s="32">
        <f>IF(D$12=0,0,D33/D$12)</f>
        <v>0</v>
      </c>
      <c r="G33" s="13"/>
      <c r="H33" s="31">
        <f>SUM(H30:H32)</f>
        <v>2383.7999999999997</v>
      </c>
      <c r="I33" s="13"/>
      <c r="J33" s="32">
        <f>IF(H$12=0,0,H33/H$12)</f>
        <v>10.058227848101264</v>
      </c>
      <c r="K33" s="16"/>
      <c r="L33" s="31">
        <f>+D33-H33</f>
        <v>-2383.7999999999997</v>
      </c>
      <c r="M33" s="16"/>
      <c r="N33" s="32">
        <f>IF(H33=0,0,L33/H33)</f>
        <v>-1</v>
      </c>
      <c r="O33" s="25"/>
      <c r="P33" s="31">
        <f>SUM(P30:P32)</f>
        <v>0</v>
      </c>
      <c r="Q33" s="13"/>
      <c r="R33" s="32">
        <f>IF(P$12=0,0,P33/P$12)</f>
        <v>0</v>
      </c>
      <c r="S33" s="13"/>
      <c r="T33" s="31">
        <f>SUM(T30:T32)</f>
        <v>2383.7999999999997</v>
      </c>
      <c r="U33" s="13"/>
      <c r="V33" s="32">
        <f>IF(T$12=0,0,T33/T$12)</f>
        <v>10.058227848101264</v>
      </c>
      <c r="W33" s="16"/>
      <c r="X33" s="31">
        <f>+P33-T33</f>
        <v>-2383.7999999999997</v>
      </c>
      <c r="Y33" s="16"/>
      <c r="Z33" s="32">
        <f>IF(T33=0,0,X33/T33)</f>
        <v>-1</v>
      </c>
    </row>
    <row r="34" spans="1:26" ht="15.75" thickTop="1" x14ac:dyDescent="0.25">
      <c r="A34" s="9"/>
      <c r="C34" s="9"/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6" x14ac:dyDescent="0.25">
      <c r="A35" s="9"/>
      <c r="B35" s="59">
        <v>44109.414464699075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25">
      <c r="A36" s="9"/>
      <c r="B36" s="62" t="s">
        <v>313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6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1"/>
  <sheetViews>
    <sheetView zoomScale="80" workbookViewId="0">
      <pane xSplit="3" ySplit="10" topLeftCell="D46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974.91</v>
      </c>
      <c r="E12" s="4"/>
      <c r="F12" s="12"/>
      <c r="G12" s="4"/>
      <c r="H12" s="4">
        <f>SUM(OSRRefH13x_0)</f>
        <v>238290.77</v>
      </c>
      <c r="I12" s="4"/>
      <c r="J12" s="12"/>
      <c r="K12" s="4"/>
      <c r="L12" s="4">
        <f t="shared" ref="L12:L27" si="0">+D12-H12</f>
        <v>-237315.86</v>
      </c>
      <c r="M12" s="4"/>
      <c r="N12" s="12">
        <f t="shared" ref="N12:N27" si="1">IF(H12=0,0,L12/H12)</f>
        <v>-0.99590873788355294</v>
      </c>
      <c r="O12" s="10"/>
      <c r="P12" s="4">
        <f>SUM(OSRRefP13x_0)</f>
        <v>974.91</v>
      </c>
      <c r="Q12" s="4"/>
      <c r="R12" s="12"/>
      <c r="S12" s="4"/>
      <c r="T12" s="4">
        <f>SUM(OSRRefT13x_0)</f>
        <v>238290.77</v>
      </c>
      <c r="U12" s="4"/>
      <c r="V12" s="12"/>
      <c r="W12" s="4"/>
      <c r="X12" s="4">
        <f t="shared" ref="X12:X27" si="2">+P12-T12</f>
        <v>-237315.86</v>
      </c>
      <c r="Y12" s="4"/>
      <c r="Z12" s="12">
        <f t="shared" ref="Z12:Z27" si="3">IF(T12=0,0,X12/T12)</f>
        <v>-0.99590873788355294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3">
        <f t="shared" ref="D13:D18" si="4">0</f>
        <v>0</v>
      </c>
      <c r="E13" s="3"/>
      <c r="F13" s="22"/>
      <c r="G13" s="3"/>
      <c r="H13" s="3">
        <f>--6880.26</f>
        <v>6880.26</v>
      </c>
      <c r="I13" s="3"/>
      <c r="J13" s="22"/>
      <c r="K13" s="3"/>
      <c r="L13" s="3">
        <f t="shared" si="0"/>
        <v>-6880.26</v>
      </c>
      <c r="M13" s="3"/>
      <c r="N13" s="22">
        <f t="shared" si="1"/>
        <v>-1</v>
      </c>
      <c r="O13" s="11"/>
      <c r="P13" s="3">
        <f t="shared" ref="P13:P18" si="5">0</f>
        <v>0</v>
      </c>
      <c r="Q13" s="3"/>
      <c r="R13" s="22"/>
      <c r="S13" s="3"/>
      <c r="T13" s="3">
        <f>--6880.26</f>
        <v>6880.26</v>
      </c>
      <c r="U13" s="3"/>
      <c r="V13" s="22"/>
      <c r="W13" s="3"/>
      <c r="X13" s="3">
        <f t="shared" si="2"/>
        <v>-6880.26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3">
        <f t="shared" si="4"/>
        <v>0</v>
      </c>
      <c r="E14" s="3"/>
      <c r="F14" s="22"/>
      <c r="G14" s="3"/>
      <c r="H14" s="3">
        <f>--288.75</f>
        <v>288.75</v>
      </c>
      <c r="I14" s="3"/>
      <c r="J14" s="22"/>
      <c r="K14" s="3"/>
      <c r="L14" s="3">
        <f t="shared" si="0"/>
        <v>-288.75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--288.75</f>
        <v>288.75</v>
      </c>
      <c r="U14" s="3"/>
      <c r="V14" s="22"/>
      <c r="W14" s="3"/>
      <c r="X14" s="3">
        <f t="shared" si="2"/>
        <v>-288.75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3">
        <f t="shared" si="4"/>
        <v>0</v>
      </c>
      <c r="E15" s="3"/>
      <c r="F15" s="22"/>
      <c r="G15" s="3"/>
      <c r="H15" s="3">
        <f>--22606.37</f>
        <v>22606.37</v>
      </c>
      <c r="I15" s="3"/>
      <c r="J15" s="22"/>
      <c r="K15" s="3"/>
      <c r="L15" s="3">
        <f t="shared" si="0"/>
        <v>-22606.37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--22606.37</f>
        <v>22606.37</v>
      </c>
      <c r="U15" s="3"/>
      <c r="V15" s="22"/>
      <c r="W15" s="3"/>
      <c r="X15" s="3">
        <f t="shared" si="2"/>
        <v>-22606.37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"4052", " - ", "TAXABLE SALES-FOOD")</f>
        <v xml:space="preserve">          4052 - TAXABLE SALES-FOOD</v>
      </c>
      <c r="C16" s="11"/>
      <c r="D16" s="3">
        <f t="shared" si="4"/>
        <v>0</v>
      </c>
      <c r="E16" s="3"/>
      <c r="F16" s="22"/>
      <c r="G16" s="3"/>
      <c r="H16" s="3">
        <f>--43778.84</f>
        <v>43778.84</v>
      </c>
      <c r="I16" s="3"/>
      <c r="J16" s="22"/>
      <c r="K16" s="3"/>
      <c r="L16" s="3">
        <f t="shared" si="0"/>
        <v>-43778.84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--43778.84</f>
        <v>43778.84</v>
      </c>
      <c r="U16" s="3"/>
      <c r="V16" s="22"/>
      <c r="W16" s="3"/>
      <c r="X16" s="3">
        <f t="shared" si="2"/>
        <v>-43778.84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"4053", " - ", "TAXABLE SALES-FOOD")</f>
        <v xml:space="preserve">          4053 - TAXABLE SALES-FOOD</v>
      </c>
      <c r="C17" s="11"/>
      <c r="D17" s="3">
        <f t="shared" si="4"/>
        <v>0</v>
      </c>
      <c r="E17" s="3"/>
      <c r="F17" s="22"/>
      <c r="G17" s="3"/>
      <c r="H17" s="3">
        <f>--24931.11</f>
        <v>24931.11</v>
      </c>
      <c r="I17" s="3"/>
      <c r="J17" s="22"/>
      <c r="K17" s="3"/>
      <c r="L17" s="3">
        <f t="shared" si="0"/>
        <v>-24931.11</v>
      </c>
      <c r="M17" s="3"/>
      <c r="N17" s="22">
        <f t="shared" si="1"/>
        <v>-1</v>
      </c>
      <c r="O17" s="11"/>
      <c r="P17" s="3">
        <f t="shared" si="5"/>
        <v>0</v>
      </c>
      <c r="Q17" s="3"/>
      <c r="R17" s="22"/>
      <c r="S17" s="3"/>
      <c r="T17" s="3">
        <f>--24931.11</f>
        <v>24931.11</v>
      </c>
      <c r="U17" s="3"/>
      <c r="V17" s="22"/>
      <c r="W17" s="3"/>
      <c r="X17" s="3">
        <f t="shared" si="2"/>
        <v>-24931.11</v>
      </c>
      <c r="Y17" s="3"/>
      <c r="Z17" s="22">
        <f t="shared" si="3"/>
        <v>-1</v>
      </c>
    </row>
    <row r="18" spans="1:26" s="24" customFormat="1" hidden="1" outlineLevel="1" x14ac:dyDescent="0.25">
      <c r="A18" s="50"/>
      <c r="B18" s="11" t="str">
        <f>CONCATENATE("          ", "4055", " - ", "TAXABLE SALES-FOOD")</f>
        <v xml:space="preserve">          4055 - TAXABLE SALES-FOOD</v>
      </c>
      <c r="C18" s="11"/>
      <c r="D18" s="3">
        <f t="shared" si="4"/>
        <v>0</v>
      </c>
      <c r="E18" s="3"/>
      <c r="F18" s="22"/>
      <c r="G18" s="3"/>
      <c r="H18" s="3">
        <f>--14243.63</f>
        <v>14243.63</v>
      </c>
      <c r="I18" s="3"/>
      <c r="J18" s="22"/>
      <c r="K18" s="3"/>
      <c r="L18" s="3">
        <f t="shared" si="0"/>
        <v>-14243.63</v>
      </c>
      <c r="M18" s="3"/>
      <c r="N18" s="22">
        <f t="shared" si="1"/>
        <v>-1</v>
      </c>
      <c r="O18" s="11"/>
      <c r="P18" s="3">
        <f t="shared" si="5"/>
        <v>0</v>
      </c>
      <c r="Q18" s="3"/>
      <c r="R18" s="22"/>
      <c r="S18" s="3"/>
      <c r="T18" s="3">
        <f>--14243.63</f>
        <v>14243.63</v>
      </c>
      <c r="U18" s="3"/>
      <c r="V18" s="22"/>
      <c r="W18" s="3"/>
      <c r="X18" s="3">
        <f t="shared" si="2"/>
        <v>-14243.63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"4058", " - ", "TAXABLE SALES-FOOD")</f>
        <v xml:space="preserve">          4058 - TAXABLE SALES-FOOD</v>
      </c>
      <c r="C19" s="11"/>
      <c r="D19" s="3">
        <f>--974.91</f>
        <v>974.91</v>
      </c>
      <c r="E19" s="3"/>
      <c r="F19" s="22"/>
      <c r="G19" s="3"/>
      <c r="H19" s="3">
        <f>--8401.66</f>
        <v>8401.66</v>
      </c>
      <c r="I19" s="3"/>
      <c r="J19" s="22"/>
      <c r="K19" s="3"/>
      <c r="L19" s="3">
        <f t="shared" si="0"/>
        <v>-7426.75</v>
      </c>
      <c r="M19" s="3"/>
      <c r="N19" s="22">
        <f t="shared" si="1"/>
        <v>-0.88396221699045185</v>
      </c>
      <c r="O19" s="11"/>
      <c r="P19" s="3">
        <f>--974.91</f>
        <v>974.91</v>
      </c>
      <c r="Q19" s="3"/>
      <c r="R19" s="22"/>
      <c r="S19" s="3"/>
      <c r="T19" s="3">
        <f>--8401.66</f>
        <v>8401.66</v>
      </c>
      <c r="U19" s="3"/>
      <c r="V19" s="22"/>
      <c r="W19" s="3"/>
      <c r="X19" s="3">
        <f t="shared" si="2"/>
        <v>-7426.75</v>
      </c>
      <c r="Y19" s="3"/>
      <c r="Z19" s="22">
        <f t="shared" si="3"/>
        <v>-0.88396221699045185</v>
      </c>
    </row>
    <row r="20" spans="1:26" s="24" customFormat="1" hidden="1" outlineLevel="1" x14ac:dyDescent="0.25">
      <c r="A20" s="50"/>
      <c r="B20" s="11" t="str">
        <f>CONCATENATE("          ", "4132", " - ", "NON-TAXABLE SALES-JUICE")</f>
        <v xml:space="preserve">          4132 - NON-TAXABLE SALES-JUICE</v>
      </c>
      <c r="C20" s="11"/>
      <c r="D20" s="3">
        <f t="shared" ref="D20:D27" si="6">0</f>
        <v>0</v>
      </c>
      <c r="E20" s="3"/>
      <c r="F20" s="22"/>
      <c r="G20" s="3"/>
      <c r="H20" s="3">
        <f>--32087.63</f>
        <v>32087.63</v>
      </c>
      <c r="I20" s="3"/>
      <c r="J20" s="22"/>
      <c r="K20" s="3"/>
      <c r="L20" s="3">
        <f t="shared" si="0"/>
        <v>-32087.63</v>
      </c>
      <c r="M20" s="3"/>
      <c r="N20" s="22">
        <f t="shared" si="1"/>
        <v>-1</v>
      </c>
      <c r="O20" s="11"/>
      <c r="P20" s="3">
        <f t="shared" ref="P20:P27" si="7">0</f>
        <v>0</v>
      </c>
      <c r="Q20" s="3"/>
      <c r="R20" s="22"/>
      <c r="S20" s="3"/>
      <c r="T20" s="3">
        <f>--32087.63</f>
        <v>32087.63</v>
      </c>
      <c r="U20" s="3"/>
      <c r="V20" s="22"/>
      <c r="W20" s="3"/>
      <c r="X20" s="3">
        <f t="shared" si="2"/>
        <v>-32087.63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"4134", " - ", "NON-TAXABLE SALES-SODA")</f>
        <v xml:space="preserve">          4134 - NON-TAXABLE SALES-SODA</v>
      </c>
      <c r="C21" s="11"/>
      <c r="D21" s="3">
        <f t="shared" si="6"/>
        <v>0</v>
      </c>
      <c r="E21" s="3"/>
      <c r="F21" s="22"/>
      <c r="G21" s="3"/>
      <c r="H21" s="3">
        <f>-3.39</f>
        <v>-3.39</v>
      </c>
      <c r="I21" s="3"/>
      <c r="J21" s="22"/>
      <c r="K21" s="3"/>
      <c r="L21" s="3">
        <f t="shared" si="0"/>
        <v>3.39</v>
      </c>
      <c r="M21" s="3"/>
      <c r="N21" s="22">
        <f t="shared" si="1"/>
        <v>-1</v>
      </c>
      <c r="O21" s="11"/>
      <c r="P21" s="3">
        <f t="shared" si="7"/>
        <v>0</v>
      </c>
      <c r="Q21" s="3"/>
      <c r="R21" s="22"/>
      <c r="S21" s="3"/>
      <c r="T21" s="3">
        <f>-3.39</f>
        <v>-3.39</v>
      </c>
      <c r="U21" s="3"/>
      <c r="V21" s="22"/>
      <c r="W21" s="3"/>
      <c r="X21" s="3">
        <f t="shared" si="2"/>
        <v>3.39</v>
      </c>
      <c r="Y21" s="3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"4137", " - ", "NON-TAXABLE SALES-WATER")</f>
        <v xml:space="preserve">          4137 - NON-TAXABLE SALES-WATER</v>
      </c>
      <c r="C22" s="11"/>
      <c r="D22" s="3">
        <f t="shared" si="6"/>
        <v>0</v>
      </c>
      <c r="E22" s="3"/>
      <c r="F22" s="22"/>
      <c r="G22" s="3"/>
      <c r="H22" s="3">
        <f>--210.5</f>
        <v>210.5</v>
      </c>
      <c r="I22" s="3"/>
      <c r="J22" s="22"/>
      <c r="K22" s="3"/>
      <c r="L22" s="3">
        <f t="shared" si="0"/>
        <v>-210.5</v>
      </c>
      <c r="M22" s="3"/>
      <c r="N22" s="22">
        <f t="shared" si="1"/>
        <v>-1</v>
      </c>
      <c r="O22" s="11"/>
      <c r="P22" s="3">
        <f t="shared" si="7"/>
        <v>0</v>
      </c>
      <c r="Q22" s="3"/>
      <c r="R22" s="22"/>
      <c r="S22" s="3"/>
      <c r="T22" s="3">
        <f>--210.5</f>
        <v>210.5</v>
      </c>
      <c r="U22" s="3"/>
      <c r="V22" s="22"/>
      <c r="W22" s="3"/>
      <c r="X22" s="3">
        <f t="shared" si="2"/>
        <v>-210.5</v>
      </c>
      <c r="Y22" s="3"/>
      <c r="Z22" s="22">
        <f t="shared" si="3"/>
        <v>-1</v>
      </c>
    </row>
    <row r="23" spans="1:26" s="24" customFormat="1" hidden="1" outlineLevel="1" x14ac:dyDescent="0.25">
      <c r="A23" s="50"/>
      <c r="B23" s="11" t="str">
        <f>CONCATENATE("          ", "4151", " - ", "NON-TAXABLE SALES-FOOD")</f>
        <v xml:space="preserve">          4151 - NON-TAXABLE SALES-FOOD</v>
      </c>
      <c r="C23" s="11"/>
      <c r="D23" s="3">
        <f t="shared" si="6"/>
        <v>0</v>
      </c>
      <c r="E23" s="3"/>
      <c r="F23" s="22"/>
      <c r="G23" s="3"/>
      <c r="H23" s="3">
        <f>--45764.97</f>
        <v>45764.97</v>
      </c>
      <c r="I23" s="3"/>
      <c r="J23" s="22"/>
      <c r="K23" s="3"/>
      <c r="L23" s="3">
        <f t="shared" si="0"/>
        <v>-45764.97</v>
      </c>
      <c r="M23" s="3"/>
      <c r="N23" s="22">
        <f t="shared" si="1"/>
        <v>-1</v>
      </c>
      <c r="O23" s="11"/>
      <c r="P23" s="3">
        <f t="shared" si="7"/>
        <v>0</v>
      </c>
      <c r="Q23" s="3"/>
      <c r="R23" s="22"/>
      <c r="S23" s="3"/>
      <c r="T23" s="3">
        <f>--45764.97</f>
        <v>45764.97</v>
      </c>
      <c r="U23" s="3"/>
      <c r="V23" s="22"/>
      <c r="W23" s="3"/>
      <c r="X23" s="3">
        <f t="shared" si="2"/>
        <v>-45764.97</v>
      </c>
      <c r="Y23" s="3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"4152", " - ", "NON-TAXABLE SALES-FOOD")</f>
        <v xml:space="preserve">          4152 - NON-TAXABLE SALES-FOOD</v>
      </c>
      <c r="C24" s="11"/>
      <c r="D24" s="3">
        <f t="shared" si="6"/>
        <v>0</v>
      </c>
      <c r="E24" s="3"/>
      <c r="F24" s="22"/>
      <c r="G24" s="3"/>
      <c r="H24" s="3">
        <f>--3667.09</f>
        <v>3667.09</v>
      </c>
      <c r="I24" s="3"/>
      <c r="J24" s="22"/>
      <c r="K24" s="3"/>
      <c r="L24" s="3">
        <f t="shared" si="0"/>
        <v>-3667.09</v>
      </c>
      <c r="M24" s="3"/>
      <c r="N24" s="22">
        <f t="shared" si="1"/>
        <v>-1</v>
      </c>
      <c r="O24" s="11"/>
      <c r="P24" s="3">
        <f t="shared" si="7"/>
        <v>0</v>
      </c>
      <c r="Q24" s="3"/>
      <c r="R24" s="22"/>
      <c r="S24" s="3"/>
      <c r="T24" s="3">
        <f>--3667.09</f>
        <v>3667.09</v>
      </c>
      <c r="U24" s="3"/>
      <c r="V24" s="22"/>
      <c r="W24" s="3"/>
      <c r="X24" s="3">
        <f t="shared" si="2"/>
        <v>-3667.09</v>
      </c>
      <c r="Y24" s="3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"4153", " - ", "NON-TAXABLE SALES-FOOD")</f>
        <v xml:space="preserve">          4153 - NON-TAXABLE SALES-FOOD</v>
      </c>
      <c r="C25" s="11"/>
      <c r="D25" s="3">
        <f t="shared" si="6"/>
        <v>0</v>
      </c>
      <c r="E25" s="3"/>
      <c r="F25" s="22"/>
      <c r="G25" s="3"/>
      <c r="H25" s="3">
        <f>--237</f>
        <v>237</v>
      </c>
      <c r="I25" s="3"/>
      <c r="J25" s="22"/>
      <c r="K25" s="3"/>
      <c r="L25" s="3">
        <f t="shared" si="0"/>
        <v>-237</v>
      </c>
      <c r="M25" s="3"/>
      <c r="N25" s="22">
        <f t="shared" si="1"/>
        <v>-1</v>
      </c>
      <c r="O25" s="11"/>
      <c r="P25" s="3">
        <f t="shared" si="7"/>
        <v>0</v>
      </c>
      <c r="Q25" s="3"/>
      <c r="R25" s="22"/>
      <c r="S25" s="3"/>
      <c r="T25" s="3">
        <f>--237</f>
        <v>237</v>
      </c>
      <c r="U25" s="3"/>
      <c r="V25" s="22"/>
      <c r="W25" s="3"/>
      <c r="X25" s="3">
        <f t="shared" si="2"/>
        <v>-237</v>
      </c>
      <c r="Y25" s="3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"4155", " - ", "NON-TAXABLE SALES-FOOD")</f>
        <v xml:space="preserve">          4155 - NON-TAXABLE SALES-FOOD</v>
      </c>
      <c r="C26" s="11"/>
      <c r="D26" s="3">
        <f t="shared" si="6"/>
        <v>0</v>
      </c>
      <c r="E26" s="3"/>
      <c r="F26" s="22"/>
      <c r="G26" s="3"/>
      <c r="H26" s="3">
        <f>--25636.66</f>
        <v>25636.66</v>
      </c>
      <c r="I26" s="3"/>
      <c r="J26" s="22"/>
      <c r="K26" s="3"/>
      <c r="L26" s="3">
        <f t="shared" si="0"/>
        <v>-25636.66</v>
      </c>
      <c r="M26" s="3"/>
      <c r="N26" s="22">
        <f t="shared" si="1"/>
        <v>-1</v>
      </c>
      <c r="O26" s="11"/>
      <c r="P26" s="3">
        <f t="shared" si="7"/>
        <v>0</v>
      </c>
      <c r="Q26" s="3"/>
      <c r="R26" s="22"/>
      <c r="S26" s="3"/>
      <c r="T26" s="3">
        <f>--25636.66</f>
        <v>25636.66</v>
      </c>
      <c r="U26" s="3"/>
      <c r="V26" s="22"/>
      <c r="W26" s="3"/>
      <c r="X26" s="3">
        <f t="shared" si="2"/>
        <v>-25636.66</v>
      </c>
      <c r="Y26" s="3"/>
      <c r="Z26" s="22">
        <f t="shared" si="3"/>
        <v>-1</v>
      </c>
    </row>
    <row r="27" spans="1:26" s="24" customFormat="1" hidden="1" outlineLevel="1" x14ac:dyDescent="0.25">
      <c r="A27" s="50"/>
      <c r="B27" s="11" t="str">
        <f>CONCATENATE("          ", "4158", " - ", "NON-TAXABLE SALES-FOOD")</f>
        <v xml:space="preserve">          4158 - NON-TAXABLE SALES-FOOD</v>
      </c>
      <c r="C27" s="11"/>
      <c r="D27" s="3">
        <f t="shared" si="6"/>
        <v>0</v>
      </c>
      <c r="E27" s="3"/>
      <c r="F27" s="22"/>
      <c r="G27" s="3"/>
      <c r="H27" s="3">
        <f>--9559.69</f>
        <v>9559.69</v>
      </c>
      <c r="I27" s="3"/>
      <c r="J27" s="22"/>
      <c r="K27" s="3"/>
      <c r="L27" s="3">
        <f t="shared" si="0"/>
        <v>-9559.69</v>
      </c>
      <c r="M27" s="3"/>
      <c r="N27" s="22">
        <f t="shared" si="1"/>
        <v>-1</v>
      </c>
      <c r="O27" s="11"/>
      <c r="P27" s="3">
        <f t="shared" si="7"/>
        <v>0</v>
      </c>
      <c r="Q27" s="3"/>
      <c r="R27" s="22"/>
      <c r="S27" s="3"/>
      <c r="T27" s="3">
        <f>--9559.69</f>
        <v>9559.69</v>
      </c>
      <c r="U27" s="3"/>
      <c r="V27" s="22"/>
      <c r="W27" s="3"/>
      <c r="X27" s="3">
        <f t="shared" si="2"/>
        <v>-9559.69</v>
      </c>
      <c r="Y27" s="3"/>
      <c r="Z27" s="22">
        <f t="shared" si="3"/>
        <v>-1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collapsed="1" x14ac:dyDescent="0.25">
      <c r="A29" s="10"/>
      <c r="B29" s="25" t="s">
        <v>8</v>
      </c>
      <c r="C29" s="10"/>
      <c r="D29" s="4">
        <f>SUM(OSRRefD16x_0)</f>
        <v>-226.87</v>
      </c>
      <c r="E29" s="4"/>
      <c r="F29" s="12">
        <f t="shared" ref="F29:F31" si="8">IF(D$12=0,0,D29/D$12)</f>
        <v>-0.23270866028659057</v>
      </c>
      <c r="G29" s="4"/>
      <c r="H29" s="4">
        <f>SUM(OSRRefH16x_0)</f>
        <v>94887.55</v>
      </c>
      <c r="I29" s="4"/>
      <c r="J29" s="12">
        <f t="shared" ref="J29:J31" si="9">IF(H$12=0,0,H29/H$12)</f>
        <v>0.39820069405122155</v>
      </c>
      <c r="K29" s="4"/>
      <c r="L29" s="4">
        <f t="shared" ref="L29:L31" si="10">+D29-H29</f>
        <v>-95114.42</v>
      </c>
      <c r="M29" s="4"/>
      <c r="N29" s="12">
        <f t="shared" ref="N29:N31" si="11">IF(H29=0,0,L29/H29)</f>
        <v>-1.0023909353756104</v>
      </c>
      <c r="O29" s="10"/>
      <c r="P29" s="4">
        <f>SUM(OSRRefP16x_0)</f>
        <v>-226.87</v>
      </c>
      <c r="Q29" s="4"/>
      <c r="R29" s="12">
        <f t="shared" ref="R29:R31" si="12">IF(P$12=0,0,P29/P$12)</f>
        <v>-0.23270866028659057</v>
      </c>
      <c r="S29" s="4"/>
      <c r="T29" s="4">
        <f>SUM(OSRRefT16x_0)</f>
        <v>94887.55</v>
      </c>
      <c r="U29" s="4"/>
      <c r="V29" s="12">
        <f t="shared" ref="V29:V31" si="13">IF(T$12=0,0,T29/T$12)</f>
        <v>0.39820069405122155</v>
      </c>
      <c r="W29" s="4"/>
      <c r="X29" s="4">
        <f t="shared" ref="X29:X31" si="14">+P29-T29</f>
        <v>-95114.42</v>
      </c>
      <c r="Y29" s="4"/>
      <c r="Z29" s="12">
        <f t="shared" ref="Z29:Z31" si="15">IF(T29=0,0,X29/T29)</f>
        <v>-1.0023909353756104</v>
      </c>
    </row>
    <row r="30" spans="1:26" s="24" customFormat="1" hidden="1" outlineLevel="1" x14ac:dyDescent="0.25">
      <c r="A30" s="50"/>
      <c r="B30" s="11" t="str">
        <f>CONCATENATE("          ", "5053", " - ", "PURCHASES @ COST-FOOD")</f>
        <v xml:space="preserve">          5053 - PURCHASES @ COST-FOOD</v>
      </c>
      <c r="C30" s="11"/>
      <c r="D30" s="3">
        <v>-226.87</v>
      </c>
      <c r="E30" s="3"/>
      <c r="F30" s="22">
        <f t="shared" si="8"/>
        <v>-0.23270866028659057</v>
      </c>
      <c r="G30" s="3"/>
      <c r="H30" s="3">
        <v>119420.3</v>
      </c>
      <c r="I30" s="3"/>
      <c r="J30" s="22">
        <f t="shared" si="9"/>
        <v>0.50115369554599198</v>
      </c>
      <c r="K30" s="3"/>
      <c r="L30" s="3">
        <f t="shared" si="10"/>
        <v>-119647.17</v>
      </c>
      <c r="M30" s="3"/>
      <c r="N30" s="22">
        <f t="shared" si="11"/>
        <v>-1.0018997607609426</v>
      </c>
      <c r="O30" s="11"/>
      <c r="P30" s="3">
        <v>-226.87</v>
      </c>
      <c r="Q30" s="3"/>
      <c r="R30" s="22">
        <f t="shared" si="12"/>
        <v>-0.23270866028659057</v>
      </c>
      <c r="S30" s="3"/>
      <c r="T30" s="3">
        <v>119420.3</v>
      </c>
      <c r="U30" s="3"/>
      <c r="V30" s="22">
        <f t="shared" si="13"/>
        <v>0.50115369554599198</v>
      </c>
      <c r="W30" s="3"/>
      <c r="X30" s="3">
        <f t="shared" si="14"/>
        <v>-119647.17</v>
      </c>
      <c r="Y30" s="3"/>
      <c r="Z30" s="22">
        <f t="shared" si="15"/>
        <v>-1.0018997607609426</v>
      </c>
    </row>
    <row r="31" spans="1:26" s="24" customFormat="1" hidden="1" outlineLevel="1" x14ac:dyDescent="0.25">
      <c r="A31" s="50"/>
      <c r="B31" s="11" t="str">
        <f>CONCATENATE("          ", "5059", " - ", "PURCHASES @ COST-FOOD")</f>
        <v xml:space="preserve">          5059 - PURCHASES @ COST-FOOD</v>
      </c>
      <c r="C31" s="11"/>
      <c r="D31" s="3"/>
      <c r="E31" s="3"/>
      <c r="F31" s="22">
        <f t="shared" si="8"/>
        <v>0</v>
      </c>
      <c r="G31" s="3"/>
      <c r="H31" s="3">
        <v>-24532.75</v>
      </c>
      <c r="I31" s="3"/>
      <c r="J31" s="22">
        <f t="shared" si="9"/>
        <v>-0.10295300149477045</v>
      </c>
      <c r="K31" s="3"/>
      <c r="L31" s="3">
        <f t="shared" si="10"/>
        <v>24532.75</v>
      </c>
      <c r="M31" s="3"/>
      <c r="N31" s="22">
        <f t="shared" si="11"/>
        <v>-1</v>
      </c>
      <c r="O31" s="11"/>
      <c r="P31" s="3"/>
      <c r="Q31" s="3"/>
      <c r="R31" s="22">
        <f t="shared" si="12"/>
        <v>0</v>
      </c>
      <c r="S31" s="3"/>
      <c r="T31" s="3">
        <v>-24532.75</v>
      </c>
      <c r="U31" s="3"/>
      <c r="V31" s="22">
        <f t="shared" si="13"/>
        <v>-0.10295300149477045</v>
      </c>
      <c r="W31" s="3"/>
      <c r="X31" s="3">
        <f t="shared" si="14"/>
        <v>24532.75</v>
      </c>
      <c r="Y31" s="3"/>
      <c r="Z31" s="22">
        <f t="shared" si="15"/>
        <v>-1</v>
      </c>
    </row>
    <row r="32" spans="1:26" x14ac:dyDescent="0.25">
      <c r="A32" s="9"/>
      <c r="B32" s="10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10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10"/>
      <c r="B33" s="26" t="s">
        <v>6</v>
      </c>
      <c r="C33" s="26"/>
      <c r="D33" s="19">
        <f>D12-D29</f>
        <v>1201.78</v>
      </c>
      <c r="E33" s="13"/>
      <c r="F33" s="20">
        <f>IF(D$12=0,0,D33/D$12)</f>
        <v>1.2327086602865907</v>
      </c>
      <c r="G33" s="13"/>
      <c r="H33" s="19">
        <f>H12-H29</f>
        <v>143403.21999999997</v>
      </c>
      <c r="I33" s="13"/>
      <c r="J33" s="20">
        <f>IF(H$12=0,0,H33/H$12)</f>
        <v>0.6017993059487784</v>
      </c>
      <c r="K33" s="16"/>
      <c r="L33" s="19">
        <f>+D33-H33</f>
        <v>-142201.43999999997</v>
      </c>
      <c r="M33" s="16"/>
      <c r="N33" s="20">
        <f>IF(H33=0,0,L33/H33)</f>
        <v>-0.99161957451164628</v>
      </c>
      <c r="O33" s="25"/>
      <c r="P33" s="19">
        <f>P12-P29</f>
        <v>1201.78</v>
      </c>
      <c r="Q33" s="13"/>
      <c r="R33" s="20">
        <f>IF(P$12=0,0,P33/P$12)</f>
        <v>1.2327086602865907</v>
      </c>
      <c r="S33" s="13"/>
      <c r="T33" s="19">
        <f>T12-T29</f>
        <v>143403.21999999997</v>
      </c>
      <c r="U33" s="13"/>
      <c r="V33" s="20">
        <f>IF(T$12=0,0,T33/T$12)</f>
        <v>0.6017993059487784</v>
      </c>
      <c r="W33" s="16"/>
      <c r="X33" s="19">
        <f>+P33-T33</f>
        <v>-142201.43999999997</v>
      </c>
      <c r="Y33" s="16"/>
      <c r="Z33" s="20">
        <f>IF(T33=0,0,X33/T33)</f>
        <v>-0.99161957451164628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5" t="s">
        <v>9</v>
      </c>
      <c r="C35" s="10"/>
      <c r="D35" s="21">
        <f>SUM(OSRRefD22x_0)</f>
        <v>162400.23000000001</v>
      </c>
      <c r="E35" s="21"/>
      <c r="F35" s="34">
        <f t="shared" ref="F35:F45" si="16">IF(D$12=0,0,D35/D$12)</f>
        <v>166.57971505062008</v>
      </c>
      <c r="G35" s="21"/>
      <c r="H35" s="21">
        <f>SUM(OSRRefH22x_0)</f>
        <v>488483.64</v>
      </c>
      <c r="I35" s="21"/>
      <c r="J35" s="34">
        <f t="shared" ref="J35:J45" si="17">IF(H$12=0,0,H35/H$12)</f>
        <v>2.0499478011674563</v>
      </c>
      <c r="K35" s="4"/>
      <c r="L35" s="21">
        <f t="shared" ref="L35:L45" si="18">+D35-H35</f>
        <v>-326083.41000000003</v>
      </c>
      <c r="M35" s="4"/>
      <c r="N35" s="34">
        <f t="shared" ref="N35:N45" si="19">IF(H35=0,0,L35/H35)</f>
        <v>-0.66754213099132664</v>
      </c>
      <c r="O35" s="10"/>
      <c r="P35" s="21">
        <f>SUM(OSRRefP22x_0)</f>
        <v>162400.23000000001</v>
      </c>
      <c r="Q35" s="21"/>
      <c r="R35" s="34">
        <f t="shared" ref="R35:R45" si="20">IF(P$12=0,0,P35/P$12)</f>
        <v>166.57971505062008</v>
      </c>
      <c r="S35" s="21"/>
      <c r="T35" s="21">
        <f>SUM(OSRRefT22x_0)</f>
        <v>488483.64</v>
      </c>
      <c r="U35" s="21"/>
      <c r="V35" s="34">
        <f t="shared" ref="V35:V45" si="21">IF(T$12=0,0,T35/T$12)</f>
        <v>2.0499478011674563</v>
      </c>
      <c r="W35" s="4"/>
      <c r="X35" s="21">
        <f t="shared" ref="X35:X45" si="22">+P35-T35</f>
        <v>-326083.41000000003</v>
      </c>
      <c r="Y35" s="4"/>
      <c r="Z35" s="34">
        <f t="shared" ref="Z35:Z45" si="23">IF(T35=0,0,X35/T35)</f>
        <v>-0.66754213099132664</v>
      </c>
    </row>
    <row r="36" spans="1:26" s="27" customFormat="1" outlineLevel="1" collapsed="1" x14ac:dyDescent="0.25">
      <c r="A36" s="28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34968.670000000006</v>
      </c>
      <c r="E36" s="1"/>
      <c r="F36" s="5">
        <f t="shared" si="16"/>
        <v>35.868613513042234</v>
      </c>
      <c r="G36" s="1"/>
      <c r="H36" s="1">
        <f>SUM(OSRRefH22_0x_0)</f>
        <v>80632.23</v>
      </c>
      <c r="I36" s="1"/>
      <c r="J36" s="5">
        <f t="shared" si="17"/>
        <v>0.33837747890948522</v>
      </c>
      <c r="K36" s="1"/>
      <c r="L36" s="1">
        <f t="shared" si="18"/>
        <v>-45663.55999999999</v>
      </c>
      <c r="M36" s="1"/>
      <c r="N36" s="5">
        <f t="shared" si="19"/>
        <v>-0.5663189521113331</v>
      </c>
      <c r="O36" s="14"/>
      <c r="P36" s="1">
        <f>SUM(OSRRefP22_0x_0)</f>
        <v>34968.670000000006</v>
      </c>
      <c r="Q36" s="1"/>
      <c r="R36" s="5">
        <f t="shared" si="20"/>
        <v>35.868613513042234</v>
      </c>
      <c r="S36" s="1"/>
      <c r="T36" s="1">
        <f>SUM(OSRRefT22_0x_0)</f>
        <v>80632.23</v>
      </c>
      <c r="U36" s="1"/>
      <c r="V36" s="5">
        <f t="shared" si="21"/>
        <v>0.33837747890948522</v>
      </c>
      <c r="W36" s="1"/>
      <c r="X36" s="1">
        <f t="shared" si="22"/>
        <v>-45663.55999999999</v>
      </c>
      <c r="Y36" s="1"/>
      <c r="Z36" s="5">
        <f t="shared" si="23"/>
        <v>-0.5663189521113331</v>
      </c>
    </row>
    <row r="37" spans="1:26" s="24" customFormat="1" hidden="1" outlineLevel="2" x14ac:dyDescent="0.25">
      <c r="A37" s="29"/>
      <c r="B37" s="11" t="str">
        <f>CONCATENATE("          ", "6111", " - ", "F.I.C.A.")</f>
        <v xml:space="preserve">          6111 - F.I.C.A.</v>
      </c>
      <c r="C37" s="11"/>
      <c r="D37" s="8">
        <v>3475.83</v>
      </c>
      <c r="E37" s="3"/>
      <c r="F37" s="7">
        <f t="shared" si="16"/>
        <v>3.5652829491953102</v>
      </c>
      <c r="G37" s="3"/>
      <c r="H37" s="8">
        <v>12663.6</v>
      </c>
      <c r="I37" s="3"/>
      <c r="J37" s="7">
        <f t="shared" si="17"/>
        <v>5.3143476769998269E-2</v>
      </c>
      <c r="K37" s="3"/>
      <c r="L37" s="8">
        <f t="shared" si="18"/>
        <v>-9187.77</v>
      </c>
      <c r="M37" s="3"/>
      <c r="N37" s="7">
        <f t="shared" si="19"/>
        <v>-0.72552591680090972</v>
      </c>
      <c r="O37" s="11"/>
      <c r="P37" s="8">
        <v>3475.83</v>
      </c>
      <c r="Q37" s="3"/>
      <c r="R37" s="7">
        <f t="shared" si="20"/>
        <v>3.5652829491953102</v>
      </c>
      <c r="S37" s="3"/>
      <c r="T37" s="8">
        <v>12663.6</v>
      </c>
      <c r="U37" s="3"/>
      <c r="V37" s="7">
        <f t="shared" si="21"/>
        <v>5.3143476769998269E-2</v>
      </c>
      <c r="W37" s="3"/>
      <c r="X37" s="8">
        <f t="shared" si="22"/>
        <v>-9187.77</v>
      </c>
      <c r="Y37" s="3"/>
      <c r="Z37" s="7">
        <f t="shared" si="23"/>
        <v>-0.72552591680090972</v>
      </c>
    </row>
    <row r="38" spans="1:26" s="24" customFormat="1" hidden="1" outlineLevel="2" x14ac:dyDescent="0.25">
      <c r="A38" s="29"/>
      <c r="B38" s="11" t="str">
        <f>CONCATENATE("          ", "6112", " - ", "COMPENSATION INSURANCE")</f>
        <v xml:space="preserve">          6112 - COMPENSATION INSURANCE</v>
      </c>
      <c r="C38" s="11"/>
      <c r="D38" s="8">
        <v>738.68</v>
      </c>
      <c r="E38" s="3"/>
      <c r="F38" s="7">
        <f t="shared" si="16"/>
        <v>0.75769045347775688</v>
      </c>
      <c r="G38" s="3"/>
      <c r="H38" s="8">
        <v>5646.39</v>
      </c>
      <c r="I38" s="3"/>
      <c r="J38" s="7">
        <f t="shared" si="17"/>
        <v>2.3695378549492288E-2</v>
      </c>
      <c r="K38" s="3"/>
      <c r="L38" s="8">
        <f t="shared" si="18"/>
        <v>-4907.71</v>
      </c>
      <c r="M38" s="3"/>
      <c r="N38" s="7">
        <f t="shared" si="19"/>
        <v>-0.86917658893558536</v>
      </c>
      <c r="O38" s="11"/>
      <c r="P38" s="8">
        <v>738.68</v>
      </c>
      <c r="Q38" s="3"/>
      <c r="R38" s="7">
        <f t="shared" si="20"/>
        <v>0.75769045347775688</v>
      </c>
      <c r="S38" s="3"/>
      <c r="T38" s="8">
        <v>5646.39</v>
      </c>
      <c r="U38" s="3"/>
      <c r="V38" s="7">
        <f t="shared" si="21"/>
        <v>2.3695378549492288E-2</v>
      </c>
      <c r="W38" s="3"/>
      <c r="X38" s="8">
        <f t="shared" si="22"/>
        <v>-4907.71</v>
      </c>
      <c r="Y38" s="3"/>
      <c r="Z38" s="7">
        <f t="shared" si="23"/>
        <v>-0.86917658893558536</v>
      </c>
    </row>
    <row r="39" spans="1:26" s="24" customFormat="1" hidden="1" outlineLevel="2" x14ac:dyDescent="0.25">
      <c r="A39" s="29"/>
      <c r="B39" s="11" t="str">
        <f>CONCATENATE("          ", "6113", " - ", "GROUP INSURANCE")</f>
        <v xml:space="preserve">          6113 - GROUP INSURANCE</v>
      </c>
      <c r="C39" s="11"/>
      <c r="D39" s="8">
        <v>18239.09</v>
      </c>
      <c r="E39" s="3"/>
      <c r="F39" s="7">
        <f t="shared" si="16"/>
        <v>18.708485911520039</v>
      </c>
      <c r="G39" s="3"/>
      <c r="H39" s="8">
        <v>27448.38</v>
      </c>
      <c r="I39" s="3"/>
      <c r="J39" s="7">
        <f t="shared" si="17"/>
        <v>0.11518859920591973</v>
      </c>
      <c r="K39" s="3"/>
      <c r="L39" s="8">
        <f t="shared" si="18"/>
        <v>-9209.2900000000009</v>
      </c>
      <c r="M39" s="3"/>
      <c r="N39" s="7">
        <f t="shared" si="19"/>
        <v>-0.33551306124441588</v>
      </c>
      <c r="O39" s="11"/>
      <c r="P39" s="8">
        <v>18239.09</v>
      </c>
      <c r="Q39" s="3"/>
      <c r="R39" s="7">
        <f t="shared" si="20"/>
        <v>18.708485911520039</v>
      </c>
      <c r="S39" s="3"/>
      <c r="T39" s="8">
        <v>27448.38</v>
      </c>
      <c r="U39" s="3"/>
      <c r="V39" s="7">
        <f t="shared" si="21"/>
        <v>0.11518859920591973</v>
      </c>
      <c r="W39" s="3"/>
      <c r="X39" s="8">
        <f t="shared" si="22"/>
        <v>-9209.2900000000009</v>
      </c>
      <c r="Y39" s="3"/>
      <c r="Z39" s="7">
        <f t="shared" si="23"/>
        <v>-0.33551306124441588</v>
      </c>
    </row>
    <row r="40" spans="1:26" s="24" customFormat="1" hidden="1" outlineLevel="2" x14ac:dyDescent="0.25">
      <c r="A40" s="29"/>
      <c r="B40" s="11" t="str">
        <f>CONCATENATE("          ", "6114", " - ", "STATE UNEMPLOYMENT INSURANCE")</f>
        <v xml:space="preserve">          6114 - STATE UNEMPLOYMENT INSURANCE</v>
      </c>
      <c r="C40" s="11"/>
      <c r="D40" s="8">
        <v>105.81</v>
      </c>
      <c r="E40" s="3"/>
      <c r="F40" s="7">
        <f t="shared" si="16"/>
        <v>0.10853309536264887</v>
      </c>
      <c r="G40" s="3"/>
      <c r="H40" s="8">
        <v>427.88</v>
      </c>
      <c r="I40" s="3"/>
      <c r="J40" s="7">
        <f t="shared" si="17"/>
        <v>1.7956213746759893E-3</v>
      </c>
      <c r="K40" s="3"/>
      <c r="L40" s="8">
        <f t="shared" si="18"/>
        <v>-322.07</v>
      </c>
      <c r="M40" s="3"/>
      <c r="N40" s="7">
        <f t="shared" si="19"/>
        <v>-0.7527110404786389</v>
      </c>
      <c r="O40" s="11"/>
      <c r="P40" s="8">
        <v>105.81</v>
      </c>
      <c r="Q40" s="3"/>
      <c r="R40" s="7">
        <f t="shared" si="20"/>
        <v>0.10853309536264887</v>
      </c>
      <c r="S40" s="3"/>
      <c r="T40" s="8">
        <v>427.88</v>
      </c>
      <c r="U40" s="3"/>
      <c r="V40" s="7">
        <f t="shared" si="21"/>
        <v>1.7956213746759893E-3</v>
      </c>
      <c r="W40" s="3"/>
      <c r="X40" s="8">
        <f t="shared" si="22"/>
        <v>-322.07</v>
      </c>
      <c r="Y40" s="3"/>
      <c r="Z40" s="7">
        <f t="shared" si="23"/>
        <v>-0.7527110404786389</v>
      </c>
    </row>
    <row r="41" spans="1:26" s="24" customFormat="1" hidden="1" outlineLevel="2" x14ac:dyDescent="0.25">
      <c r="A41" s="29"/>
      <c r="B41" s="11" t="str">
        <f>CONCATENATE("          ", "6115", " - ", "P.E.R.S.")</f>
        <v xml:space="preserve">          6115 - P.E.R.S.</v>
      </c>
      <c r="C41" s="11"/>
      <c r="D41" s="8">
        <v>6511.13</v>
      </c>
      <c r="E41" s="3"/>
      <c r="F41" s="7">
        <f t="shared" si="16"/>
        <v>6.6786985465325008</v>
      </c>
      <c r="G41" s="3"/>
      <c r="H41" s="8">
        <v>7277.48</v>
      </c>
      <c r="I41" s="3"/>
      <c r="J41" s="7">
        <f t="shared" si="17"/>
        <v>3.0540335238330885E-2</v>
      </c>
      <c r="K41" s="3"/>
      <c r="L41" s="8">
        <f t="shared" si="18"/>
        <v>-766.34999999999945</v>
      </c>
      <c r="M41" s="3"/>
      <c r="N41" s="7">
        <f t="shared" si="19"/>
        <v>-0.10530430863430741</v>
      </c>
      <c r="O41" s="11"/>
      <c r="P41" s="8">
        <v>6511.13</v>
      </c>
      <c r="Q41" s="3"/>
      <c r="R41" s="7">
        <f t="shared" si="20"/>
        <v>6.6786985465325008</v>
      </c>
      <c r="S41" s="3"/>
      <c r="T41" s="8">
        <v>7277.48</v>
      </c>
      <c r="U41" s="3"/>
      <c r="V41" s="7">
        <f t="shared" si="21"/>
        <v>3.0540335238330885E-2</v>
      </c>
      <c r="W41" s="3"/>
      <c r="X41" s="8">
        <f t="shared" si="22"/>
        <v>-766.34999999999945</v>
      </c>
      <c r="Y41" s="3"/>
      <c r="Z41" s="7">
        <f t="shared" si="23"/>
        <v>-0.10530430863430741</v>
      </c>
    </row>
    <row r="42" spans="1:26" s="24" customFormat="1" hidden="1" outlineLevel="2" x14ac:dyDescent="0.25">
      <c r="A42" s="29"/>
      <c r="B42" s="11" t="str">
        <f>CONCATENATE("          ", "6117", " - ", "RETIREMENT STAFF HOURLY")</f>
        <v xml:space="preserve">          6117 - RETIREMENT STAFF HOURLY</v>
      </c>
      <c r="C42" s="11"/>
      <c r="D42" s="8"/>
      <c r="E42" s="3"/>
      <c r="F42" s="7">
        <f t="shared" si="16"/>
        <v>0</v>
      </c>
      <c r="G42" s="3"/>
      <c r="H42" s="8">
        <v>56</v>
      </c>
      <c r="I42" s="3"/>
      <c r="J42" s="7">
        <f t="shared" si="17"/>
        <v>2.350070042578653E-4</v>
      </c>
      <c r="K42" s="3"/>
      <c r="L42" s="8">
        <f t="shared" si="18"/>
        <v>-56</v>
      </c>
      <c r="M42" s="3"/>
      <c r="N42" s="7">
        <f t="shared" si="19"/>
        <v>-1</v>
      </c>
      <c r="O42" s="11"/>
      <c r="P42" s="8"/>
      <c r="Q42" s="3"/>
      <c r="R42" s="7">
        <f t="shared" si="20"/>
        <v>0</v>
      </c>
      <c r="S42" s="3"/>
      <c r="T42" s="8">
        <v>56</v>
      </c>
      <c r="U42" s="3"/>
      <c r="V42" s="7">
        <f t="shared" si="21"/>
        <v>2.350070042578653E-4</v>
      </c>
      <c r="W42" s="3"/>
      <c r="X42" s="8">
        <f t="shared" si="22"/>
        <v>-56</v>
      </c>
      <c r="Y42" s="3"/>
      <c r="Z42" s="7">
        <f t="shared" si="23"/>
        <v>-1</v>
      </c>
    </row>
    <row r="43" spans="1:26" s="24" customFormat="1" hidden="1" outlineLevel="2" x14ac:dyDescent="0.25">
      <c r="A43" s="29"/>
      <c r="B43" s="11" t="str">
        <f>CONCATENATE("          ", "6118", " - ", "VACATION")</f>
        <v xml:space="preserve">          6118 - VACATION</v>
      </c>
      <c r="C43" s="11"/>
      <c r="D43" s="8">
        <v>3359.21</v>
      </c>
      <c r="E43" s="3"/>
      <c r="F43" s="7">
        <f t="shared" si="16"/>
        <v>3.4456616508190501</v>
      </c>
      <c r="G43" s="3"/>
      <c r="H43" s="8">
        <v>9883.57</v>
      </c>
      <c r="I43" s="3"/>
      <c r="J43" s="7">
        <f t="shared" si="17"/>
        <v>4.1476931733444813E-2</v>
      </c>
      <c r="K43" s="3"/>
      <c r="L43" s="8">
        <f t="shared" si="18"/>
        <v>-6524.36</v>
      </c>
      <c r="M43" s="3"/>
      <c r="N43" s="7">
        <f t="shared" si="19"/>
        <v>-0.66012179809522264</v>
      </c>
      <c r="O43" s="11"/>
      <c r="P43" s="8">
        <v>3359.21</v>
      </c>
      <c r="Q43" s="3"/>
      <c r="R43" s="7">
        <f t="shared" si="20"/>
        <v>3.4456616508190501</v>
      </c>
      <c r="S43" s="3"/>
      <c r="T43" s="8">
        <v>9883.57</v>
      </c>
      <c r="U43" s="3"/>
      <c r="V43" s="7">
        <f t="shared" si="21"/>
        <v>4.1476931733444813E-2</v>
      </c>
      <c r="W43" s="3"/>
      <c r="X43" s="8">
        <f t="shared" si="22"/>
        <v>-6524.36</v>
      </c>
      <c r="Y43" s="3"/>
      <c r="Z43" s="7">
        <f t="shared" si="23"/>
        <v>-0.66012179809522264</v>
      </c>
    </row>
    <row r="44" spans="1:26" s="24" customFormat="1" hidden="1" outlineLevel="2" x14ac:dyDescent="0.25">
      <c r="A44" s="29"/>
      <c r="B44" s="11" t="str">
        <f>CONCATENATE("          ", "6119", " - ", "SICK LEAVE")</f>
        <v xml:space="preserve">          6119 - SICK LEAVE</v>
      </c>
      <c r="C44" s="11"/>
      <c r="D44" s="8">
        <v>2229.19</v>
      </c>
      <c r="E44" s="3"/>
      <c r="F44" s="7">
        <f t="shared" si="16"/>
        <v>2.2865597850057955</v>
      </c>
      <c r="G44" s="3"/>
      <c r="H44" s="8">
        <v>14583.42</v>
      </c>
      <c r="I44" s="3"/>
      <c r="J44" s="7">
        <f t="shared" si="17"/>
        <v>6.1200104393468541E-2</v>
      </c>
      <c r="K44" s="3"/>
      <c r="L44" s="8">
        <f t="shared" si="18"/>
        <v>-12354.23</v>
      </c>
      <c r="M44" s="3"/>
      <c r="N44" s="7">
        <f t="shared" si="19"/>
        <v>-0.84714216555513033</v>
      </c>
      <c r="O44" s="11"/>
      <c r="P44" s="8">
        <v>2229.19</v>
      </c>
      <c r="Q44" s="3"/>
      <c r="R44" s="7">
        <f t="shared" si="20"/>
        <v>2.2865597850057955</v>
      </c>
      <c r="S44" s="3"/>
      <c r="T44" s="8">
        <v>14583.42</v>
      </c>
      <c r="U44" s="3"/>
      <c r="V44" s="7">
        <f t="shared" si="21"/>
        <v>6.1200104393468541E-2</v>
      </c>
      <c r="W44" s="3"/>
      <c r="X44" s="8">
        <f t="shared" si="22"/>
        <v>-12354.23</v>
      </c>
      <c r="Y44" s="3"/>
      <c r="Z44" s="7">
        <f t="shared" si="23"/>
        <v>-0.84714216555513033</v>
      </c>
    </row>
    <row r="45" spans="1:26" s="24" customFormat="1" hidden="1" outlineLevel="2" x14ac:dyDescent="0.25">
      <c r="A45" s="29"/>
      <c r="B45" s="11" t="str">
        <f>CONCATENATE("          ", "6156", " - ", "EMPLOYEE MEALS")</f>
        <v xml:space="preserve">          6156 - EMPLOYEE MEALS</v>
      </c>
      <c r="C45" s="11"/>
      <c r="D45" s="8">
        <v>309.73</v>
      </c>
      <c r="E45" s="3"/>
      <c r="F45" s="7">
        <f t="shared" si="16"/>
        <v>0.3177011211291299</v>
      </c>
      <c r="G45" s="3"/>
      <c r="H45" s="8">
        <v>2645.51</v>
      </c>
      <c r="I45" s="3"/>
      <c r="J45" s="7">
        <f t="shared" si="17"/>
        <v>1.1102024639896881E-2</v>
      </c>
      <c r="K45" s="3"/>
      <c r="L45" s="8">
        <f t="shared" si="18"/>
        <v>-2335.7800000000002</v>
      </c>
      <c r="M45" s="3"/>
      <c r="N45" s="7">
        <f t="shared" si="19"/>
        <v>-0.8829223854757684</v>
      </c>
      <c r="O45" s="11"/>
      <c r="P45" s="8">
        <v>309.73</v>
      </c>
      <c r="Q45" s="3"/>
      <c r="R45" s="7">
        <f t="shared" si="20"/>
        <v>0.3177011211291299</v>
      </c>
      <c r="S45" s="3"/>
      <c r="T45" s="8">
        <v>2645.51</v>
      </c>
      <c r="U45" s="3"/>
      <c r="V45" s="7">
        <f t="shared" si="21"/>
        <v>1.1102024639896881E-2</v>
      </c>
      <c r="W45" s="3"/>
      <c r="X45" s="8">
        <f t="shared" si="22"/>
        <v>-2335.7800000000002</v>
      </c>
      <c r="Y45" s="3"/>
      <c r="Z45" s="7">
        <f t="shared" si="23"/>
        <v>-0.8829223854757684</v>
      </c>
    </row>
    <row r="46" spans="1:26" s="27" customFormat="1" outlineLevel="1" collapsed="1" x14ac:dyDescent="0.25">
      <c r="A46" s="28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47905.05</v>
      </c>
      <c r="E46" s="1"/>
      <c r="F46" s="5">
        <f t="shared" ref="F46:F53" si="24">IF(D$12=0,0,D46/D$12)</f>
        <v>49.137920423423708</v>
      </c>
      <c r="G46" s="1"/>
      <c r="H46" s="1">
        <f>SUM(OSRRefH22_1x_0)</f>
        <v>198123.83999999997</v>
      </c>
      <c r="I46" s="1"/>
      <c r="J46" s="5">
        <f t="shared" ref="J46:J53" si="25">IF(H$12=0,0,H46/H$12)</f>
        <v>0.83143732340115384</v>
      </c>
      <c r="K46" s="1"/>
      <c r="L46" s="1">
        <f t="shared" ref="L46:L53" si="26">+D46-H46</f>
        <v>-150218.78999999998</v>
      </c>
      <c r="M46" s="1"/>
      <c r="N46" s="5">
        <f t="shared" ref="N46:N53" si="27">IF(H46=0,0,L46/H46)</f>
        <v>-0.75820653385276604</v>
      </c>
      <c r="O46" s="14"/>
      <c r="P46" s="1">
        <f>SUM(OSRRefP22_1x_0)</f>
        <v>47905.05</v>
      </c>
      <c r="Q46" s="1"/>
      <c r="R46" s="5">
        <f t="shared" ref="R46:R53" si="28">IF(P$12=0,0,P46/P$12)</f>
        <v>49.137920423423708</v>
      </c>
      <c r="S46" s="1"/>
      <c r="T46" s="1">
        <f>SUM(OSRRefT22_1x_0)</f>
        <v>198123.83999999997</v>
      </c>
      <c r="U46" s="1"/>
      <c r="V46" s="5">
        <f t="shared" ref="V46:V53" si="29">IF(T$12=0,0,T46/T$12)</f>
        <v>0.83143732340115384</v>
      </c>
      <c r="W46" s="1"/>
      <c r="X46" s="1">
        <f t="shared" ref="X46:X53" si="30">+P46-T46</f>
        <v>-150218.78999999998</v>
      </c>
      <c r="Y46" s="1"/>
      <c r="Z46" s="5">
        <f t="shared" ref="Z46:Z53" si="31">IF(T46=0,0,X46/T46)</f>
        <v>-0.75820653385276604</v>
      </c>
    </row>
    <row r="47" spans="1:26" s="24" customFormat="1" hidden="1" outlineLevel="2" x14ac:dyDescent="0.25">
      <c r="A47" s="29"/>
      <c r="B47" s="11" t="str">
        <f>CONCATENATE("          ", "6001", " - ", "ADMINISTRATIVE SALARIES")</f>
        <v xml:space="preserve">          6001 - ADMINISTRATIVE SALARIES</v>
      </c>
      <c r="C47" s="11"/>
      <c r="D47" s="8">
        <v>11207.33</v>
      </c>
      <c r="E47" s="3"/>
      <c r="F47" s="7">
        <f t="shared" si="24"/>
        <v>11.495758582843544</v>
      </c>
      <c r="G47" s="3"/>
      <c r="H47" s="8">
        <v>20426.670000000002</v>
      </c>
      <c r="I47" s="3"/>
      <c r="J47" s="7">
        <f t="shared" si="25"/>
        <v>8.5721616494000175E-2</v>
      </c>
      <c r="K47" s="3"/>
      <c r="L47" s="8">
        <f t="shared" si="26"/>
        <v>-9219.340000000002</v>
      </c>
      <c r="M47" s="3"/>
      <c r="N47" s="7">
        <f t="shared" si="27"/>
        <v>-0.45133837282337264</v>
      </c>
      <c r="O47" s="11"/>
      <c r="P47" s="8">
        <v>11207.33</v>
      </c>
      <c r="Q47" s="3"/>
      <c r="R47" s="7">
        <f t="shared" si="28"/>
        <v>11.495758582843544</v>
      </c>
      <c r="S47" s="3"/>
      <c r="T47" s="8">
        <v>20426.670000000002</v>
      </c>
      <c r="U47" s="3"/>
      <c r="V47" s="7">
        <f t="shared" si="29"/>
        <v>8.5721616494000175E-2</v>
      </c>
      <c r="W47" s="3"/>
      <c r="X47" s="8">
        <f t="shared" si="30"/>
        <v>-9219.340000000002</v>
      </c>
      <c r="Y47" s="3"/>
      <c r="Z47" s="7">
        <f t="shared" si="31"/>
        <v>-0.45133837282337264</v>
      </c>
    </row>
    <row r="48" spans="1:26" s="24" customFormat="1" hidden="1" outlineLevel="2" x14ac:dyDescent="0.25">
      <c r="A48" s="29"/>
      <c r="B48" s="11" t="str">
        <f>CONCATENATE("          ", "6002", " - ", "STAFF SALARIES")</f>
        <v xml:space="preserve">          6002 - STAFF SALARIES</v>
      </c>
      <c r="C48" s="11"/>
      <c r="D48" s="8">
        <v>32575.99</v>
      </c>
      <c r="E48" s="3"/>
      <c r="F48" s="7">
        <f t="shared" si="24"/>
        <v>33.41435619698229</v>
      </c>
      <c r="G48" s="3"/>
      <c r="H48" s="8">
        <v>77310.349999999991</v>
      </c>
      <c r="I48" s="3"/>
      <c r="J48" s="7">
        <f t="shared" si="25"/>
        <v>0.32443703127905454</v>
      </c>
      <c r="K48" s="3"/>
      <c r="L48" s="8">
        <f t="shared" si="26"/>
        <v>-44734.359999999986</v>
      </c>
      <c r="M48" s="3"/>
      <c r="N48" s="7">
        <f t="shared" si="27"/>
        <v>-0.57863352060881879</v>
      </c>
      <c r="O48" s="11"/>
      <c r="P48" s="8">
        <v>32575.99</v>
      </c>
      <c r="Q48" s="3"/>
      <c r="R48" s="7">
        <f t="shared" si="28"/>
        <v>33.41435619698229</v>
      </c>
      <c r="S48" s="3"/>
      <c r="T48" s="8">
        <v>77310.349999999991</v>
      </c>
      <c r="U48" s="3"/>
      <c r="V48" s="7">
        <f t="shared" si="29"/>
        <v>0.32443703127905454</v>
      </c>
      <c r="W48" s="3"/>
      <c r="X48" s="8">
        <f t="shared" si="30"/>
        <v>-44734.359999999986</v>
      </c>
      <c r="Y48" s="3"/>
      <c r="Z48" s="7">
        <f t="shared" si="31"/>
        <v>-0.57863352060881879</v>
      </c>
    </row>
    <row r="49" spans="1:26" s="24" customFormat="1" hidden="1" outlineLevel="2" x14ac:dyDescent="0.25">
      <c r="A49" s="29"/>
      <c r="B49" s="11" t="str">
        <f>CONCATENATE("          ", "6004", " - ", "STAFF HOURLY")</f>
        <v xml:space="preserve">          6004 - STAFF HOURLY</v>
      </c>
      <c r="C49" s="11"/>
      <c r="D49" s="8">
        <v>2771.73</v>
      </c>
      <c r="E49" s="3"/>
      <c r="F49" s="7">
        <f t="shared" si="24"/>
        <v>2.8430624365326032</v>
      </c>
      <c r="G49" s="3"/>
      <c r="H49" s="8">
        <v>15310.009999999998</v>
      </c>
      <c r="I49" s="3"/>
      <c r="J49" s="7">
        <f t="shared" si="25"/>
        <v>6.4249278308177851E-2</v>
      </c>
      <c r="K49" s="3"/>
      <c r="L49" s="8">
        <f t="shared" si="26"/>
        <v>-12538.279999999999</v>
      </c>
      <c r="M49" s="3"/>
      <c r="N49" s="7">
        <f t="shared" si="27"/>
        <v>-0.81895962184218041</v>
      </c>
      <c r="O49" s="11"/>
      <c r="P49" s="8">
        <v>2771.73</v>
      </c>
      <c r="Q49" s="3"/>
      <c r="R49" s="7">
        <f t="shared" si="28"/>
        <v>2.8430624365326032</v>
      </c>
      <c r="S49" s="3"/>
      <c r="T49" s="8">
        <v>15310.009999999998</v>
      </c>
      <c r="U49" s="3"/>
      <c r="V49" s="7">
        <f t="shared" si="29"/>
        <v>6.4249278308177851E-2</v>
      </c>
      <c r="W49" s="3"/>
      <c r="X49" s="8">
        <f t="shared" si="30"/>
        <v>-12538.279999999999</v>
      </c>
      <c r="Y49" s="3"/>
      <c r="Z49" s="7">
        <f t="shared" si="31"/>
        <v>-0.81895962184218041</v>
      </c>
    </row>
    <row r="50" spans="1:26" s="24" customFormat="1" hidden="1" outlineLevel="2" x14ac:dyDescent="0.25">
      <c r="A50" s="29"/>
      <c r="B50" s="11" t="str">
        <f>CONCATENATE("          ", "6005", " - ", "TEMPORARY WAGES-HOURLY")</f>
        <v xml:space="preserve">          6005 - TEMPORARY WAGES-HOURLY</v>
      </c>
      <c r="C50" s="11"/>
      <c r="D50" s="8"/>
      <c r="E50" s="3"/>
      <c r="F50" s="7">
        <f t="shared" si="24"/>
        <v>0</v>
      </c>
      <c r="G50" s="3"/>
      <c r="H50" s="8">
        <v>30780.25</v>
      </c>
      <c r="I50" s="3"/>
      <c r="J50" s="7">
        <f t="shared" si="25"/>
        <v>0.12917097040728856</v>
      </c>
      <c r="K50" s="3"/>
      <c r="L50" s="8">
        <f t="shared" si="26"/>
        <v>-30780.25</v>
      </c>
      <c r="M50" s="3"/>
      <c r="N50" s="7">
        <f t="shared" si="27"/>
        <v>-1</v>
      </c>
      <c r="O50" s="11"/>
      <c r="P50" s="8"/>
      <c r="Q50" s="3"/>
      <c r="R50" s="7">
        <f t="shared" si="28"/>
        <v>0</v>
      </c>
      <c r="S50" s="3"/>
      <c r="T50" s="8">
        <v>30780.25</v>
      </c>
      <c r="U50" s="3"/>
      <c r="V50" s="7">
        <f t="shared" si="29"/>
        <v>0.12917097040728856</v>
      </c>
      <c r="W50" s="3"/>
      <c r="X50" s="8">
        <f t="shared" si="30"/>
        <v>-30780.25</v>
      </c>
      <c r="Y50" s="3"/>
      <c r="Z50" s="7">
        <f t="shared" si="31"/>
        <v>-1</v>
      </c>
    </row>
    <row r="51" spans="1:26" s="24" customFormat="1" hidden="1" outlineLevel="2" x14ac:dyDescent="0.25">
      <c r="A51" s="29"/>
      <c r="B51" s="11" t="str">
        <f>CONCATENATE("          ", "6006", " - ", "TEMPORARY PART TIME")</f>
        <v xml:space="preserve">          6006 - TEMPORARY PART TIME</v>
      </c>
      <c r="C51" s="11"/>
      <c r="D51" s="8"/>
      <c r="E51" s="3"/>
      <c r="F51" s="7">
        <f t="shared" si="24"/>
        <v>0</v>
      </c>
      <c r="G51" s="3"/>
      <c r="H51" s="8">
        <v>2977.39</v>
      </c>
      <c r="I51" s="3"/>
      <c r="J51" s="7">
        <f t="shared" si="25"/>
        <v>1.2494776864416527E-2</v>
      </c>
      <c r="K51" s="3"/>
      <c r="L51" s="8">
        <f t="shared" si="26"/>
        <v>-2977.39</v>
      </c>
      <c r="M51" s="3"/>
      <c r="N51" s="7">
        <f t="shared" si="27"/>
        <v>-1</v>
      </c>
      <c r="O51" s="11"/>
      <c r="P51" s="8"/>
      <c r="Q51" s="3"/>
      <c r="R51" s="7">
        <f t="shared" si="28"/>
        <v>0</v>
      </c>
      <c r="S51" s="3"/>
      <c r="T51" s="8">
        <v>2977.39</v>
      </c>
      <c r="U51" s="3"/>
      <c r="V51" s="7">
        <f t="shared" si="29"/>
        <v>1.2494776864416527E-2</v>
      </c>
      <c r="W51" s="3"/>
      <c r="X51" s="8">
        <f t="shared" si="30"/>
        <v>-2977.39</v>
      </c>
      <c r="Y51" s="3"/>
      <c r="Z51" s="7">
        <f t="shared" si="31"/>
        <v>-1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8">
        <v>1350</v>
      </c>
      <c r="E52" s="3"/>
      <c r="F52" s="7">
        <f t="shared" si="24"/>
        <v>1.3847432070652677</v>
      </c>
      <c r="G52" s="3"/>
      <c r="H52" s="8">
        <v>48793.15</v>
      </c>
      <c r="I52" s="3"/>
      <c r="J52" s="7">
        <f t="shared" si="25"/>
        <v>0.20476307160365467</v>
      </c>
      <c r="K52" s="3"/>
      <c r="L52" s="8">
        <f t="shared" si="26"/>
        <v>-47443.15</v>
      </c>
      <c r="M52" s="3"/>
      <c r="N52" s="7">
        <f t="shared" si="27"/>
        <v>-0.97233218187389003</v>
      </c>
      <c r="O52" s="11"/>
      <c r="P52" s="8">
        <v>1350</v>
      </c>
      <c r="Q52" s="3"/>
      <c r="R52" s="7">
        <f t="shared" si="28"/>
        <v>1.3847432070652677</v>
      </c>
      <c r="S52" s="3"/>
      <c r="T52" s="8">
        <v>48793.15</v>
      </c>
      <c r="U52" s="3"/>
      <c r="V52" s="7">
        <f t="shared" si="29"/>
        <v>0.20476307160365467</v>
      </c>
      <c r="W52" s="3"/>
      <c r="X52" s="8">
        <f t="shared" si="30"/>
        <v>-47443.15</v>
      </c>
      <c r="Y52" s="3"/>
      <c r="Z52" s="7">
        <f t="shared" si="31"/>
        <v>-0.97233218187389003</v>
      </c>
    </row>
    <row r="53" spans="1:26" s="24" customFormat="1" hidden="1" outlineLevel="2" x14ac:dyDescent="0.25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8"/>
      <c r="E53" s="3"/>
      <c r="F53" s="7">
        <f t="shared" si="24"/>
        <v>0</v>
      </c>
      <c r="G53" s="3"/>
      <c r="H53" s="8">
        <v>2526.02</v>
      </c>
      <c r="I53" s="3"/>
      <c r="J53" s="7">
        <f t="shared" si="25"/>
        <v>1.0600578444561659E-2</v>
      </c>
      <c r="K53" s="3"/>
      <c r="L53" s="8">
        <f t="shared" si="26"/>
        <v>-2526.02</v>
      </c>
      <c r="M53" s="3"/>
      <c r="N53" s="7">
        <f t="shared" si="27"/>
        <v>-1</v>
      </c>
      <c r="O53" s="11"/>
      <c r="P53" s="8"/>
      <c r="Q53" s="3"/>
      <c r="R53" s="7">
        <f t="shared" si="28"/>
        <v>0</v>
      </c>
      <c r="S53" s="3"/>
      <c r="T53" s="8">
        <v>2526.02</v>
      </c>
      <c r="U53" s="3"/>
      <c r="V53" s="7">
        <f t="shared" si="29"/>
        <v>1.0600578444561659E-2</v>
      </c>
      <c r="W53" s="3"/>
      <c r="X53" s="8">
        <f t="shared" si="30"/>
        <v>-2526.02</v>
      </c>
      <c r="Y53" s="3"/>
      <c r="Z53" s="7">
        <f t="shared" si="31"/>
        <v>-1</v>
      </c>
    </row>
    <row r="54" spans="1:26" s="27" customFormat="1" outlineLevel="1" collapsed="1" x14ac:dyDescent="0.25">
      <c r="A54" s="28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45.97</v>
      </c>
      <c r="E54" s="1"/>
      <c r="F54" s="5">
        <f t="shared" ref="F54:F63" si="32">IF(D$12=0,0,D54/D$12)</f>
        <v>4.7153070539844702E-2</v>
      </c>
      <c r="G54" s="1"/>
      <c r="H54" s="1">
        <f>SUM(OSRRefH22_2x_0)</f>
        <v>3048.45</v>
      </c>
      <c r="I54" s="1"/>
      <c r="J54" s="5">
        <f t="shared" ref="J54:J63" si="33">IF(H$12=0,0,H54/H$12)</f>
        <v>1.2792983966605168E-2</v>
      </c>
      <c r="K54" s="1"/>
      <c r="L54" s="1">
        <f t="shared" ref="L54:L63" si="34">+D54-H54</f>
        <v>-3002.48</v>
      </c>
      <c r="M54" s="1"/>
      <c r="N54" s="5">
        <f t="shared" ref="N54:N63" si="35">IF(H54=0,0,L54/H54)</f>
        <v>-0.98492020535026004</v>
      </c>
      <c r="O54" s="14"/>
      <c r="P54" s="1">
        <f>SUM(OSRRefP22_2x_0)</f>
        <v>45.97</v>
      </c>
      <c r="Q54" s="1"/>
      <c r="R54" s="5">
        <f t="shared" ref="R54:R63" si="36">IF(P$12=0,0,P54/P$12)</f>
        <v>4.7153070539844702E-2</v>
      </c>
      <c r="S54" s="1"/>
      <c r="T54" s="1">
        <f>SUM(OSRRefT22_2x_0)</f>
        <v>3048.45</v>
      </c>
      <c r="U54" s="1"/>
      <c r="V54" s="5">
        <f t="shared" ref="V54:V63" si="37">IF(T$12=0,0,T54/T$12)</f>
        <v>1.2792983966605168E-2</v>
      </c>
      <c r="W54" s="1"/>
      <c r="X54" s="1">
        <f t="shared" ref="X54:X63" si="38">+P54-T54</f>
        <v>-3002.48</v>
      </c>
      <c r="Y54" s="1"/>
      <c r="Z54" s="5">
        <f t="shared" ref="Z54:Z63" si="39">IF(T54=0,0,X54/T54)</f>
        <v>-0.98492020535026004</v>
      </c>
    </row>
    <row r="55" spans="1:26" s="24" customFormat="1" hidden="1" outlineLevel="2" x14ac:dyDescent="0.25">
      <c r="A55" s="29"/>
      <c r="B55" s="11" t="str">
        <f>CONCATENATE("          ", "6362", " - ", "ADVERTISING EXPENSE")</f>
        <v xml:space="preserve">          6362 - ADVERTISING EXPENSE</v>
      </c>
      <c r="C55" s="11"/>
      <c r="D55" s="8">
        <v>45.97</v>
      </c>
      <c r="E55" s="3"/>
      <c r="F55" s="7">
        <f t="shared" si="32"/>
        <v>4.7153070539844702E-2</v>
      </c>
      <c r="G55" s="3"/>
      <c r="H55" s="8">
        <v>3048.45</v>
      </c>
      <c r="I55" s="3"/>
      <c r="J55" s="7">
        <f t="shared" si="33"/>
        <v>1.2792983966605168E-2</v>
      </c>
      <c r="K55" s="3"/>
      <c r="L55" s="8">
        <f t="shared" si="34"/>
        <v>-3002.48</v>
      </c>
      <c r="M55" s="3"/>
      <c r="N55" s="7">
        <f t="shared" si="35"/>
        <v>-0.98492020535026004</v>
      </c>
      <c r="O55" s="11"/>
      <c r="P55" s="8">
        <v>45.97</v>
      </c>
      <c r="Q55" s="3"/>
      <c r="R55" s="7">
        <f t="shared" si="36"/>
        <v>4.7153070539844702E-2</v>
      </c>
      <c r="S55" s="3"/>
      <c r="T55" s="8">
        <v>3048.45</v>
      </c>
      <c r="U55" s="3"/>
      <c r="V55" s="7">
        <f t="shared" si="37"/>
        <v>1.2792983966605168E-2</v>
      </c>
      <c r="W55" s="3"/>
      <c r="X55" s="8">
        <f t="shared" si="38"/>
        <v>-3002.48</v>
      </c>
      <c r="Y55" s="3"/>
      <c r="Z55" s="7">
        <f t="shared" si="39"/>
        <v>-0.98492020535026004</v>
      </c>
    </row>
    <row r="56" spans="1:26" s="27" customFormat="1" outlineLevel="1" collapsed="1" x14ac:dyDescent="0.25">
      <c r="A56" s="28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0</v>
      </c>
      <c r="E56" s="1"/>
      <c r="F56" s="5">
        <f t="shared" si="32"/>
        <v>0</v>
      </c>
      <c r="G56" s="1"/>
      <c r="H56" s="1">
        <f>SUM(OSRRefH22_3x_0)</f>
        <v>-20.76</v>
      </c>
      <c r="I56" s="1"/>
      <c r="J56" s="5">
        <f t="shared" si="33"/>
        <v>-8.7120453721308645E-5</v>
      </c>
      <c r="K56" s="1"/>
      <c r="L56" s="1">
        <f t="shared" si="34"/>
        <v>20.76</v>
      </c>
      <c r="M56" s="1"/>
      <c r="N56" s="5">
        <f t="shared" si="35"/>
        <v>-1</v>
      </c>
      <c r="O56" s="14"/>
      <c r="P56" s="1">
        <f>SUM(OSRRefP22_3x_0)</f>
        <v>0</v>
      </c>
      <c r="Q56" s="1"/>
      <c r="R56" s="5">
        <f t="shared" si="36"/>
        <v>0</v>
      </c>
      <c r="S56" s="1"/>
      <c r="T56" s="1">
        <f>SUM(OSRRefT22_3x_0)</f>
        <v>-20.76</v>
      </c>
      <c r="U56" s="1"/>
      <c r="V56" s="5">
        <f t="shared" si="37"/>
        <v>-8.7120453721308645E-5</v>
      </c>
      <c r="W56" s="1"/>
      <c r="X56" s="1">
        <f t="shared" si="38"/>
        <v>20.76</v>
      </c>
      <c r="Y56" s="1"/>
      <c r="Z56" s="5">
        <f t="shared" si="39"/>
        <v>-1</v>
      </c>
    </row>
    <row r="57" spans="1:26" s="24" customFormat="1" hidden="1" outlineLevel="2" x14ac:dyDescent="0.25">
      <c r="A57" s="29"/>
      <c r="B57" s="11" t="str">
        <f>CONCATENATE("          ", "6272", " - ", "CASH (OVER/SHORT)")</f>
        <v xml:space="preserve">          6272 - CASH (OVER/SHORT)</v>
      </c>
      <c r="C57" s="11"/>
      <c r="D57" s="8"/>
      <c r="E57" s="3"/>
      <c r="F57" s="7">
        <f t="shared" si="32"/>
        <v>0</v>
      </c>
      <c r="G57" s="3"/>
      <c r="H57" s="8">
        <v>-20.76</v>
      </c>
      <c r="I57" s="3"/>
      <c r="J57" s="7">
        <f t="shared" si="33"/>
        <v>-8.7120453721308645E-5</v>
      </c>
      <c r="K57" s="3"/>
      <c r="L57" s="8">
        <f t="shared" si="34"/>
        <v>20.76</v>
      </c>
      <c r="M57" s="3"/>
      <c r="N57" s="7">
        <f t="shared" si="35"/>
        <v>-1</v>
      </c>
      <c r="O57" s="11"/>
      <c r="P57" s="8"/>
      <c r="Q57" s="3"/>
      <c r="R57" s="7">
        <f t="shared" si="36"/>
        <v>0</v>
      </c>
      <c r="S57" s="3"/>
      <c r="T57" s="8">
        <v>-20.76</v>
      </c>
      <c r="U57" s="3"/>
      <c r="V57" s="7">
        <f t="shared" si="37"/>
        <v>-8.7120453721308645E-5</v>
      </c>
      <c r="W57" s="3"/>
      <c r="X57" s="8">
        <f t="shared" si="38"/>
        <v>20.76</v>
      </c>
      <c r="Y57" s="3"/>
      <c r="Z57" s="7">
        <f t="shared" si="39"/>
        <v>-1</v>
      </c>
    </row>
    <row r="58" spans="1:26" s="27" customFormat="1" outlineLevel="1" collapsed="1" x14ac:dyDescent="0.25">
      <c r="A58" s="28"/>
      <c r="B58" s="14" t="str">
        <f>CONCATENATE("     ","Bank/card Fees                                    ")</f>
        <v xml:space="preserve">     Bank/card Fees                                    </v>
      </c>
      <c r="C58" s="14"/>
      <c r="D58" s="1">
        <f>SUM(OSRRefD22_4x_0)</f>
        <v>342.82</v>
      </c>
      <c r="E58" s="1"/>
      <c r="F58" s="5">
        <f t="shared" si="32"/>
        <v>0.35164271573786299</v>
      </c>
      <c r="G58" s="1"/>
      <c r="H58" s="1">
        <f>SUM(OSRRefH22_4x_0)</f>
        <v>5718.72</v>
      </c>
      <c r="I58" s="1"/>
      <c r="J58" s="5">
        <f t="shared" si="33"/>
        <v>2.3998915274813206E-2</v>
      </c>
      <c r="K58" s="1"/>
      <c r="L58" s="1">
        <f t="shared" si="34"/>
        <v>-5375.9000000000005</v>
      </c>
      <c r="M58" s="1"/>
      <c r="N58" s="5">
        <f t="shared" si="35"/>
        <v>-0.9400530188573667</v>
      </c>
      <c r="O58" s="14"/>
      <c r="P58" s="1">
        <f>SUM(OSRRefP22_4x_0)</f>
        <v>342.82</v>
      </c>
      <c r="Q58" s="1"/>
      <c r="R58" s="5">
        <f t="shared" si="36"/>
        <v>0.35164271573786299</v>
      </c>
      <c r="S58" s="1"/>
      <c r="T58" s="1">
        <f>SUM(OSRRefT22_4x_0)</f>
        <v>5718.72</v>
      </c>
      <c r="U58" s="1"/>
      <c r="V58" s="5">
        <f t="shared" si="37"/>
        <v>2.3998915274813206E-2</v>
      </c>
      <c r="W58" s="1"/>
      <c r="X58" s="1">
        <f t="shared" si="38"/>
        <v>-5375.9000000000005</v>
      </c>
      <c r="Y58" s="1"/>
      <c r="Z58" s="5">
        <f t="shared" si="39"/>
        <v>-0.9400530188573667</v>
      </c>
    </row>
    <row r="59" spans="1:26" s="24" customFormat="1" hidden="1" outlineLevel="2" x14ac:dyDescent="0.25">
      <c r="A59" s="29"/>
      <c r="B59" s="11" t="str">
        <f>CONCATENATE("          ", "6381", " - ", "BANK/CREDIT CARD FEES")</f>
        <v xml:space="preserve">          6381 - BANK/CREDIT CARD FEES</v>
      </c>
      <c r="C59" s="11"/>
      <c r="D59" s="8">
        <v>342.82</v>
      </c>
      <c r="E59" s="3"/>
      <c r="F59" s="7">
        <f t="shared" si="32"/>
        <v>0.35164271573786299</v>
      </c>
      <c r="G59" s="3"/>
      <c r="H59" s="8">
        <v>5718.72</v>
      </c>
      <c r="I59" s="3"/>
      <c r="J59" s="7">
        <f t="shared" si="33"/>
        <v>2.3998915274813206E-2</v>
      </c>
      <c r="K59" s="3"/>
      <c r="L59" s="8">
        <f t="shared" si="34"/>
        <v>-5375.9000000000005</v>
      </c>
      <c r="M59" s="3"/>
      <c r="N59" s="7">
        <f t="shared" si="35"/>
        <v>-0.9400530188573667</v>
      </c>
      <c r="O59" s="11"/>
      <c r="P59" s="8">
        <v>342.82</v>
      </c>
      <c r="Q59" s="3"/>
      <c r="R59" s="7">
        <f t="shared" si="36"/>
        <v>0.35164271573786299</v>
      </c>
      <c r="S59" s="3"/>
      <c r="T59" s="8">
        <v>5718.72</v>
      </c>
      <c r="U59" s="3"/>
      <c r="V59" s="7">
        <f t="shared" si="37"/>
        <v>2.3998915274813206E-2</v>
      </c>
      <c r="W59" s="3"/>
      <c r="X59" s="8">
        <f t="shared" si="38"/>
        <v>-5375.9000000000005</v>
      </c>
      <c r="Y59" s="3"/>
      <c r="Z59" s="7">
        <f t="shared" si="39"/>
        <v>-0.9400530188573667</v>
      </c>
    </row>
    <row r="60" spans="1:26" s="27" customFormat="1" outlineLevel="1" collapsed="1" x14ac:dyDescent="0.25">
      <c r="A60" s="28"/>
      <c r="B60" s="14" t="str">
        <f>CONCATENATE("     ","Depreciation                                      ")</f>
        <v xml:space="preserve">     Depreciation                                      </v>
      </c>
      <c r="C60" s="14"/>
      <c r="D60" s="1">
        <f>SUM(OSRRefD22_5x_0)</f>
        <v>46546.740000000005</v>
      </c>
      <c r="E60" s="1"/>
      <c r="F60" s="5">
        <f t="shared" si="32"/>
        <v>47.744653352617171</v>
      </c>
      <c r="G60" s="1"/>
      <c r="H60" s="1">
        <f>SUM(OSRRefH22_5x_0)</f>
        <v>47974.53</v>
      </c>
      <c r="I60" s="1"/>
      <c r="J60" s="5">
        <f t="shared" si="33"/>
        <v>0.20132768885676941</v>
      </c>
      <c r="K60" s="1"/>
      <c r="L60" s="1">
        <f t="shared" si="34"/>
        <v>-1427.7899999999936</v>
      </c>
      <c r="M60" s="1"/>
      <c r="N60" s="5">
        <f t="shared" si="35"/>
        <v>-2.9761417151976135E-2</v>
      </c>
      <c r="O60" s="14"/>
      <c r="P60" s="1">
        <f>SUM(OSRRefP22_5x_0)</f>
        <v>46546.740000000005</v>
      </c>
      <c r="Q60" s="1"/>
      <c r="R60" s="5">
        <f t="shared" si="36"/>
        <v>47.744653352617171</v>
      </c>
      <c r="S60" s="1"/>
      <c r="T60" s="1">
        <f>SUM(OSRRefT22_5x_0)</f>
        <v>47974.53</v>
      </c>
      <c r="U60" s="1"/>
      <c r="V60" s="5">
        <f t="shared" si="37"/>
        <v>0.20132768885676941</v>
      </c>
      <c r="W60" s="1"/>
      <c r="X60" s="1">
        <f t="shared" si="38"/>
        <v>-1427.7899999999936</v>
      </c>
      <c r="Y60" s="1"/>
      <c r="Z60" s="5">
        <f t="shared" si="39"/>
        <v>-2.9761417151976135E-2</v>
      </c>
    </row>
    <row r="61" spans="1:26" s="24" customFormat="1" hidden="1" outlineLevel="2" x14ac:dyDescent="0.25">
      <c r="A61" s="29"/>
      <c r="B61" s="11" t="str">
        <f>CONCATENATE("          ", "6321", " - ", "BUILDING DEPRECIATION")</f>
        <v xml:space="preserve">          6321 - BUILDING DEPRECIATION</v>
      </c>
      <c r="C61" s="11"/>
      <c r="D61" s="8">
        <v>28925.4</v>
      </c>
      <c r="E61" s="3"/>
      <c r="F61" s="7">
        <f t="shared" si="32"/>
        <v>29.669815675293105</v>
      </c>
      <c r="G61" s="3"/>
      <c r="H61" s="8">
        <v>29123.47</v>
      </c>
      <c r="I61" s="3"/>
      <c r="J61" s="7">
        <f t="shared" si="33"/>
        <v>0.12221820425524665</v>
      </c>
      <c r="K61" s="3"/>
      <c r="L61" s="8">
        <f t="shared" si="34"/>
        <v>-198.06999999999971</v>
      </c>
      <c r="M61" s="3"/>
      <c r="N61" s="7">
        <f t="shared" si="35"/>
        <v>-6.8010439690050564E-3</v>
      </c>
      <c r="O61" s="11"/>
      <c r="P61" s="8">
        <v>28925.4</v>
      </c>
      <c r="Q61" s="3"/>
      <c r="R61" s="7">
        <f t="shared" si="36"/>
        <v>29.669815675293105</v>
      </c>
      <c r="S61" s="3"/>
      <c r="T61" s="8">
        <v>29123.47</v>
      </c>
      <c r="U61" s="3"/>
      <c r="V61" s="7">
        <f t="shared" si="37"/>
        <v>0.12221820425524665</v>
      </c>
      <c r="W61" s="3"/>
      <c r="X61" s="8">
        <f t="shared" si="38"/>
        <v>-198.06999999999971</v>
      </c>
      <c r="Y61" s="3"/>
      <c r="Z61" s="7">
        <f t="shared" si="39"/>
        <v>-6.8010439690050564E-3</v>
      </c>
    </row>
    <row r="62" spans="1:26" s="24" customFormat="1" hidden="1" outlineLevel="2" x14ac:dyDescent="0.25">
      <c r="A62" s="29"/>
      <c r="B62" s="11" t="str">
        <f>CONCATENATE("          ", "6322", " - ", "EQUIPMENT DEPRECIATION EXPENSE")</f>
        <v xml:space="preserve">          6322 - EQUIPMENT DEPRECIATION EXPENSE</v>
      </c>
      <c r="C62" s="11"/>
      <c r="D62" s="8">
        <v>17621.34</v>
      </c>
      <c r="E62" s="3"/>
      <c r="F62" s="7">
        <f t="shared" si="32"/>
        <v>18.074837677324062</v>
      </c>
      <c r="G62" s="3"/>
      <c r="H62" s="8">
        <v>18426.809999999998</v>
      </c>
      <c r="I62" s="3"/>
      <c r="J62" s="7">
        <f t="shared" si="33"/>
        <v>7.732909671658704E-2</v>
      </c>
      <c r="K62" s="3"/>
      <c r="L62" s="8">
        <f t="shared" si="34"/>
        <v>-805.46999999999753</v>
      </c>
      <c r="M62" s="3"/>
      <c r="N62" s="7">
        <f t="shared" si="35"/>
        <v>-4.3711852458455783E-2</v>
      </c>
      <c r="O62" s="11"/>
      <c r="P62" s="8">
        <v>17621.34</v>
      </c>
      <c r="Q62" s="3"/>
      <c r="R62" s="7">
        <f t="shared" si="36"/>
        <v>18.074837677324062</v>
      </c>
      <c r="S62" s="3"/>
      <c r="T62" s="8">
        <v>18426.809999999998</v>
      </c>
      <c r="U62" s="3"/>
      <c r="V62" s="7">
        <f t="shared" si="37"/>
        <v>7.732909671658704E-2</v>
      </c>
      <c r="W62" s="3"/>
      <c r="X62" s="8">
        <f t="shared" si="38"/>
        <v>-805.46999999999753</v>
      </c>
      <c r="Y62" s="3"/>
      <c r="Z62" s="7">
        <f t="shared" si="39"/>
        <v>-4.3711852458455783E-2</v>
      </c>
    </row>
    <row r="63" spans="1:26" s="24" customFormat="1" hidden="1" outlineLevel="2" x14ac:dyDescent="0.25">
      <c r="A63" s="29"/>
      <c r="B63" s="11" t="str">
        <f>CONCATENATE("          ", "6326", " - ", "VEHICLES DEPRECIATION EXPENSE")</f>
        <v xml:space="preserve">          6326 - VEHICLES DEPRECIATION EXPENSE</v>
      </c>
      <c r="C63" s="11"/>
      <c r="D63" s="8"/>
      <c r="E63" s="3"/>
      <c r="F63" s="7">
        <f t="shared" si="32"/>
        <v>0</v>
      </c>
      <c r="G63" s="3"/>
      <c r="H63" s="8">
        <v>424.25</v>
      </c>
      <c r="I63" s="3"/>
      <c r="J63" s="7">
        <f t="shared" si="33"/>
        <v>1.7803878849357029E-3</v>
      </c>
      <c r="K63" s="3"/>
      <c r="L63" s="8">
        <f t="shared" si="34"/>
        <v>-424.25</v>
      </c>
      <c r="M63" s="3"/>
      <c r="N63" s="7">
        <f t="shared" si="35"/>
        <v>-1</v>
      </c>
      <c r="O63" s="11"/>
      <c r="P63" s="8"/>
      <c r="Q63" s="3"/>
      <c r="R63" s="7">
        <f t="shared" si="36"/>
        <v>0</v>
      </c>
      <c r="S63" s="3"/>
      <c r="T63" s="8">
        <v>424.25</v>
      </c>
      <c r="U63" s="3"/>
      <c r="V63" s="7">
        <f t="shared" si="37"/>
        <v>1.7803878849357029E-3</v>
      </c>
      <c r="W63" s="3"/>
      <c r="X63" s="8">
        <f t="shared" si="38"/>
        <v>-424.25</v>
      </c>
      <c r="Y63" s="3"/>
      <c r="Z63" s="7">
        <f t="shared" si="39"/>
        <v>-1</v>
      </c>
    </row>
    <row r="64" spans="1:26" s="27" customFormat="1" outlineLevel="1" collapsed="1" x14ac:dyDescent="0.25">
      <c r="A64" s="28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SUM(OSRRefD22_6x_0)</f>
        <v>0</v>
      </c>
      <c r="E64" s="1"/>
      <c r="F64" s="5">
        <f t="shared" ref="F64:F82" si="40">IF(D$12=0,0,D64/D$12)</f>
        <v>0</v>
      </c>
      <c r="G64" s="1"/>
      <c r="H64" s="1">
        <f>SUM(OSRRefH22_6x_0)</f>
        <v>13.91</v>
      </c>
      <c r="I64" s="1"/>
      <c r="J64" s="5">
        <f t="shared" ref="J64:J82" si="41">IF(H$12=0,0,H64/H$12)</f>
        <v>5.8374061236194759E-5</v>
      </c>
      <c r="K64" s="1"/>
      <c r="L64" s="1">
        <f t="shared" ref="L64:L82" si="42">+D64-H64</f>
        <v>-13.91</v>
      </c>
      <c r="M64" s="1"/>
      <c r="N64" s="5">
        <f t="shared" ref="N64:N82" si="43">IF(H64=0,0,L64/H64)</f>
        <v>-1</v>
      </c>
      <c r="O64" s="14"/>
      <c r="P64" s="1">
        <f>SUM(OSRRefP22_6x_0)</f>
        <v>0</v>
      </c>
      <c r="Q64" s="1"/>
      <c r="R64" s="5">
        <f t="shared" ref="R64:R82" si="44">IF(P$12=0,0,P64/P$12)</f>
        <v>0</v>
      </c>
      <c r="S64" s="1"/>
      <c r="T64" s="1">
        <f>SUM(OSRRefT22_6x_0)</f>
        <v>13.91</v>
      </c>
      <c r="U64" s="1"/>
      <c r="V64" s="5">
        <f t="shared" ref="V64:V82" si="45">IF(T$12=0,0,T64/T$12)</f>
        <v>5.8374061236194759E-5</v>
      </c>
      <c r="W64" s="1"/>
      <c r="X64" s="1">
        <f t="shared" ref="X64:X82" si="46">+P64-T64</f>
        <v>-13.91</v>
      </c>
      <c r="Y64" s="1"/>
      <c r="Z64" s="5">
        <f t="shared" ref="Z64:Z82" si="47">IF(T64=0,0,X64/T64)</f>
        <v>-1</v>
      </c>
    </row>
    <row r="65" spans="1:26" s="24" customFormat="1" hidden="1" outlineLevel="2" x14ac:dyDescent="0.25">
      <c r="A65" s="29"/>
      <c r="B65" s="11" t="str">
        <f>CONCATENATE("          ", "6382", " - ", "DISCOUNTS/MARK DOWNS")</f>
        <v xml:space="preserve">          6382 - DISCOUNTS/MARK DOWNS</v>
      </c>
      <c r="C65" s="11"/>
      <c r="D65" s="8"/>
      <c r="E65" s="3"/>
      <c r="F65" s="7">
        <f t="shared" si="40"/>
        <v>0</v>
      </c>
      <c r="G65" s="3"/>
      <c r="H65" s="8">
        <v>13.91</v>
      </c>
      <c r="I65" s="3"/>
      <c r="J65" s="7">
        <f t="shared" si="41"/>
        <v>5.8374061236194759E-5</v>
      </c>
      <c r="K65" s="3"/>
      <c r="L65" s="8">
        <f t="shared" si="42"/>
        <v>-13.91</v>
      </c>
      <c r="M65" s="3"/>
      <c r="N65" s="7">
        <f t="shared" si="43"/>
        <v>-1</v>
      </c>
      <c r="O65" s="11"/>
      <c r="P65" s="8"/>
      <c r="Q65" s="3"/>
      <c r="R65" s="7">
        <f t="shared" si="44"/>
        <v>0</v>
      </c>
      <c r="S65" s="3"/>
      <c r="T65" s="8">
        <v>13.91</v>
      </c>
      <c r="U65" s="3"/>
      <c r="V65" s="7">
        <f t="shared" si="45"/>
        <v>5.8374061236194759E-5</v>
      </c>
      <c r="W65" s="3"/>
      <c r="X65" s="8">
        <f t="shared" si="46"/>
        <v>-13.91</v>
      </c>
      <c r="Y65" s="3"/>
      <c r="Z65" s="7">
        <f t="shared" si="47"/>
        <v>-1</v>
      </c>
    </row>
    <row r="66" spans="1:26" s="27" customFormat="1" outlineLevel="1" collapsed="1" x14ac:dyDescent="0.25">
      <c r="A66" s="28"/>
      <c r="B66" s="14" t="str">
        <f>CONCATENATE("     ","Employees' Appreciation                           ")</f>
        <v xml:space="preserve">     Employees' Appreciation                           </v>
      </c>
      <c r="C66" s="14"/>
      <c r="D66" s="1">
        <f>SUM(OSRRefD22_7x_0)</f>
        <v>0</v>
      </c>
      <c r="E66" s="1"/>
      <c r="F66" s="5">
        <f t="shared" si="40"/>
        <v>0</v>
      </c>
      <c r="G66" s="1"/>
      <c r="H66" s="1">
        <f>SUM(OSRRefH22_7x_0)</f>
        <v>109.76</v>
      </c>
      <c r="I66" s="1"/>
      <c r="J66" s="5">
        <f t="shared" si="41"/>
        <v>4.60613728345416E-4</v>
      </c>
      <c r="K66" s="1"/>
      <c r="L66" s="1">
        <f t="shared" si="42"/>
        <v>-109.76</v>
      </c>
      <c r="M66" s="1"/>
      <c r="N66" s="5">
        <f t="shared" si="43"/>
        <v>-1</v>
      </c>
      <c r="O66" s="14"/>
      <c r="P66" s="1">
        <f>SUM(OSRRefP22_7x_0)</f>
        <v>0</v>
      </c>
      <c r="Q66" s="1"/>
      <c r="R66" s="5">
        <f t="shared" si="44"/>
        <v>0</v>
      </c>
      <c r="S66" s="1"/>
      <c r="T66" s="1">
        <f>SUM(OSRRefT22_7x_0)</f>
        <v>109.76</v>
      </c>
      <c r="U66" s="1"/>
      <c r="V66" s="5">
        <f t="shared" si="45"/>
        <v>4.60613728345416E-4</v>
      </c>
      <c r="W66" s="1"/>
      <c r="X66" s="1">
        <f t="shared" si="46"/>
        <v>-109.76</v>
      </c>
      <c r="Y66" s="1"/>
      <c r="Z66" s="5">
        <f t="shared" si="47"/>
        <v>-1</v>
      </c>
    </row>
    <row r="67" spans="1:26" s="24" customFormat="1" hidden="1" outlineLevel="2" x14ac:dyDescent="0.25">
      <c r="A67" s="29"/>
      <c r="B67" s="11" t="str">
        <f>CONCATENATE("          ", "6277", " - ", "EMPLOYEE APPRECIATION")</f>
        <v xml:space="preserve">          6277 - EMPLOYEE APPRECIATION</v>
      </c>
      <c r="C67" s="11"/>
      <c r="D67" s="8"/>
      <c r="E67" s="3"/>
      <c r="F67" s="7">
        <f t="shared" si="40"/>
        <v>0</v>
      </c>
      <c r="G67" s="3"/>
      <c r="H67" s="8">
        <v>109.76</v>
      </c>
      <c r="I67" s="3"/>
      <c r="J67" s="7">
        <f t="shared" si="41"/>
        <v>4.60613728345416E-4</v>
      </c>
      <c r="K67" s="3"/>
      <c r="L67" s="8">
        <f t="shared" si="42"/>
        <v>-109.76</v>
      </c>
      <c r="M67" s="3"/>
      <c r="N67" s="7">
        <f t="shared" si="43"/>
        <v>-1</v>
      </c>
      <c r="O67" s="11"/>
      <c r="P67" s="8"/>
      <c r="Q67" s="3"/>
      <c r="R67" s="7">
        <f t="shared" si="44"/>
        <v>0</v>
      </c>
      <c r="S67" s="3"/>
      <c r="T67" s="8">
        <v>109.76</v>
      </c>
      <c r="U67" s="3"/>
      <c r="V67" s="7">
        <f t="shared" si="45"/>
        <v>4.60613728345416E-4</v>
      </c>
      <c r="W67" s="3"/>
      <c r="X67" s="8">
        <f t="shared" si="46"/>
        <v>-109.76</v>
      </c>
      <c r="Y67" s="3"/>
      <c r="Z67" s="7">
        <f t="shared" si="47"/>
        <v>-1</v>
      </c>
    </row>
    <row r="68" spans="1:26" s="27" customFormat="1" outlineLevel="1" collapsed="1" x14ac:dyDescent="0.25">
      <c r="A68" s="28"/>
      <c r="B68" s="14" t="str">
        <f>CONCATENATE("     ","Equipment Rental                                  ")</f>
        <v xml:space="preserve">     Equipment Rental                                  </v>
      </c>
      <c r="C68" s="14"/>
      <c r="D68" s="1">
        <f>SUM(OSRRefD22_8x_0)</f>
        <v>868.95</v>
      </c>
      <c r="E68" s="1"/>
      <c r="F68" s="5">
        <f t="shared" si="40"/>
        <v>0.89131304428101066</v>
      </c>
      <c r="G68" s="1"/>
      <c r="H68" s="1">
        <f>SUM(OSRRefH22_8x_0)</f>
        <v>1684.48</v>
      </c>
      <c r="I68" s="1"/>
      <c r="J68" s="5">
        <f t="shared" si="41"/>
        <v>7.0690106880765885E-3</v>
      </c>
      <c r="K68" s="1"/>
      <c r="L68" s="1">
        <f t="shared" si="42"/>
        <v>-815.53</v>
      </c>
      <c r="M68" s="1"/>
      <c r="N68" s="5">
        <f t="shared" si="43"/>
        <v>-0.48414347454407292</v>
      </c>
      <c r="O68" s="14"/>
      <c r="P68" s="1">
        <f>SUM(OSRRefP22_8x_0)</f>
        <v>868.95</v>
      </c>
      <c r="Q68" s="1"/>
      <c r="R68" s="5">
        <f t="shared" si="44"/>
        <v>0.89131304428101066</v>
      </c>
      <c r="S68" s="1"/>
      <c r="T68" s="1">
        <f>SUM(OSRRefT22_8x_0)</f>
        <v>1684.48</v>
      </c>
      <c r="U68" s="1"/>
      <c r="V68" s="5">
        <f t="shared" si="45"/>
        <v>7.0690106880765885E-3</v>
      </c>
      <c r="W68" s="1"/>
      <c r="X68" s="1">
        <f t="shared" si="46"/>
        <v>-815.53</v>
      </c>
      <c r="Y68" s="1"/>
      <c r="Z68" s="5">
        <f t="shared" si="47"/>
        <v>-0.48414347454407292</v>
      </c>
    </row>
    <row r="69" spans="1:26" s="24" customFormat="1" hidden="1" outlineLevel="2" x14ac:dyDescent="0.25">
      <c r="A69" s="29"/>
      <c r="B69" s="11" t="str">
        <f>CONCATENATE("          ", "6351", " - ", "EQUIPMENT RENTAL")</f>
        <v xml:space="preserve">          6351 - EQUIPMENT RENTAL</v>
      </c>
      <c r="C69" s="11"/>
      <c r="D69" s="8">
        <v>868.95</v>
      </c>
      <c r="E69" s="3"/>
      <c r="F69" s="7">
        <f t="shared" si="40"/>
        <v>0.89131304428101066</v>
      </c>
      <c r="G69" s="3"/>
      <c r="H69" s="8">
        <v>1684.48</v>
      </c>
      <c r="I69" s="3"/>
      <c r="J69" s="7">
        <f t="shared" si="41"/>
        <v>7.0690106880765885E-3</v>
      </c>
      <c r="K69" s="3"/>
      <c r="L69" s="8">
        <f t="shared" si="42"/>
        <v>-815.53</v>
      </c>
      <c r="M69" s="3"/>
      <c r="N69" s="7">
        <f t="shared" si="43"/>
        <v>-0.48414347454407292</v>
      </c>
      <c r="O69" s="11"/>
      <c r="P69" s="8">
        <v>868.95</v>
      </c>
      <c r="Q69" s="3"/>
      <c r="R69" s="7">
        <f t="shared" si="44"/>
        <v>0.89131304428101066</v>
      </c>
      <c r="S69" s="3"/>
      <c r="T69" s="8">
        <v>1684.48</v>
      </c>
      <c r="U69" s="3"/>
      <c r="V69" s="7">
        <f t="shared" si="45"/>
        <v>7.0690106880765885E-3</v>
      </c>
      <c r="W69" s="3"/>
      <c r="X69" s="8">
        <f t="shared" si="46"/>
        <v>-815.53</v>
      </c>
      <c r="Y69" s="3"/>
      <c r="Z69" s="7">
        <f t="shared" si="47"/>
        <v>-0.48414347454407292</v>
      </c>
    </row>
    <row r="70" spans="1:26" s="27" customFormat="1" outlineLevel="1" collapsed="1" x14ac:dyDescent="0.25">
      <c r="A70" s="28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SUM(OSRRefD22_9x_0)</f>
        <v>0</v>
      </c>
      <c r="E70" s="1"/>
      <c r="F70" s="5">
        <f t="shared" si="40"/>
        <v>0</v>
      </c>
      <c r="G70" s="1"/>
      <c r="H70" s="1">
        <f>SUM(OSRRefH22_9x_0)</f>
        <v>71.69</v>
      </c>
      <c r="I70" s="1"/>
      <c r="J70" s="5">
        <f t="shared" si="41"/>
        <v>3.0085093098654222E-4</v>
      </c>
      <c r="K70" s="1"/>
      <c r="L70" s="1">
        <f t="shared" si="42"/>
        <v>-71.69</v>
      </c>
      <c r="M70" s="1"/>
      <c r="N70" s="5">
        <f t="shared" si="43"/>
        <v>-1</v>
      </c>
      <c r="O70" s="14"/>
      <c r="P70" s="1">
        <f>SUM(OSRRefP22_9x_0)</f>
        <v>0</v>
      </c>
      <c r="Q70" s="1"/>
      <c r="R70" s="5">
        <f t="shared" si="44"/>
        <v>0</v>
      </c>
      <c r="S70" s="1"/>
      <c r="T70" s="1">
        <f>SUM(OSRRefT22_9x_0)</f>
        <v>71.69</v>
      </c>
      <c r="U70" s="1"/>
      <c r="V70" s="5">
        <f t="shared" si="45"/>
        <v>3.0085093098654222E-4</v>
      </c>
      <c r="W70" s="1"/>
      <c r="X70" s="1">
        <f t="shared" si="46"/>
        <v>-71.69</v>
      </c>
      <c r="Y70" s="1"/>
      <c r="Z70" s="5">
        <f t="shared" si="47"/>
        <v>-1</v>
      </c>
    </row>
    <row r="71" spans="1:26" s="24" customFormat="1" hidden="1" outlineLevel="2" x14ac:dyDescent="0.25">
      <c r="A71" s="29"/>
      <c r="B71" s="11" t="str">
        <f>CONCATENATE("          ", "6305", " - ", "FREIGHT OUT")</f>
        <v xml:space="preserve">          6305 - FREIGHT OUT</v>
      </c>
      <c r="C71" s="11"/>
      <c r="D71" s="8"/>
      <c r="E71" s="3"/>
      <c r="F71" s="7">
        <f t="shared" si="40"/>
        <v>0</v>
      </c>
      <c r="G71" s="3"/>
      <c r="H71" s="8">
        <v>71.69</v>
      </c>
      <c r="I71" s="3"/>
      <c r="J71" s="7">
        <f t="shared" si="41"/>
        <v>3.0085093098654222E-4</v>
      </c>
      <c r="K71" s="3"/>
      <c r="L71" s="8">
        <f t="shared" si="42"/>
        <v>-71.69</v>
      </c>
      <c r="M71" s="3"/>
      <c r="N71" s="7">
        <f t="shared" si="43"/>
        <v>-1</v>
      </c>
      <c r="O71" s="11"/>
      <c r="P71" s="8"/>
      <c r="Q71" s="3"/>
      <c r="R71" s="7">
        <f t="shared" si="44"/>
        <v>0</v>
      </c>
      <c r="S71" s="3"/>
      <c r="T71" s="8">
        <v>71.69</v>
      </c>
      <c r="U71" s="3"/>
      <c r="V71" s="7">
        <f t="shared" si="45"/>
        <v>3.0085093098654222E-4</v>
      </c>
      <c r="W71" s="3"/>
      <c r="X71" s="8">
        <f t="shared" si="46"/>
        <v>-71.69</v>
      </c>
      <c r="Y71" s="3"/>
      <c r="Z71" s="7">
        <f t="shared" si="47"/>
        <v>-1</v>
      </c>
    </row>
    <row r="72" spans="1:26" s="27" customFormat="1" outlineLevel="1" collapsed="1" x14ac:dyDescent="0.25">
      <c r="A72" s="28"/>
      <c r="B72" s="14" t="str">
        <f>CONCATENATE("     ","General                                           ")</f>
        <v xml:space="preserve">     General                                           </v>
      </c>
      <c r="C72" s="14"/>
      <c r="D72" s="1">
        <f>SUM(OSRRefD22_10x_0)</f>
        <v>5832.3</v>
      </c>
      <c r="E72" s="1"/>
      <c r="F72" s="5">
        <f t="shared" si="40"/>
        <v>5.982398375234637</v>
      </c>
      <c r="G72" s="1"/>
      <c r="H72" s="1">
        <f>SUM(OSRRefH22_10x_0)</f>
        <v>22041.85</v>
      </c>
      <c r="I72" s="1"/>
      <c r="J72" s="5">
        <f t="shared" si="41"/>
        <v>9.2499806014307642E-2</v>
      </c>
      <c r="K72" s="1"/>
      <c r="L72" s="1">
        <f t="shared" si="42"/>
        <v>-16209.55</v>
      </c>
      <c r="M72" s="1"/>
      <c r="N72" s="5">
        <f t="shared" si="43"/>
        <v>-0.73539879819525134</v>
      </c>
      <c r="O72" s="14"/>
      <c r="P72" s="1">
        <f>SUM(OSRRefP22_10x_0)</f>
        <v>5832.3</v>
      </c>
      <c r="Q72" s="1"/>
      <c r="R72" s="5">
        <f t="shared" si="44"/>
        <v>5.982398375234637</v>
      </c>
      <c r="S72" s="1"/>
      <c r="T72" s="1">
        <f>SUM(OSRRefT22_10x_0)</f>
        <v>22041.85</v>
      </c>
      <c r="U72" s="1"/>
      <c r="V72" s="5">
        <f t="shared" si="45"/>
        <v>9.2499806014307642E-2</v>
      </c>
      <c r="W72" s="1"/>
      <c r="X72" s="1">
        <f t="shared" si="46"/>
        <v>-16209.55</v>
      </c>
      <c r="Y72" s="1"/>
      <c r="Z72" s="5">
        <f t="shared" si="47"/>
        <v>-0.73539879819525134</v>
      </c>
    </row>
    <row r="73" spans="1:26" s="24" customFormat="1" hidden="1" outlineLevel="2" x14ac:dyDescent="0.25">
      <c r="A73" s="29"/>
      <c r="B73" s="11" t="str">
        <f>CONCATENATE("          ", "6279", " - ", "GENERAL EXPENSE")</f>
        <v xml:space="preserve">          6279 - GENERAL EXPENSE</v>
      </c>
      <c r="C73" s="11"/>
      <c r="D73" s="8">
        <v>5832.3</v>
      </c>
      <c r="E73" s="3"/>
      <c r="F73" s="7">
        <f t="shared" si="40"/>
        <v>5.982398375234637</v>
      </c>
      <c r="G73" s="3"/>
      <c r="H73" s="8">
        <v>22041.85</v>
      </c>
      <c r="I73" s="3"/>
      <c r="J73" s="7">
        <f t="shared" si="41"/>
        <v>9.2499806014307642E-2</v>
      </c>
      <c r="K73" s="3"/>
      <c r="L73" s="8">
        <f t="shared" si="42"/>
        <v>-16209.55</v>
      </c>
      <c r="M73" s="3"/>
      <c r="N73" s="7">
        <f t="shared" si="43"/>
        <v>-0.73539879819525134</v>
      </c>
      <c r="O73" s="11"/>
      <c r="P73" s="8">
        <v>5832.3</v>
      </c>
      <c r="Q73" s="3"/>
      <c r="R73" s="7">
        <f t="shared" si="44"/>
        <v>5.982398375234637</v>
      </c>
      <c r="S73" s="3"/>
      <c r="T73" s="8">
        <v>22041.85</v>
      </c>
      <c r="U73" s="3"/>
      <c r="V73" s="7">
        <f t="shared" si="45"/>
        <v>9.2499806014307642E-2</v>
      </c>
      <c r="W73" s="3"/>
      <c r="X73" s="8">
        <f t="shared" si="46"/>
        <v>-16209.55</v>
      </c>
      <c r="Y73" s="3"/>
      <c r="Z73" s="7">
        <f t="shared" si="47"/>
        <v>-0.73539879819525134</v>
      </c>
    </row>
    <row r="74" spans="1:26" s="27" customFormat="1" outlineLevel="1" collapsed="1" x14ac:dyDescent="0.25">
      <c r="A74" s="28"/>
      <c r="B74" s="14" t="str">
        <f>CONCATENATE("     ","Insurance                                         ")</f>
        <v xml:space="preserve">     Insurance                                         </v>
      </c>
      <c r="C74" s="14"/>
      <c r="D74" s="1">
        <f>SUM(OSRRefD22_11x_0)</f>
        <v>4483.67</v>
      </c>
      <c r="E74" s="1"/>
      <c r="F74" s="5">
        <f t="shared" si="40"/>
        <v>4.5990604260906141</v>
      </c>
      <c r="G74" s="1"/>
      <c r="H74" s="1">
        <f>SUM(OSRRefH22_11x_0)</f>
        <v>4483.67</v>
      </c>
      <c r="I74" s="1"/>
      <c r="J74" s="5">
        <f t="shared" si="41"/>
        <v>1.8815961692515409E-2</v>
      </c>
      <c r="K74" s="1"/>
      <c r="L74" s="1">
        <f t="shared" si="42"/>
        <v>0</v>
      </c>
      <c r="M74" s="1"/>
      <c r="N74" s="5">
        <f t="shared" si="43"/>
        <v>0</v>
      </c>
      <c r="O74" s="14"/>
      <c r="P74" s="1">
        <f>SUM(OSRRefP22_11x_0)</f>
        <v>4483.67</v>
      </c>
      <c r="Q74" s="1"/>
      <c r="R74" s="5">
        <f t="shared" si="44"/>
        <v>4.5990604260906141</v>
      </c>
      <c r="S74" s="1"/>
      <c r="T74" s="1">
        <f>SUM(OSRRefT22_11x_0)</f>
        <v>4483.67</v>
      </c>
      <c r="U74" s="1"/>
      <c r="V74" s="5">
        <f t="shared" si="45"/>
        <v>1.8815961692515409E-2</v>
      </c>
      <c r="W74" s="1"/>
      <c r="X74" s="1">
        <f t="shared" si="46"/>
        <v>0</v>
      </c>
      <c r="Y74" s="1"/>
      <c r="Z74" s="5">
        <f t="shared" si="47"/>
        <v>0</v>
      </c>
    </row>
    <row r="75" spans="1:26" s="24" customFormat="1" hidden="1" outlineLevel="2" x14ac:dyDescent="0.25">
      <c r="A75" s="29"/>
      <c r="B75" s="11" t="str">
        <f>CONCATENATE("          ", "6314", " - ", "LIABILITY INSURANCE")</f>
        <v xml:space="preserve">          6314 - LIABILITY INSURANCE</v>
      </c>
      <c r="C75" s="11"/>
      <c r="D75" s="8">
        <v>4483.67</v>
      </c>
      <c r="E75" s="3"/>
      <c r="F75" s="7">
        <f t="shared" si="40"/>
        <v>4.5990604260906141</v>
      </c>
      <c r="G75" s="3"/>
      <c r="H75" s="8">
        <v>4483.67</v>
      </c>
      <c r="I75" s="3"/>
      <c r="J75" s="7">
        <f t="shared" si="41"/>
        <v>1.8815961692515409E-2</v>
      </c>
      <c r="K75" s="3"/>
      <c r="L75" s="8">
        <f t="shared" si="42"/>
        <v>0</v>
      </c>
      <c r="M75" s="3"/>
      <c r="N75" s="7">
        <f t="shared" si="43"/>
        <v>0</v>
      </c>
      <c r="O75" s="11"/>
      <c r="P75" s="8">
        <v>4483.67</v>
      </c>
      <c r="Q75" s="3"/>
      <c r="R75" s="7">
        <f t="shared" si="44"/>
        <v>4.5990604260906141</v>
      </c>
      <c r="S75" s="3"/>
      <c r="T75" s="8">
        <v>4483.67</v>
      </c>
      <c r="U75" s="3"/>
      <c r="V75" s="7">
        <f t="shared" si="45"/>
        <v>1.8815961692515409E-2</v>
      </c>
      <c r="W75" s="3"/>
      <c r="X75" s="8">
        <f t="shared" si="46"/>
        <v>0</v>
      </c>
      <c r="Y75" s="3"/>
      <c r="Z75" s="7">
        <f t="shared" si="47"/>
        <v>0</v>
      </c>
    </row>
    <row r="76" spans="1:26" s="27" customFormat="1" outlineLevel="1" collapsed="1" x14ac:dyDescent="0.25">
      <c r="A76" s="28"/>
      <c r="B76" s="14" t="str">
        <f>CONCATENATE("     ","Interest                                          ")</f>
        <v xml:space="preserve">     Interest                                          </v>
      </c>
      <c r="C76" s="14"/>
      <c r="D76" s="1">
        <f>SUM(OSRRefD22_12x_0)</f>
        <v>11554</v>
      </c>
      <c r="E76" s="1"/>
      <c r="F76" s="5">
        <f t="shared" si="40"/>
        <v>11.851350381060817</v>
      </c>
      <c r="G76" s="1"/>
      <c r="H76" s="1">
        <f>SUM(OSRRefH22_12x_0)</f>
        <v>11740</v>
      </c>
      <c r="I76" s="1"/>
      <c r="J76" s="5">
        <f t="shared" si="41"/>
        <v>4.926753982120248E-2</v>
      </c>
      <c r="K76" s="1"/>
      <c r="L76" s="1">
        <f t="shared" si="42"/>
        <v>-186</v>
      </c>
      <c r="M76" s="1"/>
      <c r="N76" s="5">
        <f t="shared" si="43"/>
        <v>-1.5843270868824533E-2</v>
      </c>
      <c r="O76" s="14"/>
      <c r="P76" s="1">
        <f>SUM(OSRRefP22_12x_0)</f>
        <v>11554</v>
      </c>
      <c r="Q76" s="1"/>
      <c r="R76" s="5">
        <f t="shared" si="44"/>
        <v>11.851350381060817</v>
      </c>
      <c r="S76" s="1"/>
      <c r="T76" s="1">
        <f>SUM(OSRRefT22_12x_0)</f>
        <v>11740</v>
      </c>
      <c r="U76" s="1"/>
      <c r="V76" s="5">
        <f t="shared" si="45"/>
        <v>4.926753982120248E-2</v>
      </c>
      <c r="W76" s="1"/>
      <c r="X76" s="1">
        <f t="shared" si="46"/>
        <v>-186</v>
      </c>
      <c r="Y76" s="1"/>
      <c r="Z76" s="5">
        <f t="shared" si="47"/>
        <v>-1.5843270868824533E-2</v>
      </c>
    </row>
    <row r="77" spans="1:26" s="24" customFormat="1" hidden="1" outlineLevel="2" x14ac:dyDescent="0.25">
      <c r="A77" s="29"/>
      <c r="B77" s="11" t="str">
        <f>CONCATENATE("          ", "6401", " - ", "INTEREST EXPENSE")</f>
        <v xml:space="preserve">          6401 - INTEREST EXPENSE</v>
      </c>
      <c r="C77" s="11"/>
      <c r="D77" s="8">
        <v>11554</v>
      </c>
      <c r="E77" s="3"/>
      <c r="F77" s="7">
        <f t="shared" si="40"/>
        <v>11.851350381060817</v>
      </c>
      <c r="G77" s="3"/>
      <c r="H77" s="8">
        <v>11740</v>
      </c>
      <c r="I77" s="3"/>
      <c r="J77" s="7">
        <f t="shared" si="41"/>
        <v>4.926753982120248E-2</v>
      </c>
      <c r="K77" s="3"/>
      <c r="L77" s="8">
        <f t="shared" si="42"/>
        <v>-186</v>
      </c>
      <c r="M77" s="3"/>
      <c r="N77" s="7">
        <f t="shared" si="43"/>
        <v>-1.5843270868824533E-2</v>
      </c>
      <c r="O77" s="11"/>
      <c r="P77" s="8">
        <v>11554</v>
      </c>
      <c r="Q77" s="3"/>
      <c r="R77" s="7">
        <f t="shared" si="44"/>
        <v>11.851350381060817</v>
      </c>
      <c r="S77" s="3"/>
      <c r="T77" s="8">
        <v>11740</v>
      </c>
      <c r="U77" s="3"/>
      <c r="V77" s="7">
        <f t="shared" si="45"/>
        <v>4.926753982120248E-2</v>
      </c>
      <c r="W77" s="3"/>
      <c r="X77" s="8">
        <f t="shared" si="46"/>
        <v>-186</v>
      </c>
      <c r="Y77" s="3"/>
      <c r="Z77" s="7">
        <f t="shared" si="47"/>
        <v>-1.5843270868824533E-2</v>
      </c>
    </row>
    <row r="78" spans="1:26" s="27" customFormat="1" outlineLevel="1" collapsed="1" x14ac:dyDescent="0.25">
      <c r="A78" s="28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SUM(OSRRefD22_13x_0)</f>
        <v>0</v>
      </c>
      <c r="E78" s="1"/>
      <c r="F78" s="5">
        <f t="shared" si="40"/>
        <v>0</v>
      </c>
      <c r="G78" s="1"/>
      <c r="H78" s="1">
        <f>SUM(OSRRefH22_13x_0)</f>
        <v>3000</v>
      </c>
      <c r="I78" s="1"/>
      <c r="J78" s="5">
        <f t="shared" si="41"/>
        <v>1.2589660942385641E-2</v>
      </c>
      <c r="K78" s="1"/>
      <c r="L78" s="1">
        <f t="shared" si="42"/>
        <v>-3000</v>
      </c>
      <c r="M78" s="1"/>
      <c r="N78" s="5">
        <f t="shared" si="43"/>
        <v>-1</v>
      </c>
      <c r="O78" s="14"/>
      <c r="P78" s="1">
        <f>SUM(OSRRefP22_13x_0)</f>
        <v>0</v>
      </c>
      <c r="Q78" s="1"/>
      <c r="R78" s="5">
        <f t="shared" si="44"/>
        <v>0</v>
      </c>
      <c r="S78" s="1"/>
      <c r="T78" s="1">
        <f>SUM(OSRRefT22_13x_0)</f>
        <v>3000</v>
      </c>
      <c r="U78" s="1"/>
      <c r="V78" s="5">
        <f t="shared" si="45"/>
        <v>1.2589660942385641E-2</v>
      </c>
      <c r="W78" s="1"/>
      <c r="X78" s="1">
        <f t="shared" si="46"/>
        <v>-3000</v>
      </c>
      <c r="Y78" s="1"/>
      <c r="Z78" s="5">
        <f t="shared" si="47"/>
        <v>-1</v>
      </c>
    </row>
    <row r="79" spans="1:26" s="24" customFormat="1" hidden="1" outlineLevel="2" x14ac:dyDescent="0.25">
      <c r="A79" s="29"/>
      <c r="B79" s="11" t="str">
        <f>CONCATENATE("          ", "6273", " - ", "RENT")</f>
        <v xml:space="preserve">          6273 - RENT</v>
      </c>
      <c r="C79" s="11"/>
      <c r="D79" s="8"/>
      <c r="E79" s="3"/>
      <c r="F79" s="7">
        <f t="shared" si="40"/>
        <v>0</v>
      </c>
      <c r="G79" s="3"/>
      <c r="H79" s="8">
        <v>3000</v>
      </c>
      <c r="I79" s="3"/>
      <c r="J79" s="7">
        <f t="shared" si="41"/>
        <v>1.2589660942385641E-2</v>
      </c>
      <c r="K79" s="3"/>
      <c r="L79" s="8">
        <f t="shared" si="42"/>
        <v>-3000</v>
      </c>
      <c r="M79" s="3"/>
      <c r="N79" s="7">
        <f t="shared" si="43"/>
        <v>-1</v>
      </c>
      <c r="O79" s="11"/>
      <c r="P79" s="8"/>
      <c r="Q79" s="3"/>
      <c r="R79" s="7">
        <f t="shared" si="44"/>
        <v>0</v>
      </c>
      <c r="S79" s="3"/>
      <c r="T79" s="8">
        <v>3000</v>
      </c>
      <c r="U79" s="3"/>
      <c r="V79" s="7">
        <f t="shared" si="45"/>
        <v>1.2589660942385641E-2</v>
      </c>
      <c r="W79" s="3"/>
      <c r="X79" s="8">
        <f t="shared" si="46"/>
        <v>-3000</v>
      </c>
      <c r="Y79" s="3"/>
      <c r="Z79" s="7">
        <f t="shared" si="47"/>
        <v>-1</v>
      </c>
    </row>
    <row r="80" spans="1:26" s="27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SUM(OSRRefD22_14x_0)</f>
        <v>4224.41</v>
      </c>
      <c r="E80" s="1"/>
      <c r="F80" s="5">
        <f t="shared" si="40"/>
        <v>4.333128186191546</v>
      </c>
      <c r="G80" s="1"/>
      <c r="H80" s="1">
        <f>SUM(OSRRefH22_14x_0)</f>
        <v>27630.34</v>
      </c>
      <c r="I80" s="1"/>
      <c r="J80" s="5">
        <f t="shared" si="41"/>
        <v>0.11595220410761189</v>
      </c>
      <c r="K80" s="1"/>
      <c r="L80" s="1">
        <f t="shared" si="42"/>
        <v>-23405.93</v>
      </c>
      <c r="M80" s="1"/>
      <c r="N80" s="5">
        <f t="shared" si="43"/>
        <v>-0.84710973516793497</v>
      </c>
      <c r="O80" s="14"/>
      <c r="P80" s="1">
        <f>SUM(OSRRefP22_14x_0)</f>
        <v>4224.41</v>
      </c>
      <c r="Q80" s="1"/>
      <c r="R80" s="5">
        <f t="shared" si="44"/>
        <v>4.333128186191546</v>
      </c>
      <c r="S80" s="1"/>
      <c r="T80" s="1">
        <f>SUM(OSRRefT22_14x_0)</f>
        <v>27630.34</v>
      </c>
      <c r="U80" s="1"/>
      <c r="V80" s="5">
        <f t="shared" si="45"/>
        <v>0.11595220410761189</v>
      </c>
      <c r="W80" s="1"/>
      <c r="X80" s="1">
        <f t="shared" si="46"/>
        <v>-23405.93</v>
      </c>
      <c r="Y80" s="1"/>
      <c r="Z80" s="5">
        <f t="shared" si="47"/>
        <v>-0.84710973516793497</v>
      </c>
    </row>
    <row r="81" spans="1:26" s="24" customFormat="1" hidden="1" outlineLevel="2" x14ac:dyDescent="0.25">
      <c r="A81" s="29"/>
      <c r="B81" s="11" t="str">
        <f>CONCATENATE("          ", "6373", " - ", "MAINTENANCE CONTRACTS")</f>
        <v xml:space="preserve">          6373 - MAINTENANCE CONTRACTS</v>
      </c>
      <c r="C81" s="11"/>
      <c r="D81" s="8">
        <v>2353.59</v>
      </c>
      <c r="E81" s="3"/>
      <c r="F81" s="7">
        <f t="shared" si="40"/>
        <v>2.4141613071975878</v>
      </c>
      <c r="G81" s="3"/>
      <c r="H81" s="8">
        <v>6028.88</v>
      </c>
      <c r="I81" s="3"/>
      <c r="J81" s="7">
        <f t="shared" si="41"/>
        <v>2.5300518354109982E-2</v>
      </c>
      <c r="K81" s="3"/>
      <c r="L81" s="8">
        <f t="shared" si="42"/>
        <v>-3675.29</v>
      </c>
      <c r="M81" s="3"/>
      <c r="N81" s="7">
        <f t="shared" si="43"/>
        <v>-0.60961405766908616</v>
      </c>
      <c r="O81" s="11"/>
      <c r="P81" s="8">
        <v>2353.59</v>
      </c>
      <c r="Q81" s="3"/>
      <c r="R81" s="7">
        <f t="shared" si="44"/>
        <v>2.4141613071975878</v>
      </c>
      <c r="S81" s="3"/>
      <c r="T81" s="8">
        <v>6028.88</v>
      </c>
      <c r="U81" s="3"/>
      <c r="V81" s="7">
        <f t="shared" si="45"/>
        <v>2.5300518354109982E-2</v>
      </c>
      <c r="W81" s="3"/>
      <c r="X81" s="8">
        <f t="shared" si="46"/>
        <v>-3675.29</v>
      </c>
      <c r="Y81" s="3"/>
      <c r="Z81" s="7">
        <f t="shared" si="47"/>
        <v>-0.60961405766908616</v>
      </c>
    </row>
    <row r="82" spans="1:26" s="24" customFormat="1" hidden="1" outlineLevel="2" x14ac:dyDescent="0.25">
      <c r="A82" s="29"/>
      <c r="B82" s="11" t="str">
        <f>CONCATENATE("          ", "6375", " - ", "OUTSIDE REPAIRS &amp; MAINTENANCE")</f>
        <v xml:space="preserve">          6375 - OUTSIDE REPAIRS &amp; MAINTENANCE</v>
      </c>
      <c r="C82" s="11"/>
      <c r="D82" s="8">
        <v>1870.82</v>
      </c>
      <c r="E82" s="3"/>
      <c r="F82" s="7">
        <f t="shared" si="40"/>
        <v>1.9189668789939585</v>
      </c>
      <c r="G82" s="3"/>
      <c r="H82" s="8">
        <v>21601.46</v>
      </c>
      <c r="I82" s="3"/>
      <c r="J82" s="7">
        <f t="shared" si="41"/>
        <v>9.0651685753501909E-2</v>
      </c>
      <c r="K82" s="3"/>
      <c r="L82" s="8">
        <f t="shared" si="42"/>
        <v>-19730.64</v>
      </c>
      <c r="M82" s="3"/>
      <c r="N82" s="7">
        <f t="shared" si="43"/>
        <v>-0.91339381689941324</v>
      </c>
      <c r="O82" s="11"/>
      <c r="P82" s="8">
        <v>1870.82</v>
      </c>
      <c r="Q82" s="3"/>
      <c r="R82" s="7">
        <f t="shared" si="44"/>
        <v>1.9189668789939585</v>
      </c>
      <c r="S82" s="3"/>
      <c r="T82" s="8">
        <v>21601.46</v>
      </c>
      <c r="U82" s="3"/>
      <c r="V82" s="7">
        <f t="shared" si="45"/>
        <v>9.0651685753501909E-2</v>
      </c>
      <c r="W82" s="3"/>
      <c r="X82" s="8">
        <f t="shared" si="46"/>
        <v>-19730.64</v>
      </c>
      <c r="Y82" s="3"/>
      <c r="Z82" s="7">
        <f t="shared" si="47"/>
        <v>-0.91339381689941324</v>
      </c>
    </row>
    <row r="83" spans="1:26" s="27" customFormat="1" outlineLevel="1" collapsed="1" x14ac:dyDescent="0.25">
      <c r="A83" s="28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1">
        <f>SUM(OSRRefD22_15x_0)</f>
        <v>0</v>
      </c>
      <c r="E83" s="1"/>
      <c r="F83" s="5">
        <f t="shared" ref="F83:F85" si="48">IF(D$12=0,0,D83/D$12)</f>
        <v>0</v>
      </c>
      <c r="G83" s="1"/>
      <c r="H83" s="1">
        <f>SUM(OSRRefH22_15x_0)</f>
        <v>16858.099999999999</v>
      </c>
      <c r="I83" s="1"/>
      <c r="J83" s="5">
        <f t="shared" ref="J83:J85" si="49">IF(H$12=0,0,H83/H$12)</f>
        <v>7.0745921044277127E-2</v>
      </c>
      <c r="K83" s="1"/>
      <c r="L83" s="1">
        <f t="shared" ref="L83:L85" si="50">+D83-H83</f>
        <v>-16858.099999999999</v>
      </c>
      <c r="M83" s="1"/>
      <c r="N83" s="5">
        <f t="shared" ref="N83:N85" si="51">IF(H83=0,0,L83/H83)</f>
        <v>-1</v>
      </c>
      <c r="O83" s="14"/>
      <c r="P83" s="1">
        <f>SUM(OSRRefP22_15x_0)</f>
        <v>0</v>
      </c>
      <c r="Q83" s="1"/>
      <c r="R83" s="5">
        <f t="shared" ref="R83:R85" si="52">IF(P$12=0,0,P83/P$12)</f>
        <v>0</v>
      </c>
      <c r="S83" s="1"/>
      <c r="T83" s="1">
        <f>SUM(OSRRefT22_15x_0)</f>
        <v>16858.099999999999</v>
      </c>
      <c r="U83" s="1"/>
      <c r="V83" s="5">
        <f t="shared" ref="V83:V85" si="53">IF(T$12=0,0,T83/T$12)</f>
        <v>7.0745921044277127E-2</v>
      </c>
      <c r="W83" s="1"/>
      <c r="X83" s="1">
        <f t="shared" ref="X83:X85" si="54">+P83-T83</f>
        <v>-16858.099999999999</v>
      </c>
      <c r="Y83" s="1"/>
      <c r="Z83" s="5">
        <f t="shared" ref="Z83:Z85" si="55">IF(T83=0,0,X83/T83)</f>
        <v>-1</v>
      </c>
    </row>
    <row r="84" spans="1:26" s="24" customFormat="1" hidden="1" outlineLevel="2" x14ac:dyDescent="0.25">
      <c r="A84" s="29"/>
      <c r="B84" s="11" t="str">
        <f>CONCATENATE("          ", "6254", " - ", "ROYALTY &amp; COMMISSIONS")</f>
        <v xml:space="preserve">          6254 - ROYALTY &amp; COMMISSIONS</v>
      </c>
      <c r="C84" s="11"/>
      <c r="D84" s="8"/>
      <c r="E84" s="3"/>
      <c r="F84" s="7">
        <f t="shared" si="48"/>
        <v>0</v>
      </c>
      <c r="G84" s="3"/>
      <c r="H84" s="8">
        <v>13972.66</v>
      </c>
      <c r="I84" s="3"/>
      <c r="J84" s="7">
        <f t="shared" si="49"/>
        <v>5.8637017287744717E-2</v>
      </c>
      <c r="K84" s="3"/>
      <c r="L84" s="8">
        <f t="shared" si="50"/>
        <v>-13972.66</v>
      </c>
      <c r="M84" s="3"/>
      <c r="N84" s="7">
        <f t="shared" si="51"/>
        <v>-1</v>
      </c>
      <c r="O84" s="11"/>
      <c r="P84" s="8"/>
      <c r="Q84" s="3"/>
      <c r="R84" s="7">
        <f t="shared" si="52"/>
        <v>0</v>
      </c>
      <c r="S84" s="3"/>
      <c r="T84" s="8">
        <v>13972.66</v>
      </c>
      <c r="U84" s="3"/>
      <c r="V84" s="7">
        <f t="shared" si="53"/>
        <v>5.8637017287744717E-2</v>
      </c>
      <c r="W84" s="3"/>
      <c r="X84" s="8">
        <f t="shared" si="54"/>
        <v>-13972.66</v>
      </c>
      <c r="Y84" s="3"/>
      <c r="Z84" s="7">
        <f t="shared" si="55"/>
        <v>-1</v>
      </c>
    </row>
    <row r="85" spans="1:26" s="24" customFormat="1" hidden="1" outlineLevel="2" x14ac:dyDescent="0.25">
      <c r="A85" s="29"/>
      <c r="B85" s="11" t="str">
        <f>CONCATENATE("          ", "6259", " - ", "ROYALTY &amp; COMMISSIONS")</f>
        <v xml:space="preserve">          6259 - ROYALTY &amp; COMMISSIONS</v>
      </c>
      <c r="C85" s="11"/>
      <c r="D85" s="8"/>
      <c r="E85" s="3"/>
      <c r="F85" s="7">
        <f t="shared" si="48"/>
        <v>0</v>
      </c>
      <c r="G85" s="3"/>
      <c r="H85" s="8">
        <v>2885.44</v>
      </c>
      <c r="I85" s="3"/>
      <c r="J85" s="7">
        <f t="shared" si="49"/>
        <v>1.2108903756532409E-2</v>
      </c>
      <c r="K85" s="3"/>
      <c r="L85" s="8">
        <f t="shared" si="50"/>
        <v>-2885.44</v>
      </c>
      <c r="M85" s="3"/>
      <c r="N85" s="7">
        <f t="shared" si="51"/>
        <v>-1</v>
      </c>
      <c r="O85" s="11"/>
      <c r="P85" s="8"/>
      <c r="Q85" s="3"/>
      <c r="R85" s="7">
        <f t="shared" si="52"/>
        <v>0</v>
      </c>
      <c r="S85" s="3"/>
      <c r="T85" s="8">
        <v>2885.44</v>
      </c>
      <c r="U85" s="3"/>
      <c r="V85" s="7">
        <f t="shared" si="53"/>
        <v>1.2108903756532409E-2</v>
      </c>
      <c r="W85" s="3"/>
      <c r="X85" s="8">
        <f t="shared" si="54"/>
        <v>-2885.44</v>
      </c>
      <c r="Y85" s="3"/>
      <c r="Z85" s="7">
        <f t="shared" si="55"/>
        <v>-1</v>
      </c>
    </row>
    <row r="86" spans="1:26" s="27" customFormat="1" outlineLevel="1" collapsed="1" x14ac:dyDescent="0.25">
      <c r="A86" s="28"/>
      <c r="B86" s="14" t="str">
        <f>CONCATENATE("     ","Services                                          ")</f>
        <v xml:space="preserve">     Services                                          </v>
      </c>
      <c r="C86" s="14"/>
      <c r="D86" s="1">
        <f>SUM(OSRRefD22_16x_0)</f>
        <v>802.59999999999991</v>
      </c>
      <c r="E86" s="1"/>
      <c r="F86" s="5">
        <f t="shared" ref="F86:F91" si="56">IF(D$12=0,0,D86/D$12)</f>
        <v>0.82325547999302495</v>
      </c>
      <c r="G86" s="1"/>
      <c r="H86" s="1">
        <f>SUM(OSRRefH22_16x_0)</f>
        <v>23127.74</v>
      </c>
      <c r="I86" s="1"/>
      <c r="J86" s="5">
        <f t="shared" ref="J86:J91" si="57">IF(H$12=0,0,H86/H$12)</f>
        <v>9.7056801654550037E-2</v>
      </c>
      <c r="K86" s="1"/>
      <c r="L86" s="1">
        <f t="shared" ref="L86:L91" si="58">+D86-H86</f>
        <v>-22325.140000000003</v>
      </c>
      <c r="M86" s="1"/>
      <c r="N86" s="5">
        <f t="shared" ref="N86:N91" si="59">IF(H86=0,0,L86/H86)</f>
        <v>-0.96529708479946597</v>
      </c>
      <c r="O86" s="14"/>
      <c r="P86" s="1">
        <f>SUM(OSRRefP22_16x_0)</f>
        <v>802.59999999999991</v>
      </c>
      <c r="Q86" s="1"/>
      <c r="R86" s="5">
        <f t="shared" ref="R86:R91" si="60">IF(P$12=0,0,P86/P$12)</f>
        <v>0.82325547999302495</v>
      </c>
      <c r="S86" s="1"/>
      <c r="T86" s="1">
        <f>SUM(OSRRefT22_16x_0)</f>
        <v>23127.74</v>
      </c>
      <c r="U86" s="1"/>
      <c r="V86" s="5">
        <f t="shared" ref="V86:V91" si="61">IF(T$12=0,0,T86/T$12)</f>
        <v>9.7056801654550037E-2</v>
      </c>
      <c r="W86" s="1"/>
      <c r="X86" s="1">
        <f t="shared" ref="X86:X91" si="62">+P86-T86</f>
        <v>-22325.140000000003</v>
      </c>
      <c r="Y86" s="1"/>
      <c r="Z86" s="5">
        <f t="shared" ref="Z86:Z91" si="63">IF(T86=0,0,X86/T86)</f>
        <v>-0.96529708479946597</v>
      </c>
    </row>
    <row r="87" spans="1:26" s="24" customFormat="1" hidden="1" outlineLevel="2" x14ac:dyDescent="0.25">
      <c r="A87" s="29"/>
      <c r="B87" s="11" t="str">
        <f>CONCATENATE("          ", "6282", " - ", "JANITORIAL/EXTERMINATOR EXPENS")</f>
        <v xml:space="preserve">          6282 - JANITORIAL/EXTERMINATOR EXPENS</v>
      </c>
      <c r="C87" s="11"/>
      <c r="D87" s="8">
        <v>286.62</v>
      </c>
      <c r="E87" s="3"/>
      <c r="F87" s="7">
        <f t="shared" si="56"/>
        <v>0.29399636889559039</v>
      </c>
      <c r="G87" s="3"/>
      <c r="H87" s="8">
        <v>1879.66</v>
      </c>
      <c r="I87" s="3"/>
      <c r="J87" s="7">
        <f t="shared" si="57"/>
        <v>7.888094028988199E-3</v>
      </c>
      <c r="K87" s="3"/>
      <c r="L87" s="8">
        <f t="shared" si="58"/>
        <v>-1593.04</v>
      </c>
      <c r="M87" s="3"/>
      <c r="N87" s="7">
        <f t="shared" si="59"/>
        <v>-0.84751497611270121</v>
      </c>
      <c r="O87" s="11"/>
      <c r="P87" s="8">
        <v>286.62</v>
      </c>
      <c r="Q87" s="3"/>
      <c r="R87" s="7">
        <f t="shared" si="60"/>
        <v>0.29399636889559039</v>
      </c>
      <c r="S87" s="3"/>
      <c r="T87" s="8">
        <v>1879.66</v>
      </c>
      <c r="U87" s="3"/>
      <c r="V87" s="7">
        <f t="shared" si="61"/>
        <v>7.888094028988199E-3</v>
      </c>
      <c r="W87" s="3"/>
      <c r="X87" s="8">
        <f t="shared" si="62"/>
        <v>-1593.04</v>
      </c>
      <c r="Y87" s="3"/>
      <c r="Z87" s="7">
        <f t="shared" si="63"/>
        <v>-0.84751497611270121</v>
      </c>
    </row>
    <row r="88" spans="1:26" s="24" customFormat="1" hidden="1" outlineLevel="2" x14ac:dyDescent="0.25">
      <c r="A88" s="29"/>
      <c r="B88" s="11" t="str">
        <f>CONCATENATE("          ", "6283", " - ", "PLANT SERVICE")</f>
        <v xml:space="preserve">          6283 - PLANT SERVICE</v>
      </c>
      <c r="C88" s="11"/>
      <c r="D88" s="8"/>
      <c r="E88" s="3"/>
      <c r="F88" s="7">
        <f t="shared" si="56"/>
        <v>0</v>
      </c>
      <c r="G88" s="3"/>
      <c r="H88" s="8">
        <v>199.78</v>
      </c>
      <c r="I88" s="3"/>
      <c r="J88" s="7">
        <f t="shared" si="57"/>
        <v>8.3838748768993445E-4</v>
      </c>
      <c r="K88" s="3"/>
      <c r="L88" s="8">
        <f t="shared" si="58"/>
        <v>-199.78</v>
      </c>
      <c r="M88" s="3"/>
      <c r="N88" s="7">
        <f t="shared" si="59"/>
        <v>-1</v>
      </c>
      <c r="O88" s="11"/>
      <c r="P88" s="8"/>
      <c r="Q88" s="3"/>
      <c r="R88" s="7">
        <f t="shared" si="60"/>
        <v>0</v>
      </c>
      <c r="S88" s="3"/>
      <c r="T88" s="8">
        <v>199.78</v>
      </c>
      <c r="U88" s="3"/>
      <c r="V88" s="7">
        <f t="shared" si="61"/>
        <v>8.3838748768993445E-4</v>
      </c>
      <c r="W88" s="3"/>
      <c r="X88" s="8">
        <f t="shared" si="62"/>
        <v>-199.78</v>
      </c>
      <c r="Y88" s="3"/>
      <c r="Z88" s="7">
        <f t="shared" si="63"/>
        <v>-1</v>
      </c>
    </row>
    <row r="89" spans="1:26" s="24" customFormat="1" hidden="1" outlineLevel="2" x14ac:dyDescent="0.25">
      <c r="A89" s="29"/>
      <c r="B89" s="11" t="str">
        <f>CONCATENATE("          ", "6284", " - ", "TRASH REMOVAL EXPENSE")</f>
        <v xml:space="preserve">          6284 - TRASH REMOVAL EXPENSE</v>
      </c>
      <c r="C89" s="11"/>
      <c r="D89" s="8">
        <v>1000</v>
      </c>
      <c r="E89" s="3"/>
      <c r="F89" s="7">
        <f t="shared" si="56"/>
        <v>1.0257357089372352</v>
      </c>
      <c r="G89" s="3"/>
      <c r="H89" s="8">
        <v>4436</v>
      </c>
      <c r="I89" s="3"/>
      <c r="J89" s="7">
        <f t="shared" si="57"/>
        <v>1.8615911980140901E-2</v>
      </c>
      <c r="K89" s="3"/>
      <c r="L89" s="8">
        <f t="shared" si="58"/>
        <v>-3436</v>
      </c>
      <c r="M89" s="3"/>
      <c r="N89" s="7">
        <f t="shared" si="59"/>
        <v>-0.77457168620378725</v>
      </c>
      <c r="O89" s="11"/>
      <c r="P89" s="8">
        <v>1000</v>
      </c>
      <c r="Q89" s="3"/>
      <c r="R89" s="7">
        <f t="shared" si="60"/>
        <v>1.0257357089372352</v>
      </c>
      <c r="S89" s="3"/>
      <c r="T89" s="8">
        <v>4436</v>
      </c>
      <c r="U89" s="3"/>
      <c r="V89" s="7">
        <f t="shared" si="61"/>
        <v>1.8615911980140901E-2</v>
      </c>
      <c r="W89" s="3"/>
      <c r="X89" s="8">
        <f t="shared" si="62"/>
        <v>-3436</v>
      </c>
      <c r="Y89" s="3"/>
      <c r="Z89" s="7">
        <f t="shared" si="63"/>
        <v>-0.77457168620378725</v>
      </c>
    </row>
    <row r="90" spans="1:26" s="24" customFormat="1" hidden="1" outlineLevel="2" x14ac:dyDescent="0.25">
      <c r="A90" s="29"/>
      <c r="B90" s="11" t="str">
        <f>CONCATENATE("          ", "6285", " - ", "JANITORIAL SERVICES")</f>
        <v xml:space="preserve">          6285 - JANITORIAL SERVICES</v>
      </c>
      <c r="C90" s="11"/>
      <c r="D90" s="8">
        <v>-804.6</v>
      </c>
      <c r="E90" s="3"/>
      <c r="F90" s="7">
        <f t="shared" si="56"/>
        <v>-0.82530695141089949</v>
      </c>
      <c r="G90" s="3"/>
      <c r="H90" s="8">
        <v>12917.08</v>
      </c>
      <c r="I90" s="3"/>
      <c r="J90" s="7">
        <f t="shared" si="57"/>
        <v>5.4207219188556907E-2</v>
      </c>
      <c r="K90" s="3"/>
      <c r="L90" s="8">
        <f t="shared" si="58"/>
        <v>-13721.68</v>
      </c>
      <c r="M90" s="3"/>
      <c r="N90" s="7">
        <f t="shared" si="59"/>
        <v>-1.0622896196353975</v>
      </c>
      <c r="O90" s="11"/>
      <c r="P90" s="8">
        <v>-804.6</v>
      </c>
      <c r="Q90" s="3"/>
      <c r="R90" s="7">
        <f t="shared" si="60"/>
        <v>-0.82530695141089949</v>
      </c>
      <c r="S90" s="3"/>
      <c r="T90" s="8">
        <v>12917.08</v>
      </c>
      <c r="U90" s="3"/>
      <c r="V90" s="7">
        <f t="shared" si="61"/>
        <v>5.4207219188556907E-2</v>
      </c>
      <c r="W90" s="3"/>
      <c r="X90" s="8">
        <f t="shared" si="62"/>
        <v>-13721.68</v>
      </c>
      <c r="Y90" s="3"/>
      <c r="Z90" s="7">
        <f t="shared" si="63"/>
        <v>-1.0622896196353975</v>
      </c>
    </row>
    <row r="91" spans="1:26" s="24" customFormat="1" hidden="1" outlineLevel="2" x14ac:dyDescent="0.25">
      <c r="A91" s="29"/>
      <c r="B91" s="11" t="str">
        <f>CONCATENATE("          ", "6286", " - ", "LAUNDRY EXPENSE")</f>
        <v xml:space="preserve">          6286 - LAUNDRY EXPENSE</v>
      </c>
      <c r="C91" s="11"/>
      <c r="D91" s="8">
        <v>320.58</v>
      </c>
      <c r="E91" s="3"/>
      <c r="F91" s="7">
        <f t="shared" si="56"/>
        <v>0.32883035357109885</v>
      </c>
      <c r="G91" s="3"/>
      <c r="H91" s="8">
        <v>3695.22</v>
      </c>
      <c r="I91" s="3"/>
      <c r="J91" s="7">
        <f t="shared" si="57"/>
        <v>1.550718896917409E-2</v>
      </c>
      <c r="K91" s="3"/>
      <c r="L91" s="8">
        <f t="shared" si="58"/>
        <v>-3374.64</v>
      </c>
      <c r="M91" s="3"/>
      <c r="N91" s="7">
        <f t="shared" si="59"/>
        <v>-0.91324467826002242</v>
      </c>
      <c r="O91" s="11"/>
      <c r="P91" s="8">
        <v>320.58</v>
      </c>
      <c r="Q91" s="3"/>
      <c r="R91" s="7">
        <f t="shared" si="60"/>
        <v>0.32883035357109885</v>
      </c>
      <c r="S91" s="3"/>
      <c r="T91" s="8">
        <v>3695.22</v>
      </c>
      <c r="U91" s="3"/>
      <c r="V91" s="7">
        <f t="shared" si="61"/>
        <v>1.550718896917409E-2</v>
      </c>
      <c r="W91" s="3"/>
      <c r="X91" s="8">
        <f t="shared" si="62"/>
        <v>-3374.64</v>
      </c>
      <c r="Y91" s="3"/>
      <c r="Z91" s="7">
        <f t="shared" si="63"/>
        <v>-0.91324467826002242</v>
      </c>
    </row>
    <row r="92" spans="1:26" s="27" customFormat="1" outlineLevel="1" collapsed="1" x14ac:dyDescent="0.25">
      <c r="A92" s="28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SUM(OSRRefD22_17x_0)</f>
        <v>9.32</v>
      </c>
      <c r="E92" s="1"/>
      <c r="F92" s="5">
        <f t="shared" ref="F92:F102" si="64">IF(D$12=0,0,D92/D$12)</f>
        <v>9.5598568072950332E-3</v>
      </c>
      <c r="G92" s="1"/>
      <c r="H92" s="1">
        <f>SUM(OSRRefH22_17x_0)</f>
        <v>569.82000000000005</v>
      </c>
      <c r="I92" s="1"/>
      <c r="J92" s="5">
        <f t="shared" ref="J92:J102" si="65">IF(H$12=0,0,H92/H$12)</f>
        <v>2.3912801993967291E-3</v>
      </c>
      <c r="K92" s="1"/>
      <c r="L92" s="1">
        <f t="shared" ref="L92:L102" si="66">+D92-H92</f>
        <v>-560.5</v>
      </c>
      <c r="M92" s="1"/>
      <c r="N92" s="5">
        <f t="shared" ref="N92:N102" si="67">IF(H92=0,0,L92/H92)</f>
        <v>-0.98364395774104096</v>
      </c>
      <c r="O92" s="14"/>
      <c r="P92" s="1">
        <f>SUM(OSRRefP22_17x_0)</f>
        <v>9.32</v>
      </c>
      <c r="Q92" s="1"/>
      <c r="R92" s="5">
        <f t="shared" ref="R92:R102" si="68">IF(P$12=0,0,P92/P$12)</f>
        <v>9.5598568072950332E-3</v>
      </c>
      <c r="S92" s="1"/>
      <c r="T92" s="1">
        <f>SUM(OSRRefT22_17x_0)</f>
        <v>569.82000000000005</v>
      </c>
      <c r="U92" s="1"/>
      <c r="V92" s="5">
        <f t="shared" ref="V92:V102" si="69">IF(T$12=0,0,T92/T$12)</f>
        <v>2.3912801993967291E-3</v>
      </c>
      <c r="W92" s="1"/>
      <c r="X92" s="1">
        <f t="shared" ref="X92:X102" si="70">+P92-T92</f>
        <v>-560.5</v>
      </c>
      <c r="Y92" s="1"/>
      <c r="Z92" s="5">
        <f t="shared" ref="Z92:Z102" si="71">IF(T92=0,0,X92/T92)</f>
        <v>-0.98364395774104096</v>
      </c>
    </row>
    <row r="93" spans="1:26" s="24" customFormat="1" hidden="1" outlineLevel="2" x14ac:dyDescent="0.25">
      <c r="A93" s="29"/>
      <c r="B93" s="11" t="str">
        <f>CONCATENATE("          ", "6275", " - ", "SUBSCRIPTIONS")</f>
        <v xml:space="preserve">          6275 - SUBSCRIPTIONS</v>
      </c>
      <c r="C93" s="11"/>
      <c r="D93" s="8">
        <v>9.32</v>
      </c>
      <c r="E93" s="3"/>
      <c r="F93" s="7">
        <f t="shared" si="64"/>
        <v>9.5598568072950332E-3</v>
      </c>
      <c r="G93" s="3"/>
      <c r="H93" s="8">
        <v>569.82000000000005</v>
      </c>
      <c r="I93" s="3"/>
      <c r="J93" s="7">
        <f t="shared" si="65"/>
        <v>2.3912801993967291E-3</v>
      </c>
      <c r="K93" s="3"/>
      <c r="L93" s="8">
        <f t="shared" si="66"/>
        <v>-560.5</v>
      </c>
      <c r="M93" s="3"/>
      <c r="N93" s="7">
        <f t="shared" si="67"/>
        <v>-0.98364395774104096</v>
      </c>
      <c r="O93" s="11"/>
      <c r="P93" s="8">
        <v>9.32</v>
      </c>
      <c r="Q93" s="3"/>
      <c r="R93" s="7">
        <f t="shared" si="68"/>
        <v>9.5598568072950332E-3</v>
      </c>
      <c r="S93" s="3"/>
      <c r="T93" s="8">
        <v>569.82000000000005</v>
      </c>
      <c r="U93" s="3"/>
      <c r="V93" s="7">
        <f t="shared" si="69"/>
        <v>2.3912801993967291E-3</v>
      </c>
      <c r="W93" s="3"/>
      <c r="X93" s="8">
        <f t="shared" si="70"/>
        <v>-560.5</v>
      </c>
      <c r="Y93" s="3"/>
      <c r="Z93" s="7">
        <f t="shared" si="71"/>
        <v>-0.98364395774104096</v>
      </c>
    </row>
    <row r="94" spans="1:26" s="27" customFormat="1" outlineLevel="1" collapsed="1" x14ac:dyDescent="0.25">
      <c r="A94" s="28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SUM(OSRRefD22_18x_0)</f>
        <v>693.41000000000008</v>
      </c>
      <c r="E94" s="1"/>
      <c r="F94" s="5">
        <f t="shared" si="64"/>
        <v>0.71125539793416837</v>
      </c>
      <c r="G94" s="1"/>
      <c r="H94" s="1">
        <f>SUM(OSRRefH22_18x_0)</f>
        <v>24206.949999999997</v>
      </c>
      <c r="I94" s="1"/>
      <c r="J94" s="5">
        <f t="shared" si="65"/>
        <v>0.10158576431642735</v>
      </c>
      <c r="K94" s="1"/>
      <c r="L94" s="1">
        <f t="shared" si="66"/>
        <v>-23513.539999999997</v>
      </c>
      <c r="M94" s="1"/>
      <c r="N94" s="5">
        <f t="shared" si="67"/>
        <v>-0.9713549207975396</v>
      </c>
      <c r="O94" s="14"/>
      <c r="P94" s="1">
        <f>SUM(OSRRefP22_18x_0)</f>
        <v>693.41000000000008</v>
      </c>
      <c r="Q94" s="1"/>
      <c r="R94" s="5">
        <f t="shared" si="68"/>
        <v>0.71125539793416837</v>
      </c>
      <c r="S94" s="1"/>
      <c r="T94" s="1">
        <f>SUM(OSRRefT22_18x_0)</f>
        <v>24206.949999999997</v>
      </c>
      <c r="U94" s="1"/>
      <c r="V94" s="5">
        <f t="shared" si="69"/>
        <v>0.10158576431642735</v>
      </c>
      <c r="W94" s="1"/>
      <c r="X94" s="1">
        <f t="shared" si="70"/>
        <v>-23513.539999999997</v>
      </c>
      <c r="Y94" s="1"/>
      <c r="Z94" s="5">
        <f t="shared" si="71"/>
        <v>-0.9713549207975396</v>
      </c>
    </row>
    <row r="95" spans="1:26" s="24" customFormat="1" hidden="1" outlineLevel="2" x14ac:dyDescent="0.25">
      <c r="A95" s="29"/>
      <c r="B95" s="11" t="str">
        <f>CONCATENATE("          ", "6235", " - ", "COVID-19 EXPENSES")</f>
        <v xml:space="preserve">          6235 - COVID-19 EXPENSES</v>
      </c>
      <c r="C95" s="11"/>
      <c r="D95" s="8">
        <v>743.09</v>
      </c>
      <c r="E95" s="3"/>
      <c r="F95" s="7">
        <f t="shared" si="64"/>
        <v>0.76221394795417019</v>
      </c>
      <c r="G95" s="3"/>
      <c r="H95" s="8"/>
      <c r="I95" s="3"/>
      <c r="J95" s="7">
        <f t="shared" si="65"/>
        <v>0</v>
      </c>
      <c r="K95" s="3"/>
      <c r="L95" s="8">
        <f t="shared" si="66"/>
        <v>743.09</v>
      </c>
      <c r="M95" s="3"/>
      <c r="N95" s="7">
        <f t="shared" si="67"/>
        <v>0</v>
      </c>
      <c r="O95" s="11"/>
      <c r="P95" s="8">
        <v>743.09</v>
      </c>
      <c r="Q95" s="3"/>
      <c r="R95" s="7">
        <f t="shared" si="68"/>
        <v>0.76221394795417019</v>
      </c>
      <c r="S95" s="3"/>
      <c r="T95" s="8"/>
      <c r="U95" s="3"/>
      <c r="V95" s="7">
        <f t="shared" si="69"/>
        <v>0</v>
      </c>
      <c r="W95" s="3"/>
      <c r="X95" s="8">
        <f t="shared" si="70"/>
        <v>743.09</v>
      </c>
      <c r="Y95" s="3"/>
      <c r="Z95" s="7">
        <f t="shared" si="71"/>
        <v>0</v>
      </c>
    </row>
    <row r="96" spans="1:26" s="24" customFormat="1" hidden="1" outlineLevel="2" x14ac:dyDescent="0.25">
      <c r="A96" s="29"/>
      <c r="B96" s="11" t="str">
        <f>CONCATENATE("          ", "6237", " - ", "JANITORIAL SUPPLIES")</f>
        <v xml:space="preserve">          6237 - JANITORIAL SUPPLIES</v>
      </c>
      <c r="C96" s="11"/>
      <c r="D96" s="8"/>
      <c r="E96" s="3"/>
      <c r="F96" s="7">
        <f t="shared" si="64"/>
        <v>0</v>
      </c>
      <c r="G96" s="3"/>
      <c r="H96" s="8">
        <v>4251.6400000000003</v>
      </c>
      <c r="I96" s="3"/>
      <c r="J96" s="7">
        <f t="shared" si="65"/>
        <v>1.784223534969483E-2</v>
      </c>
      <c r="K96" s="3"/>
      <c r="L96" s="8">
        <f t="shared" si="66"/>
        <v>-4251.6400000000003</v>
      </c>
      <c r="M96" s="3"/>
      <c r="N96" s="7">
        <f t="shared" si="67"/>
        <v>-1</v>
      </c>
      <c r="O96" s="11"/>
      <c r="P96" s="8"/>
      <c r="Q96" s="3"/>
      <c r="R96" s="7">
        <f t="shared" si="68"/>
        <v>0</v>
      </c>
      <c r="S96" s="3"/>
      <c r="T96" s="8">
        <v>4251.6400000000003</v>
      </c>
      <c r="U96" s="3"/>
      <c r="V96" s="7">
        <f t="shared" si="69"/>
        <v>1.784223534969483E-2</v>
      </c>
      <c r="W96" s="3"/>
      <c r="X96" s="8">
        <f t="shared" si="70"/>
        <v>-4251.6400000000003</v>
      </c>
      <c r="Y96" s="3"/>
      <c r="Z96" s="7">
        <f t="shared" si="71"/>
        <v>-1</v>
      </c>
    </row>
    <row r="97" spans="1:26" s="24" customFormat="1" hidden="1" outlineLevel="2" x14ac:dyDescent="0.25">
      <c r="A97" s="29"/>
      <c r="B97" s="11" t="str">
        <f>CONCATENATE("          ", "6239", " - ", "KITCHEN SUPPLIES")</f>
        <v xml:space="preserve">          6239 - KITCHEN SUPPLIES</v>
      </c>
      <c r="C97" s="11"/>
      <c r="D97" s="8"/>
      <c r="E97" s="3"/>
      <c r="F97" s="7">
        <f t="shared" si="64"/>
        <v>0</v>
      </c>
      <c r="G97" s="3"/>
      <c r="H97" s="8">
        <v>6419.53</v>
      </c>
      <c r="I97" s="3"/>
      <c r="J97" s="7">
        <f t="shared" si="65"/>
        <v>2.6939902036490965E-2</v>
      </c>
      <c r="K97" s="3"/>
      <c r="L97" s="8">
        <f t="shared" si="66"/>
        <v>-6419.53</v>
      </c>
      <c r="M97" s="3"/>
      <c r="N97" s="7">
        <f t="shared" si="67"/>
        <v>-1</v>
      </c>
      <c r="O97" s="11"/>
      <c r="P97" s="8"/>
      <c r="Q97" s="3"/>
      <c r="R97" s="7">
        <f t="shared" si="68"/>
        <v>0</v>
      </c>
      <c r="S97" s="3"/>
      <c r="T97" s="8">
        <v>6419.53</v>
      </c>
      <c r="U97" s="3"/>
      <c r="V97" s="7">
        <f t="shared" si="69"/>
        <v>2.6939902036490965E-2</v>
      </c>
      <c r="W97" s="3"/>
      <c r="X97" s="8">
        <f t="shared" si="70"/>
        <v>-6419.53</v>
      </c>
      <c r="Y97" s="3"/>
      <c r="Z97" s="7">
        <f t="shared" si="71"/>
        <v>-1</v>
      </c>
    </row>
    <row r="98" spans="1:26" s="24" customFormat="1" hidden="1" outlineLevel="2" x14ac:dyDescent="0.25">
      <c r="A98" s="29"/>
      <c r="B98" s="11" t="str">
        <f>CONCATENATE("          ", "6241", " - ", "OFFICE EXPENSE")</f>
        <v xml:space="preserve">          6241 - OFFICE EXPENSE</v>
      </c>
      <c r="C98" s="11"/>
      <c r="D98" s="8">
        <v>-49.68</v>
      </c>
      <c r="E98" s="3"/>
      <c r="F98" s="7">
        <f t="shared" si="64"/>
        <v>-5.0958550020001846E-2</v>
      </c>
      <c r="G98" s="3"/>
      <c r="H98" s="8">
        <v>3018.64</v>
      </c>
      <c r="I98" s="3"/>
      <c r="J98" s="7">
        <f t="shared" si="65"/>
        <v>1.266788470237433E-2</v>
      </c>
      <c r="K98" s="3"/>
      <c r="L98" s="8">
        <f t="shared" si="66"/>
        <v>-3068.3199999999997</v>
      </c>
      <c r="M98" s="3"/>
      <c r="N98" s="7">
        <f t="shared" si="67"/>
        <v>-1.0164577425595631</v>
      </c>
      <c r="O98" s="11"/>
      <c r="P98" s="8">
        <v>-49.68</v>
      </c>
      <c r="Q98" s="3"/>
      <c r="R98" s="7">
        <f t="shared" si="68"/>
        <v>-5.0958550020001846E-2</v>
      </c>
      <c r="S98" s="3"/>
      <c r="T98" s="8">
        <v>3018.64</v>
      </c>
      <c r="U98" s="3"/>
      <c r="V98" s="7">
        <f t="shared" si="69"/>
        <v>1.266788470237433E-2</v>
      </c>
      <c r="W98" s="3"/>
      <c r="X98" s="8">
        <f t="shared" si="70"/>
        <v>-3068.3199999999997</v>
      </c>
      <c r="Y98" s="3"/>
      <c r="Z98" s="7">
        <f t="shared" si="71"/>
        <v>-1.0164577425595631</v>
      </c>
    </row>
    <row r="99" spans="1:26" s="24" customFormat="1" hidden="1" outlineLevel="2" x14ac:dyDescent="0.25">
      <c r="A99" s="29"/>
      <c r="B99" s="11" t="str">
        <f>CONCATENATE("          ", "6243", " - ", "PAPER SUPPLIES")</f>
        <v xml:space="preserve">          6243 - PAPER SUPPLIES</v>
      </c>
      <c r="C99" s="11"/>
      <c r="D99" s="8"/>
      <c r="E99" s="3"/>
      <c r="F99" s="7">
        <f t="shared" si="64"/>
        <v>0</v>
      </c>
      <c r="G99" s="3"/>
      <c r="H99" s="8">
        <v>2838.31</v>
      </c>
      <c r="I99" s="3"/>
      <c r="J99" s="7">
        <f t="shared" si="65"/>
        <v>1.191112018312753E-2</v>
      </c>
      <c r="K99" s="3"/>
      <c r="L99" s="8">
        <f t="shared" si="66"/>
        <v>-2838.31</v>
      </c>
      <c r="M99" s="3"/>
      <c r="N99" s="7">
        <f t="shared" si="67"/>
        <v>-1</v>
      </c>
      <c r="O99" s="11"/>
      <c r="P99" s="8"/>
      <c r="Q99" s="3"/>
      <c r="R99" s="7">
        <f t="shared" si="68"/>
        <v>0</v>
      </c>
      <c r="S99" s="3"/>
      <c r="T99" s="8">
        <v>2838.31</v>
      </c>
      <c r="U99" s="3"/>
      <c r="V99" s="7">
        <f t="shared" si="69"/>
        <v>1.191112018312753E-2</v>
      </c>
      <c r="W99" s="3"/>
      <c r="X99" s="8">
        <f t="shared" si="70"/>
        <v>-2838.31</v>
      </c>
      <c r="Y99" s="3"/>
      <c r="Z99" s="7">
        <f t="shared" si="71"/>
        <v>-1</v>
      </c>
    </row>
    <row r="100" spans="1:26" s="24" customFormat="1" hidden="1" outlineLevel="2" x14ac:dyDescent="0.25">
      <c r="A100" s="29"/>
      <c r="B100" s="11" t="str">
        <f>CONCATENATE("          ", "6245", " - ", "PRINTING")</f>
        <v xml:space="preserve">          6245 - PRINTING</v>
      </c>
      <c r="C100" s="11"/>
      <c r="D100" s="8"/>
      <c r="E100" s="3"/>
      <c r="F100" s="7">
        <f t="shared" si="64"/>
        <v>0</v>
      </c>
      <c r="G100" s="3"/>
      <c r="H100" s="8">
        <v>137.76</v>
      </c>
      <c r="I100" s="3"/>
      <c r="J100" s="7">
        <f t="shared" si="65"/>
        <v>5.7811723047434865E-4</v>
      </c>
      <c r="K100" s="3"/>
      <c r="L100" s="8">
        <f t="shared" si="66"/>
        <v>-137.76</v>
      </c>
      <c r="M100" s="3"/>
      <c r="N100" s="7">
        <f t="shared" si="67"/>
        <v>-1</v>
      </c>
      <c r="O100" s="11"/>
      <c r="P100" s="8"/>
      <c r="Q100" s="3"/>
      <c r="R100" s="7">
        <f t="shared" si="68"/>
        <v>0</v>
      </c>
      <c r="S100" s="3"/>
      <c r="T100" s="8">
        <v>137.76</v>
      </c>
      <c r="U100" s="3"/>
      <c r="V100" s="7">
        <f t="shared" si="69"/>
        <v>5.7811723047434865E-4</v>
      </c>
      <c r="W100" s="3"/>
      <c r="X100" s="8">
        <f t="shared" si="70"/>
        <v>-137.76</v>
      </c>
      <c r="Y100" s="3"/>
      <c r="Z100" s="7">
        <f t="shared" si="71"/>
        <v>-1</v>
      </c>
    </row>
    <row r="101" spans="1:26" s="24" customFormat="1" hidden="1" outlineLevel="2" x14ac:dyDescent="0.25">
      <c r="A101" s="29"/>
      <c r="B101" s="11" t="str">
        <f>CONCATENATE("          ", "6247", " - ", "STORE SUPPLIES")</f>
        <v xml:space="preserve">          6247 - STORE SUPPLIES</v>
      </c>
      <c r="C101" s="11"/>
      <c r="D101" s="8"/>
      <c r="E101" s="3"/>
      <c r="F101" s="7">
        <f t="shared" si="64"/>
        <v>0</v>
      </c>
      <c r="G101" s="3"/>
      <c r="H101" s="8">
        <v>6961.63</v>
      </c>
      <c r="I101" s="3"/>
      <c r="J101" s="7">
        <f t="shared" si="65"/>
        <v>2.9214853768780052E-2</v>
      </c>
      <c r="K101" s="3"/>
      <c r="L101" s="8">
        <f t="shared" si="66"/>
        <v>-6961.63</v>
      </c>
      <c r="M101" s="3"/>
      <c r="N101" s="7">
        <f t="shared" si="67"/>
        <v>-1</v>
      </c>
      <c r="O101" s="11"/>
      <c r="P101" s="8"/>
      <c r="Q101" s="3"/>
      <c r="R101" s="7">
        <f t="shared" si="68"/>
        <v>0</v>
      </c>
      <c r="S101" s="3"/>
      <c r="T101" s="8">
        <v>6961.63</v>
      </c>
      <c r="U101" s="3"/>
      <c r="V101" s="7">
        <f t="shared" si="69"/>
        <v>2.9214853768780052E-2</v>
      </c>
      <c r="W101" s="3"/>
      <c r="X101" s="8">
        <f t="shared" si="70"/>
        <v>-6961.63</v>
      </c>
      <c r="Y101" s="3"/>
      <c r="Z101" s="7">
        <f t="shared" si="71"/>
        <v>-1</v>
      </c>
    </row>
    <row r="102" spans="1:26" s="24" customFormat="1" hidden="1" outlineLevel="2" x14ac:dyDescent="0.25">
      <c r="A102" s="29"/>
      <c r="B102" s="11" t="str">
        <f>CONCATENATE("          ", "6248", " - ", "UNIFORMS")</f>
        <v xml:space="preserve">          6248 - UNIFORMS</v>
      </c>
      <c r="C102" s="11"/>
      <c r="D102" s="8"/>
      <c r="E102" s="3"/>
      <c r="F102" s="7">
        <f t="shared" si="64"/>
        <v>0</v>
      </c>
      <c r="G102" s="3"/>
      <c r="H102" s="8">
        <v>579.44000000000005</v>
      </c>
      <c r="I102" s="3"/>
      <c r="J102" s="7">
        <f t="shared" si="65"/>
        <v>2.4316510454853121E-3</v>
      </c>
      <c r="K102" s="3"/>
      <c r="L102" s="8">
        <f t="shared" si="66"/>
        <v>-579.44000000000005</v>
      </c>
      <c r="M102" s="3"/>
      <c r="N102" s="7">
        <f t="shared" si="67"/>
        <v>-1</v>
      </c>
      <c r="O102" s="11"/>
      <c r="P102" s="8"/>
      <c r="Q102" s="3"/>
      <c r="R102" s="7">
        <f t="shared" si="68"/>
        <v>0</v>
      </c>
      <c r="S102" s="3"/>
      <c r="T102" s="8">
        <v>579.44000000000005</v>
      </c>
      <c r="U102" s="3"/>
      <c r="V102" s="7">
        <f t="shared" si="69"/>
        <v>2.4316510454853121E-3</v>
      </c>
      <c r="W102" s="3"/>
      <c r="X102" s="8">
        <f t="shared" si="70"/>
        <v>-579.44000000000005</v>
      </c>
      <c r="Y102" s="3"/>
      <c r="Z102" s="7">
        <f t="shared" si="71"/>
        <v>-1</v>
      </c>
    </row>
    <row r="103" spans="1:26" s="27" customFormat="1" outlineLevel="1" collapsed="1" x14ac:dyDescent="0.25">
      <c r="A103" s="28"/>
      <c r="B103" s="14" t="str">
        <f>CONCATENATE("     ","Telephone/Data Lines                              ")</f>
        <v xml:space="preserve">     Telephone/Data Lines                              </v>
      </c>
      <c r="C103" s="14"/>
      <c r="D103" s="1">
        <f>SUM(OSRRefD22_19x_0)</f>
        <v>1592.63</v>
      </c>
      <c r="E103" s="1"/>
      <c r="F103" s="5">
        <f t="shared" ref="F103:F110" si="72">IF(D$12=0,0,D103/D$12)</f>
        <v>1.633617462124709</v>
      </c>
      <c r="G103" s="1"/>
      <c r="H103" s="1">
        <f>SUM(OSRRefH22_19x_0)</f>
        <v>1185.1500000000001</v>
      </c>
      <c r="I103" s="1"/>
      <c r="J103" s="5">
        <f t="shared" ref="J103:J110" si="73">IF(H$12=0,0,H103/H$12)</f>
        <v>4.9735455552894483E-3</v>
      </c>
      <c r="K103" s="1"/>
      <c r="L103" s="1">
        <f t="shared" ref="L103:L110" si="74">+D103-H103</f>
        <v>407.48</v>
      </c>
      <c r="M103" s="1"/>
      <c r="N103" s="5">
        <f t="shared" ref="N103:N110" si="75">IF(H103=0,0,L103/H103)</f>
        <v>0.34382145719951057</v>
      </c>
      <c r="O103" s="14"/>
      <c r="P103" s="1">
        <f>SUM(OSRRefP22_19x_0)</f>
        <v>1592.63</v>
      </c>
      <c r="Q103" s="1"/>
      <c r="R103" s="5">
        <f t="shared" ref="R103:R110" si="76">IF(P$12=0,0,P103/P$12)</f>
        <v>1.633617462124709</v>
      </c>
      <c r="S103" s="1"/>
      <c r="T103" s="1">
        <f>SUM(OSRRefT22_19x_0)</f>
        <v>1185.1500000000001</v>
      </c>
      <c r="U103" s="1"/>
      <c r="V103" s="5">
        <f t="shared" ref="V103:V110" si="77">IF(T$12=0,0,T103/T$12)</f>
        <v>4.9735455552894483E-3</v>
      </c>
      <c r="W103" s="1"/>
      <c r="X103" s="1">
        <f t="shared" ref="X103:X110" si="78">+P103-T103</f>
        <v>407.48</v>
      </c>
      <c r="Y103" s="1"/>
      <c r="Z103" s="5">
        <f t="shared" ref="Z103:Z110" si="79">IF(T103=0,0,X103/T103)</f>
        <v>0.34382145719951057</v>
      </c>
    </row>
    <row r="104" spans="1:26" s="24" customFormat="1" hidden="1" outlineLevel="2" x14ac:dyDescent="0.25">
      <c r="A104" s="29"/>
      <c r="B104" s="11" t="str">
        <f>CONCATENATE("          ", "6309", " - ", "TELEPHONE")</f>
        <v xml:space="preserve">          6309 - TELEPHONE</v>
      </c>
      <c r="C104" s="11"/>
      <c r="D104" s="8">
        <v>1592.63</v>
      </c>
      <c r="E104" s="3"/>
      <c r="F104" s="7">
        <f t="shared" si="72"/>
        <v>1.633617462124709</v>
      </c>
      <c r="G104" s="3"/>
      <c r="H104" s="8">
        <v>1185.1500000000001</v>
      </c>
      <c r="I104" s="3"/>
      <c r="J104" s="7">
        <f t="shared" si="73"/>
        <v>4.9735455552894483E-3</v>
      </c>
      <c r="K104" s="3"/>
      <c r="L104" s="8">
        <f t="shared" si="74"/>
        <v>407.48</v>
      </c>
      <c r="M104" s="3"/>
      <c r="N104" s="7">
        <f t="shared" si="75"/>
        <v>0.34382145719951057</v>
      </c>
      <c r="O104" s="11"/>
      <c r="P104" s="8">
        <v>1592.63</v>
      </c>
      <c r="Q104" s="3"/>
      <c r="R104" s="7">
        <f t="shared" si="76"/>
        <v>1.633617462124709</v>
      </c>
      <c r="S104" s="3"/>
      <c r="T104" s="8">
        <v>1185.1500000000001</v>
      </c>
      <c r="U104" s="3"/>
      <c r="V104" s="7">
        <f t="shared" si="77"/>
        <v>4.9735455552894483E-3</v>
      </c>
      <c r="W104" s="3"/>
      <c r="X104" s="8">
        <f t="shared" si="78"/>
        <v>407.48</v>
      </c>
      <c r="Y104" s="3"/>
      <c r="Z104" s="7">
        <f t="shared" si="79"/>
        <v>0.34382145719951057</v>
      </c>
    </row>
    <row r="105" spans="1:26" s="27" customFormat="1" outlineLevel="1" collapsed="1" x14ac:dyDescent="0.25">
      <c r="A105" s="28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SUM(OSRRefD22_20x_0)</f>
        <v>0</v>
      </c>
      <c r="E105" s="1"/>
      <c r="F105" s="5">
        <f t="shared" si="72"/>
        <v>0</v>
      </c>
      <c r="G105" s="1"/>
      <c r="H105" s="1">
        <f>SUM(OSRRefH22_20x_0)</f>
        <v>868.85</v>
      </c>
      <c r="I105" s="1"/>
      <c r="J105" s="5">
        <f t="shared" si="73"/>
        <v>3.6461756365972551E-3</v>
      </c>
      <c r="K105" s="1"/>
      <c r="L105" s="1">
        <f t="shared" si="74"/>
        <v>-868.85</v>
      </c>
      <c r="M105" s="1"/>
      <c r="N105" s="5">
        <f t="shared" si="75"/>
        <v>-1</v>
      </c>
      <c r="O105" s="14"/>
      <c r="P105" s="1">
        <f>SUM(OSRRefP22_20x_0)</f>
        <v>0</v>
      </c>
      <c r="Q105" s="1"/>
      <c r="R105" s="5">
        <f t="shared" si="76"/>
        <v>0</v>
      </c>
      <c r="S105" s="1"/>
      <c r="T105" s="1">
        <f>SUM(OSRRefT22_20x_0)</f>
        <v>868.85</v>
      </c>
      <c r="U105" s="1"/>
      <c r="V105" s="5">
        <f t="shared" si="77"/>
        <v>3.6461756365972551E-3</v>
      </c>
      <c r="W105" s="1"/>
      <c r="X105" s="1">
        <f t="shared" si="78"/>
        <v>-868.85</v>
      </c>
      <c r="Y105" s="1"/>
      <c r="Z105" s="5">
        <f t="shared" si="79"/>
        <v>-1</v>
      </c>
    </row>
    <row r="106" spans="1:26" s="24" customFormat="1" hidden="1" outlineLevel="2" x14ac:dyDescent="0.25">
      <c r="A106" s="29"/>
      <c r="B106" s="11" t="str">
        <f>CONCATENATE("          ", "6376", " - ", "TRAINING")</f>
        <v xml:space="preserve">          6376 - TRAINING</v>
      </c>
      <c r="C106" s="11"/>
      <c r="D106" s="8"/>
      <c r="E106" s="3"/>
      <c r="F106" s="7">
        <f t="shared" si="72"/>
        <v>0</v>
      </c>
      <c r="G106" s="3"/>
      <c r="H106" s="8">
        <v>868.85</v>
      </c>
      <c r="I106" s="3"/>
      <c r="J106" s="7">
        <f t="shared" si="73"/>
        <v>3.6461756365972551E-3</v>
      </c>
      <c r="K106" s="3"/>
      <c r="L106" s="8">
        <f t="shared" si="74"/>
        <v>-868.85</v>
      </c>
      <c r="M106" s="3"/>
      <c r="N106" s="7">
        <f t="shared" si="75"/>
        <v>-1</v>
      </c>
      <c r="O106" s="11"/>
      <c r="P106" s="8"/>
      <c r="Q106" s="3"/>
      <c r="R106" s="7">
        <f t="shared" si="76"/>
        <v>0</v>
      </c>
      <c r="S106" s="3"/>
      <c r="T106" s="8">
        <v>868.85</v>
      </c>
      <c r="U106" s="3"/>
      <c r="V106" s="7">
        <f t="shared" si="77"/>
        <v>3.6461756365972551E-3</v>
      </c>
      <c r="W106" s="3"/>
      <c r="X106" s="8">
        <f t="shared" si="78"/>
        <v>-868.85</v>
      </c>
      <c r="Y106" s="3"/>
      <c r="Z106" s="7">
        <f t="shared" si="79"/>
        <v>-1</v>
      </c>
    </row>
    <row r="107" spans="1:26" s="27" customFormat="1" outlineLevel="1" collapsed="1" x14ac:dyDescent="0.25">
      <c r="A107" s="28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SUM(OSRRefD22_21x_0)</f>
        <v>179.69</v>
      </c>
      <c r="E107" s="1"/>
      <c r="F107" s="5">
        <f t="shared" si="72"/>
        <v>0.18431444953893181</v>
      </c>
      <c r="G107" s="1"/>
      <c r="H107" s="1">
        <f>SUM(OSRRefH22_21x_0)</f>
        <v>764.32</v>
      </c>
      <c r="I107" s="1"/>
      <c r="J107" s="5">
        <f t="shared" si="73"/>
        <v>3.2075098838280649E-3</v>
      </c>
      <c r="K107" s="1"/>
      <c r="L107" s="1">
        <f t="shared" si="74"/>
        <v>-584.63000000000011</v>
      </c>
      <c r="M107" s="1"/>
      <c r="N107" s="5">
        <f t="shared" si="75"/>
        <v>-0.76490213523131678</v>
      </c>
      <c r="O107" s="14"/>
      <c r="P107" s="1">
        <f>SUM(OSRRefP22_21x_0)</f>
        <v>179.69</v>
      </c>
      <c r="Q107" s="1"/>
      <c r="R107" s="5">
        <f t="shared" si="76"/>
        <v>0.18431444953893181</v>
      </c>
      <c r="S107" s="1"/>
      <c r="T107" s="1">
        <f>SUM(OSRRefT22_21x_0)</f>
        <v>764.32</v>
      </c>
      <c r="U107" s="1"/>
      <c r="V107" s="5">
        <f t="shared" si="77"/>
        <v>3.2075098838280649E-3</v>
      </c>
      <c r="W107" s="1"/>
      <c r="X107" s="1">
        <f t="shared" si="78"/>
        <v>-584.63000000000011</v>
      </c>
      <c r="Y107" s="1"/>
      <c r="Z107" s="5">
        <f t="shared" si="79"/>
        <v>-0.76490213523131678</v>
      </c>
    </row>
    <row r="108" spans="1:26" s="24" customFormat="1" hidden="1" outlineLevel="2" x14ac:dyDescent="0.25">
      <c r="A108" s="29"/>
      <c r="B108" s="11" t="str">
        <f>CONCATENATE("          ", "6292", " - ", "TRAVEL/CONFERENCE")</f>
        <v xml:space="preserve">          6292 - TRAVEL/CONFERENCE</v>
      </c>
      <c r="C108" s="11"/>
      <c r="D108" s="8"/>
      <c r="E108" s="3"/>
      <c r="F108" s="7">
        <f t="shared" si="72"/>
        <v>0</v>
      </c>
      <c r="G108" s="3"/>
      <c r="H108" s="8">
        <v>505.23</v>
      </c>
      <c r="I108" s="3"/>
      <c r="J108" s="7">
        <f t="shared" si="73"/>
        <v>2.120224799307166E-3</v>
      </c>
      <c r="K108" s="3"/>
      <c r="L108" s="8">
        <f t="shared" si="74"/>
        <v>-505.23</v>
      </c>
      <c r="M108" s="3"/>
      <c r="N108" s="7">
        <f t="shared" si="75"/>
        <v>-1</v>
      </c>
      <c r="O108" s="11"/>
      <c r="P108" s="8"/>
      <c r="Q108" s="3"/>
      <c r="R108" s="7">
        <f t="shared" si="76"/>
        <v>0</v>
      </c>
      <c r="S108" s="3"/>
      <c r="T108" s="8">
        <v>505.23</v>
      </c>
      <c r="U108" s="3"/>
      <c r="V108" s="7">
        <f t="shared" si="77"/>
        <v>2.120224799307166E-3</v>
      </c>
      <c r="W108" s="3"/>
      <c r="X108" s="8">
        <f t="shared" si="78"/>
        <v>-505.23</v>
      </c>
      <c r="Y108" s="3"/>
      <c r="Z108" s="7">
        <f t="shared" si="79"/>
        <v>-1</v>
      </c>
    </row>
    <row r="109" spans="1:26" s="24" customFormat="1" hidden="1" outlineLevel="2" x14ac:dyDescent="0.25">
      <c r="A109" s="29"/>
      <c r="B109" s="11" t="str">
        <f>CONCATENATE("          ", "6294", " - ", "TRAVEL OPERATIONAL")</f>
        <v xml:space="preserve">          6294 - TRAVEL OPERATIONAL</v>
      </c>
      <c r="C109" s="11"/>
      <c r="D109" s="8"/>
      <c r="E109" s="3"/>
      <c r="F109" s="7">
        <f t="shared" si="72"/>
        <v>0</v>
      </c>
      <c r="G109" s="3"/>
      <c r="H109" s="8">
        <v>45.49</v>
      </c>
      <c r="I109" s="3"/>
      <c r="J109" s="7">
        <f t="shared" si="73"/>
        <v>1.9090122542304096E-4</v>
      </c>
      <c r="K109" s="3"/>
      <c r="L109" s="8">
        <f t="shared" si="74"/>
        <v>-45.49</v>
      </c>
      <c r="M109" s="3"/>
      <c r="N109" s="7">
        <f t="shared" si="75"/>
        <v>-1</v>
      </c>
      <c r="O109" s="11"/>
      <c r="P109" s="8"/>
      <c r="Q109" s="3"/>
      <c r="R109" s="7">
        <f t="shared" si="76"/>
        <v>0</v>
      </c>
      <c r="S109" s="3"/>
      <c r="T109" s="8">
        <v>45.49</v>
      </c>
      <c r="U109" s="3"/>
      <c r="V109" s="7">
        <f t="shared" si="77"/>
        <v>1.9090122542304096E-4</v>
      </c>
      <c r="W109" s="3"/>
      <c r="X109" s="8">
        <f t="shared" si="78"/>
        <v>-45.49</v>
      </c>
      <c r="Y109" s="3"/>
      <c r="Z109" s="7">
        <f t="shared" si="79"/>
        <v>-1</v>
      </c>
    </row>
    <row r="110" spans="1:26" s="24" customFormat="1" hidden="1" outlineLevel="2" x14ac:dyDescent="0.25">
      <c r="A110" s="29"/>
      <c r="B110" s="11" t="str">
        <f>CONCATENATE("          ", "6298", " - ", "VEHICLE MILEAGE")</f>
        <v xml:space="preserve">          6298 - VEHICLE MILEAGE</v>
      </c>
      <c r="C110" s="11"/>
      <c r="D110" s="8">
        <v>179.69</v>
      </c>
      <c r="E110" s="3"/>
      <c r="F110" s="7">
        <f t="shared" si="72"/>
        <v>0.18431444953893181</v>
      </c>
      <c r="G110" s="3"/>
      <c r="H110" s="8">
        <v>213.6</v>
      </c>
      <c r="I110" s="3"/>
      <c r="J110" s="7">
        <f t="shared" si="73"/>
        <v>8.9638385909785769E-4</v>
      </c>
      <c r="K110" s="3"/>
      <c r="L110" s="8">
        <f t="shared" si="74"/>
        <v>-33.909999999999997</v>
      </c>
      <c r="M110" s="3"/>
      <c r="N110" s="7">
        <f t="shared" si="75"/>
        <v>-0.15875468164794007</v>
      </c>
      <c r="O110" s="11"/>
      <c r="P110" s="8">
        <v>179.69</v>
      </c>
      <c r="Q110" s="3"/>
      <c r="R110" s="7">
        <f t="shared" si="76"/>
        <v>0.18431444953893181</v>
      </c>
      <c r="S110" s="3"/>
      <c r="T110" s="8">
        <v>213.6</v>
      </c>
      <c r="U110" s="3"/>
      <c r="V110" s="7">
        <f t="shared" si="77"/>
        <v>8.9638385909785769E-4</v>
      </c>
      <c r="W110" s="3"/>
      <c r="X110" s="8">
        <f t="shared" si="78"/>
        <v>-33.909999999999997</v>
      </c>
      <c r="Y110" s="3"/>
      <c r="Z110" s="7">
        <f t="shared" si="79"/>
        <v>-0.15875468164794007</v>
      </c>
    </row>
    <row r="111" spans="1:26" s="27" customFormat="1" outlineLevel="1" collapsed="1" x14ac:dyDescent="0.25">
      <c r="A111" s="28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SUM(OSRRefD22_22x_0)</f>
        <v>2350</v>
      </c>
      <c r="E111" s="1"/>
      <c r="F111" s="5">
        <f t="shared" ref="F111:F112" si="80">IF(D$12=0,0,D111/D$12)</f>
        <v>2.4104789160025031</v>
      </c>
      <c r="G111" s="1"/>
      <c r="H111" s="1">
        <f>SUM(OSRRefH22_22x_0)</f>
        <v>14650</v>
      </c>
      <c r="I111" s="1"/>
      <c r="J111" s="5">
        <f t="shared" ref="J111:J112" si="81">IF(H$12=0,0,H111/H$12)</f>
        <v>6.1479510935316548E-2</v>
      </c>
      <c r="K111" s="1"/>
      <c r="L111" s="1">
        <f t="shared" ref="L111:L112" si="82">+D111-H111</f>
        <v>-12300</v>
      </c>
      <c r="M111" s="1"/>
      <c r="N111" s="5">
        <f t="shared" ref="N111:N112" si="83">IF(H111=0,0,L111/H111)</f>
        <v>-0.83959044368600677</v>
      </c>
      <c r="O111" s="14"/>
      <c r="P111" s="1">
        <f>SUM(OSRRefP22_22x_0)</f>
        <v>2350</v>
      </c>
      <c r="Q111" s="1"/>
      <c r="R111" s="5">
        <f t="shared" ref="R111:R112" si="84">IF(P$12=0,0,P111/P$12)</f>
        <v>2.4104789160025031</v>
      </c>
      <c r="S111" s="1"/>
      <c r="T111" s="1">
        <f>SUM(OSRRefT22_22x_0)</f>
        <v>14650</v>
      </c>
      <c r="U111" s="1"/>
      <c r="V111" s="5">
        <f t="shared" ref="V111:V112" si="85">IF(T$12=0,0,T111/T$12)</f>
        <v>6.1479510935316548E-2</v>
      </c>
      <c r="W111" s="1"/>
      <c r="X111" s="1">
        <f t="shared" ref="X111:X112" si="86">+P111-T111</f>
        <v>-12300</v>
      </c>
      <c r="Y111" s="1"/>
      <c r="Z111" s="5">
        <f t="shared" ref="Z111:Z112" si="87">IF(T111=0,0,X111/T111)</f>
        <v>-0.83959044368600677</v>
      </c>
    </row>
    <row r="112" spans="1:26" s="24" customFormat="1" hidden="1" outlineLevel="2" x14ac:dyDescent="0.25">
      <c r="A112" s="29"/>
      <c r="B112" s="11" t="str">
        <f>CONCATENATE("          ", "6274", " - ", "UTILITIES")</f>
        <v xml:space="preserve">          6274 - UTILITIES</v>
      </c>
      <c r="C112" s="11"/>
      <c r="D112" s="8">
        <v>2350</v>
      </c>
      <c r="E112" s="3"/>
      <c r="F112" s="7">
        <f t="shared" si="80"/>
        <v>2.4104789160025031</v>
      </c>
      <c r="G112" s="3"/>
      <c r="H112" s="8">
        <v>14650</v>
      </c>
      <c r="I112" s="3"/>
      <c r="J112" s="7">
        <f t="shared" si="81"/>
        <v>6.1479510935316548E-2</v>
      </c>
      <c r="K112" s="3"/>
      <c r="L112" s="8">
        <f t="shared" si="82"/>
        <v>-12300</v>
      </c>
      <c r="M112" s="3"/>
      <c r="N112" s="7">
        <f t="shared" si="83"/>
        <v>-0.83959044368600677</v>
      </c>
      <c r="O112" s="11"/>
      <c r="P112" s="8">
        <v>2350</v>
      </c>
      <c r="Q112" s="3"/>
      <c r="R112" s="7">
        <f t="shared" si="84"/>
        <v>2.4104789160025031</v>
      </c>
      <c r="S112" s="3"/>
      <c r="T112" s="8">
        <v>14650</v>
      </c>
      <c r="U112" s="3"/>
      <c r="V112" s="7">
        <f t="shared" si="85"/>
        <v>6.1479510935316548E-2</v>
      </c>
      <c r="W112" s="3"/>
      <c r="X112" s="8">
        <f t="shared" si="86"/>
        <v>-12300</v>
      </c>
      <c r="Y112" s="3"/>
      <c r="Z112" s="7">
        <f t="shared" si="87"/>
        <v>-0.83959044368600677</v>
      </c>
    </row>
    <row r="113" spans="1:26" s="61" customFormat="1" x14ac:dyDescent="0.25">
      <c r="A113" s="37"/>
      <c r="B113" s="37"/>
      <c r="C113" s="37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5" t="s">
        <v>0</v>
      </c>
      <c r="C114" s="10"/>
      <c r="D114" s="4">
        <f>SUM(OSRRefD25x_0)</f>
        <v>2076.54</v>
      </c>
      <c r="E114" s="4"/>
      <c r="F114" s="12">
        <f t="shared" ref="F114:F117" si="88">IF(D$12=0,0,D114/D$12)</f>
        <v>2.1299812290365265</v>
      </c>
      <c r="G114" s="4"/>
      <c r="H114" s="4">
        <f>SUM(OSRRefH25x_0)</f>
        <v>50933.41</v>
      </c>
      <c r="I114" s="4"/>
      <c r="J114" s="12">
        <f t="shared" ref="J114:J117" si="89">IF(H$12=0,0,H114/H$12)</f>
        <v>0.21374478751317144</v>
      </c>
      <c r="K114" s="4"/>
      <c r="L114" s="4">
        <f t="shared" ref="L114:L117" si="90">+D114-H114</f>
        <v>-48856.87</v>
      </c>
      <c r="M114" s="4"/>
      <c r="N114" s="12">
        <f t="shared" ref="N114:N117" si="91">IF(H114=0,0,L114/H114)</f>
        <v>-0.95923029697010276</v>
      </c>
      <c r="O114" s="10"/>
      <c r="P114" s="4">
        <f>SUM(OSRRefP25x_0)</f>
        <v>2076.54</v>
      </c>
      <c r="Q114" s="4"/>
      <c r="R114" s="12">
        <f t="shared" ref="R114:R117" si="92">IF(P$12=0,0,P114/P$12)</f>
        <v>2.1299812290365265</v>
      </c>
      <c r="S114" s="4"/>
      <c r="T114" s="4">
        <f>SUM(OSRRefT25x_0)</f>
        <v>50933.41</v>
      </c>
      <c r="U114" s="4"/>
      <c r="V114" s="12">
        <f t="shared" ref="V114:V117" si="93">IF(T$12=0,0,T114/T$12)</f>
        <v>0.21374478751317144</v>
      </c>
      <c r="W114" s="4"/>
      <c r="X114" s="4">
        <f t="shared" ref="X114:X117" si="94">+P114-T114</f>
        <v>-48856.87</v>
      </c>
      <c r="Y114" s="4"/>
      <c r="Z114" s="12">
        <f t="shared" ref="Z114:Z117" si="95">IF(T114=0,0,X114/T114)</f>
        <v>-0.95923029697010276</v>
      </c>
    </row>
    <row r="115" spans="1:26" s="24" customFormat="1" hidden="1" outlineLevel="1" x14ac:dyDescent="0.25">
      <c r="A115" s="50"/>
      <c r="B115" s="11" t="str">
        <f>CONCATENATE("          ", "9150", " - ", "MISC. INCOME")</f>
        <v xml:space="preserve">          9150 - MISC. INCOME</v>
      </c>
      <c r="C115" s="11"/>
      <c r="D115" s="3">
        <f>--512.41</f>
        <v>512.41</v>
      </c>
      <c r="E115" s="3"/>
      <c r="F115" s="22">
        <f t="shared" si="88"/>
        <v>0.52559723461652874</v>
      </c>
      <c r="G115" s="3"/>
      <c r="H115" s="3">
        <f>--41260.26</f>
        <v>41260.26</v>
      </c>
      <c r="I115" s="3"/>
      <c r="J115" s="22">
        <f t="shared" si="89"/>
        <v>0.17315089459822552</v>
      </c>
      <c r="K115" s="3"/>
      <c r="L115" s="3">
        <f t="shared" si="90"/>
        <v>-40747.85</v>
      </c>
      <c r="M115" s="3"/>
      <c r="N115" s="22">
        <f t="shared" si="91"/>
        <v>-0.98758102833089267</v>
      </c>
      <c r="O115" s="11"/>
      <c r="P115" s="3">
        <f>--512.41</f>
        <v>512.41</v>
      </c>
      <c r="Q115" s="3"/>
      <c r="R115" s="22">
        <f t="shared" si="92"/>
        <v>0.52559723461652874</v>
      </c>
      <c r="S115" s="3"/>
      <c r="T115" s="3">
        <f>--41260.26</f>
        <v>41260.26</v>
      </c>
      <c r="U115" s="3"/>
      <c r="V115" s="22">
        <f t="shared" si="93"/>
        <v>0.17315089459822552</v>
      </c>
      <c r="W115" s="3"/>
      <c r="X115" s="3">
        <f t="shared" si="94"/>
        <v>-40747.85</v>
      </c>
      <c r="Y115" s="3"/>
      <c r="Z115" s="22">
        <f t="shared" si="95"/>
        <v>-0.98758102833089267</v>
      </c>
    </row>
    <row r="116" spans="1:26" s="24" customFormat="1" hidden="1" outlineLevel="1" x14ac:dyDescent="0.25">
      <c r="A116" s="50"/>
      <c r="B116" s="11" t="str">
        <f>CONCATENATE("          ", "9160", " - ", "MISC. INCOME")</f>
        <v xml:space="preserve">          9160 - MISC. INCOME</v>
      </c>
      <c r="C116" s="11"/>
      <c r="D116" s="3">
        <f>--1363.63</f>
        <v>1363.63</v>
      </c>
      <c r="E116" s="3"/>
      <c r="F116" s="22">
        <f t="shared" si="88"/>
        <v>1.3987239847780821</v>
      </c>
      <c r="G116" s="3"/>
      <c r="H116" s="3">
        <f>--5992.1</f>
        <v>5992.1</v>
      </c>
      <c r="I116" s="3"/>
      <c r="J116" s="22">
        <f t="shared" si="89"/>
        <v>2.5146169110956334E-2</v>
      </c>
      <c r="K116" s="3"/>
      <c r="L116" s="3">
        <f t="shared" si="90"/>
        <v>-4628.47</v>
      </c>
      <c r="M116" s="3"/>
      <c r="N116" s="22">
        <f t="shared" si="91"/>
        <v>-0.77242869778541745</v>
      </c>
      <c r="O116" s="11"/>
      <c r="P116" s="3">
        <f>--1363.63</f>
        <v>1363.63</v>
      </c>
      <c r="Q116" s="3"/>
      <c r="R116" s="22">
        <f t="shared" si="92"/>
        <v>1.3987239847780821</v>
      </c>
      <c r="S116" s="3"/>
      <c r="T116" s="3">
        <f>--5992.1</f>
        <v>5992.1</v>
      </c>
      <c r="U116" s="3"/>
      <c r="V116" s="22">
        <f t="shared" si="93"/>
        <v>2.5146169110956334E-2</v>
      </c>
      <c r="W116" s="3"/>
      <c r="X116" s="3">
        <f t="shared" si="94"/>
        <v>-4628.47</v>
      </c>
      <c r="Y116" s="3"/>
      <c r="Z116" s="22">
        <f t="shared" si="95"/>
        <v>-0.77242869778541745</v>
      </c>
    </row>
    <row r="117" spans="1:26" s="24" customFormat="1" hidden="1" outlineLevel="1" x14ac:dyDescent="0.25">
      <c r="A117" s="50"/>
      <c r="B117" s="11" t="str">
        <f>CONCATENATE("          ", "9165", " - ", "OTHER INCOME")</f>
        <v xml:space="preserve">          9165 - OTHER INCOME</v>
      </c>
      <c r="C117" s="11"/>
      <c r="D117" s="3">
        <f>--200.5</f>
        <v>200.5</v>
      </c>
      <c r="E117" s="3"/>
      <c r="F117" s="22">
        <f t="shared" si="88"/>
        <v>0.20566000964191566</v>
      </c>
      <c r="G117" s="3"/>
      <c r="H117" s="3">
        <f>--3681.05</f>
        <v>3681.05</v>
      </c>
      <c r="I117" s="3"/>
      <c r="J117" s="22">
        <f t="shared" si="89"/>
        <v>1.5447723803989555E-2</v>
      </c>
      <c r="K117" s="3"/>
      <c r="L117" s="3">
        <f t="shared" si="90"/>
        <v>-3480.55</v>
      </c>
      <c r="M117" s="3"/>
      <c r="N117" s="22">
        <f t="shared" si="91"/>
        <v>-0.9455318455332038</v>
      </c>
      <c r="O117" s="11"/>
      <c r="P117" s="3">
        <f>--200.5</f>
        <v>200.5</v>
      </c>
      <c r="Q117" s="3"/>
      <c r="R117" s="22">
        <f t="shared" si="92"/>
        <v>0.20566000964191566</v>
      </c>
      <c r="S117" s="3"/>
      <c r="T117" s="3">
        <f>--3681.05</f>
        <v>3681.05</v>
      </c>
      <c r="U117" s="3"/>
      <c r="V117" s="22">
        <f t="shared" si="93"/>
        <v>1.5447723803989555E-2</v>
      </c>
      <c r="W117" s="3"/>
      <c r="X117" s="3">
        <f t="shared" si="94"/>
        <v>-3480.55</v>
      </c>
      <c r="Y117" s="3"/>
      <c r="Z117" s="22">
        <f t="shared" si="95"/>
        <v>-0.9455318455332038</v>
      </c>
    </row>
    <row r="118" spans="1:26" x14ac:dyDescent="0.25">
      <c r="A118" s="9"/>
      <c r="B118" s="10"/>
      <c r="C118" s="10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O118" s="10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23" customFormat="1" x14ac:dyDescent="0.25">
      <c r="A119" s="10"/>
      <c r="B119" s="26" t="s">
        <v>3</v>
      </c>
      <c r="C119" s="26"/>
      <c r="D119" s="19">
        <f>+D33-D35+D114</f>
        <v>-159121.91</v>
      </c>
      <c r="E119" s="13"/>
      <c r="F119" s="20">
        <f>IF(D$12=0,0,D119/D$12)</f>
        <v>-163.21702516129696</v>
      </c>
      <c r="G119" s="13"/>
      <c r="H119" s="19">
        <f>+H33-H35+H114</f>
        <v>-294147.01</v>
      </c>
      <c r="I119" s="13"/>
      <c r="J119" s="20">
        <f>IF(H$12=0,0,H119/H$12)</f>
        <v>-1.2344037077055063</v>
      </c>
      <c r="K119" s="16"/>
      <c r="L119" s="19">
        <f>+D119-H119</f>
        <v>135025.1</v>
      </c>
      <c r="M119" s="16"/>
      <c r="N119" s="20">
        <f>IF(H119=0,0,L119/H119)</f>
        <v>-0.45903951224933409</v>
      </c>
      <c r="O119" s="25"/>
      <c r="P119" s="19">
        <f>+P33-P35+P114</f>
        <v>-159121.91</v>
      </c>
      <c r="Q119" s="13"/>
      <c r="R119" s="20">
        <f>IF(P$12=0,0,P119/P$12)</f>
        <v>-163.21702516129696</v>
      </c>
      <c r="S119" s="13"/>
      <c r="T119" s="19">
        <f>+T33-T35+T114</f>
        <v>-294147.01</v>
      </c>
      <c r="U119" s="13"/>
      <c r="V119" s="20">
        <f>IF(T$12=0,0,T119/T$12)</f>
        <v>-1.2344037077055063</v>
      </c>
      <c r="W119" s="16"/>
      <c r="X119" s="19">
        <f>+P119-T119</f>
        <v>135025.1</v>
      </c>
      <c r="Y119" s="16"/>
      <c r="Z119" s="20">
        <f>IF(T119=0,0,X119/T119)</f>
        <v>-0.45903951224933409</v>
      </c>
    </row>
    <row r="120" spans="1:26" x14ac:dyDescent="0.25">
      <c r="A120" s="9"/>
      <c r="B120" s="10"/>
      <c r="C120" s="9"/>
      <c r="D120" s="2"/>
      <c r="E120" s="2"/>
      <c r="F120" s="6"/>
      <c r="G120" s="2"/>
      <c r="H120" s="2"/>
      <c r="I120" s="2"/>
      <c r="J120" s="6"/>
      <c r="K120" s="2"/>
      <c r="L120" s="2"/>
      <c r="M120" s="2"/>
      <c r="N120" s="6"/>
      <c r="P120" s="2"/>
      <c r="Q120" s="2"/>
      <c r="R120" s="6"/>
      <c r="S120" s="2"/>
      <c r="T120" s="2"/>
      <c r="U120" s="2"/>
      <c r="V120" s="6"/>
      <c r="W120" s="2"/>
      <c r="X120" s="2"/>
      <c r="Y120" s="2"/>
      <c r="Z120" s="6"/>
    </row>
    <row r="121" spans="1:26" s="23" customFormat="1" x14ac:dyDescent="0.25">
      <c r="A121" s="51"/>
      <c r="B121" s="10" t="s">
        <v>13</v>
      </c>
      <c r="C121" s="10"/>
      <c r="D121" s="4">
        <v>468.88</v>
      </c>
      <c r="E121" s="4"/>
      <c r="F121" s="12">
        <f>IF(D$12=0,0,D121/D$12)</f>
        <v>0.48094695920649089</v>
      </c>
      <c r="G121" s="4"/>
      <c r="H121" s="4">
        <v>49547.66</v>
      </c>
      <c r="I121" s="4"/>
      <c r="J121" s="12">
        <f>IF(H$12=0,0,H121/H$12)</f>
        <v>0.20792941329620113</v>
      </c>
      <c r="K121" s="4"/>
      <c r="L121" s="4">
        <f>+D121-H121</f>
        <v>-49078.780000000006</v>
      </c>
      <c r="M121" s="4"/>
      <c r="N121" s="12">
        <f>IF(H121=0,0,L121/H121)</f>
        <v>-0.99053678821562918</v>
      </c>
      <c r="O121" s="10"/>
      <c r="P121" s="4">
        <v>468.88</v>
      </c>
      <c r="Q121" s="4"/>
      <c r="R121" s="12">
        <f>IF(P$12=0,0,P121/P$12)</f>
        <v>0.48094695920649089</v>
      </c>
      <c r="S121" s="4"/>
      <c r="T121" s="4">
        <v>49547.66</v>
      </c>
      <c r="U121" s="4"/>
      <c r="V121" s="12">
        <f>IF(T$12=0,0,T121/T$12)</f>
        <v>0.20792941329620113</v>
      </c>
      <c r="W121" s="4"/>
      <c r="X121" s="4">
        <f>+P121-T121</f>
        <v>-49078.780000000006</v>
      </c>
      <c r="Y121" s="4"/>
      <c r="Z121" s="12">
        <f>IF(T121=0,0,X121/T121)</f>
        <v>-0.99053678821562918</v>
      </c>
    </row>
    <row r="122" spans="1:26" x14ac:dyDescent="0.25">
      <c r="A122" s="9"/>
      <c r="B122" s="10"/>
      <c r="C122" s="10"/>
      <c r="D122" s="2"/>
      <c r="E122" s="2"/>
      <c r="F122" s="6"/>
      <c r="G122" s="2"/>
      <c r="H122" s="2"/>
      <c r="I122" s="2"/>
      <c r="J122" s="6"/>
      <c r="K122" s="2"/>
      <c r="L122" s="2"/>
      <c r="M122" s="2"/>
      <c r="N122" s="6"/>
      <c r="O122" s="10"/>
      <c r="P122" s="2"/>
      <c r="Q122" s="2"/>
      <c r="R122" s="6"/>
      <c r="S122" s="2"/>
      <c r="T122" s="2"/>
      <c r="U122" s="2"/>
      <c r="V122" s="6"/>
      <c r="W122" s="2"/>
      <c r="X122" s="2"/>
      <c r="Y122" s="2"/>
      <c r="Z122" s="6"/>
    </row>
    <row r="123" spans="1:26" s="23" customFormat="1" ht="15.75" thickBot="1" x14ac:dyDescent="0.3">
      <c r="A123" s="10"/>
      <c r="B123" s="26" t="s">
        <v>4</v>
      </c>
      <c r="C123" s="26"/>
      <c r="D123" s="35">
        <f>+D119-D121</f>
        <v>-159590.79</v>
      </c>
      <c r="E123" s="13"/>
      <c r="F123" s="30">
        <f>IF(D$12=0,0,D123/D$12)</f>
        <v>-163.69797212050344</v>
      </c>
      <c r="G123" s="13"/>
      <c r="H123" s="35">
        <f>+H119-H121</f>
        <v>-343694.67000000004</v>
      </c>
      <c r="I123" s="13"/>
      <c r="J123" s="30">
        <f>IF(H$12=0,0,H123/H$12)</f>
        <v>-1.4423331210017076</v>
      </c>
      <c r="K123" s="16"/>
      <c r="L123" s="35">
        <f>D123-H123</f>
        <v>184103.88000000003</v>
      </c>
      <c r="M123" s="16"/>
      <c r="N123" s="30">
        <f>IF(H123=0,0,L123/H123)</f>
        <v>-0.53566114365404627</v>
      </c>
      <c r="O123" s="25"/>
      <c r="P123" s="35">
        <f>+P119-P121</f>
        <v>-159590.79</v>
      </c>
      <c r="Q123" s="13"/>
      <c r="R123" s="30">
        <f>IF(P$12=0,0,P123/P$12)</f>
        <v>-163.69797212050344</v>
      </c>
      <c r="S123" s="13"/>
      <c r="T123" s="35">
        <f>+T119-T121</f>
        <v>-343694.67000000004</v>
      </c>
      <c r="U123" s="13"/>
      <c r="V123" s="30">
        <f>IF(T$12=0,0,T123/T$12)</f>
        <v>-1.4423331210017076</v>
      </c>
      <c r="W123" s="16"/>
      <c r="X123" s="35">
        <f>P123-T123</f>
        <v>184103.88000000003</v>
      </c>
      <c r="Y123" s="16"/>
      <c r="Z123" s="30">
        <f>IF(T123=0,0,X123/T123)</f>
        <v>-0.53566114365404627</v>
      </c>
    </row>
    <row r="124" spans="1:26" ht="15.75" thickTop="1" x14ac:dyDescent="0.25">
      <c r="A124" s="9"/>
      <c r="B124" s="9"/>
      <c r="C124" s="9"/>
      <c r="D124" s="2"/>
      <c r="E124" s="2"/>
      <c r="F124" s="6"/>
      <c r="G124" s="2"/>
      <c r="H124" s="2"/>
      <c r="I124" s="2"/>
      <c r="J124" s="6"/>
      <c r="K124" s="2"/>
      <c r="L124" s="2"/>
      <c r="M124" s="2"/>
      <c r="N124" s="6"/>
      <c r="P124" s="2"/>
      <c r="Q124" s="2"/>
      <c r="R124" s="6"/>
      <c r="S124" s="2"/>
      <c r="T124" s="2"/>
      <c r="U124" s="2"/>
      <c r="V124" s="6"/>
      <c r="W124" s="2"/>
      <c r="X124" s="2"/>
      <c r="Y124" s="2"/>
      <c r="Z124" s="6"/>
    </row>
    <row r="125" spans="1:26" x14ac:dyDescent="0.25">
      <c r="A125" s="9"/>
      <c r="B125" s="9"/>
      <c r="C125" s="9"/>
      <c r="D125" s="2"/>
      <c r="E125" s="2"/>
      <c r="F125" s="6"/>
      <c r="G125" s="2"/>
      <c r="H125" s="2"/>
      <c r="I125" s="2"/>
      <c r="J125" s="6"/>
      <c r="K125" s="2"/>
      <c r="L125" s="2"/>
      <c r="M125" s="2"/>
      <c r="N125" s="6"/>
      <c r="P125" s="2"/>
      <c r="Q125" s="2"/>
      <c r="R125" s="6"/>
      <c r="S125" s="2"/>
      <c r="T125" s="2"/>
      <c r="U125" s="2"/>
      <c r="V125" s="6"/>
      <c r="W125" s="2"/>
      <c r="X125" s="2"/>
      <c r="Y125" s="2"/>
      <c r="Z125" s="6"/>
    </row>
    <row r="126" spans="1:26" s="23" customFormat="1" ht="15.75" thickBot="1" x14ac:dyDescent="0.3">
      <c r="A126" s="10"/>
      <c r="B126" s="26" t="s">
        <v>5</v>
      </c>
      <c r="C126" s="26"/>
      <c r="D126" s="31">
        <f>SUM(D123:D125)</f>
        <v>-159590.79</v>
      </c>
      <c r="E126" s="13"/>
      <c r="F126" s="32">
        <f>IF(D$12=0,0,D126/D$12)</f>
        <v>-163.69797212050344</v>
      </c>
      <c r="G126" s="13"/>
      <c r="H126" s="31">
        <f>SUM(H123:H125)</f>
        <v>-343694.67000000004</v>
      </c>
      <c r="I126" s="13"/>
      <c r="J126" s="32">
        <f>IF(H$12=0,0,H126/H$12)</f>
        <v>-1.4423331210017076</v>
      </c>
      <c r="K126" s="16"/>
      <c r="L126" s="31">
        <f>+D126-H126</f>
        <v>184103.88000000003</v>
      </c>
      <c r="M126" s="16"/>
      <c r="N126" s="32">
        <f>IF(H126=0,0,L126/H126)</f>
        <v>-0.53566114365404627</v>
      </c>
      <c r="O126" s="25"/>
      <c r="P126" s="31">
        <f>SUM(P123:P125)</f>
        <v>-159590.79</v>
      </c>
      <c r="Q126" s="13"/>
      <c r="R126" s="32">
        <f>IF(P$12=0,0,P126/P$12)</f>
        <v>-163.69797212050344</v>
      </c>
      <c r="S126" s="13"/>
      <c r="T126" s="31">
        <f>SUM(T123:T125)</f>
        <v>-343694.67000000004</v>
      </c>
      <c r="U126" s="13"/>
      <c r="V126" s="32">
        <f>IF(T$12=0,0,T126/T$12)</f>
        <v>-1.4423331210017076</v>
      </c>
      <c r="W126" s="16"/>
      <c r="X126" s="31">
        <f>+P126-T126</f>
        <v>184103.88000000003</v>
      </c>
      <c r="Y126" s="16"/>
      <c r="Z126" s="32">
        <f>IF(T126=0,0,X126/T126)</f>
        <v>-0.53566114365404627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59">
        <v>44109.413789317128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62" t="s">
        <v>313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6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974.91</v>
      </c>
      <c r="E12" s="4"/>
      <c r="F12" s="12"/>
      <c r="G12" s="4"/>
      <c r="H12" s="4">
        <f>SUM(OSRRefH13x_0)</f>
        <v>179465.83000000002</v>
      </c>
      <c r="I12" s="4"/>
      <c r="J12" s="12"/>
      <c r="K12" s="4"/>
      <c r="L12" s="4">
        <f t="shared" ref="L12:L21" si="0">+D12-H12</f>
        <v>-178490.92</v>
      </c>
      <c r="M12" s="4"/>
      <c r="N12" s="12">
        <f t="shared" ref="N12:N21" si="1">IF(H12=0,0,L12/H12)</f>
        <v>-0.99456771241634134</v>
      </c>
      <c r="O12" s="10"/>
      <c r="P12" s="4">
        <f>SUM(OSRRefP13x_0)</f>
        <v>974.91</v>
      </c>
      <c r="Q12" s="4"/>
      <c r="R12" s="12"/>
      <c r="S12" s="4"/>
      <c r="T12" s="4">
        <f>SUM(OSRRefT13x_0)</f>
        <v>179465.83000000002</v>
      </c>
      <c r="U12" s="4"/>
      <c r="V12" s="12"/>
      <c r="W12" s="4"/>
      <c r="X12" s="4">
        <f t="shared" ref="X12:X21" si="2">+P12-T12</f>
        <v>-178490.92</v>
      </c>
      <c r="Y12" s="4"/>
      <c r="Z12" s="12">
        <f t="shared" ref="Z12:Z21" si="3">IF(T12=0,0,X12/T12)</f>
        <v>-0.99456771241634134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6" si="4">0</f>
        <v>0</v>
      </c>
      <c r="E13" s="3"/>
      <c r="F13" s="22"/>
      <c r="G13" s="3"/>
      <c r="H13" s="3">
        <f>--18878.7</f>
        <v>18878.7</v>
      </c>
      <c r="I13" s="3"/>
      <c r="J13" s="22"/>
      <c r="K13" s="3"/>
      <c r="L13" s="3">
        <f t="shared" si="0"/>
        <v>-18878.7</v>
      </c>
      <c r="M13" s="3"/>
      <c r="N13" s="22">
        <f t="shared" si="1"/>
        <v>-1</v>
      </c>
      <c r="O13" s="11"/>
      <c r="P13" s="3">
        <f t="shared" ref="P13:P16" si="5">0</f>
        <v>0</v>
      </c>
      <c r="Q13" s="3"/>
      <c r="R13" s="22"/>
      <c r="S13" s="3"/>
      <c r="T13" s="3">
        <f>--18878.7</f>
        <v>18878.7</v>
      </c>
      <c r="U13" s="3"/>
      <c r="V13" s="22"/>
      <c r="W13" s="3"/>
      <c r="X13" s="3">
        <f t="shared" si="2"/>
        <v>-18878.7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3">
        <f t="shared" si="4"/>
        <v>0</v>
      </c>
      <c r="E14" s="3"/>
      <c r="F14" s="22"/>
      <c r="G14" s="3"/>
      <c r="H14" s="3">
        <f>--43778.84</f>
        <v>43778.84</v>
      </c>
      <c r="I14" s="3"/>
      <c r="J14" s="22"/>
      <c r="K14" s="3"/>
      <c r="L14" s="3">
        <f t="shared" si="0"/>
        <v>-43778.84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--43778.84</f>
        <v>43778.84</v>
      </c>
      <c r="U14" s="3"/>
      <c r="V14" s="22"/>
      <c r="W14" s="3"/>
      <c r="X14" s="3">
        <f t="shared" si="2"/>
        <v>-43778.84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3">
        <f t="shared" si="4"/>
        <v>0</v>
      </c>
      <c r="E15" s="3"/>
      <c r="F15" s="22"/>
      <c r="G15" s="3"/>
      <c r="H15" s="3">
        <f>--24931.11</f>
        <v>24931.11</v>
      </c>
      <c r="I15" s="3"/>
      <c r="J15" s="22"/>
      <c r="K15" s="3"/>
      <c r="L15" s="3">
        <f t="shared" si="0"/>
        <v>-24931.11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--24931.11</f>
        <v>24931.11</v>
      </c>
      <c r="U15" s="3"/>
      <c r="V15" s="22"/>
      <c r="W15" s="3"/>
      <c r="X15" s="3">
        <f t="shared" si="2"/>
        <v>-24931.11</v>
      </c>
      <c r="Y15" s="3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"4055", " - ", "TAXABLE SALES-FOOD")</f>
        <v xml:space="preserve">          4055 - TAXABLE SALES-FOOD</v>
      </c>
      <c r="C16" s="11"/>
      <c r="D16" s="3">
        <f t="shared" si="4"/>
        <v>0</v>
      </c>
      <c r="E16" s="3"/>
      <c r="F16" s="22"/>
      <c r="G16" s="3"/>
      <c r="H16" s="3">
        <f>--14243.63</f>
        <v>14243.63</v>
      </c>
      <c r="I16" s="3"/>
      <c r="J16" s="22"/>
      <c r="K16" s="3"/>
      <c r="L16" s="3">
        <f t="shared" si="0"/>
        <v>-14243.63</v>
      </c>
      <c r="M16" s="3"/>
      <c r="N16" s="22">
        <f t="shared" si="1"/>
        <v>-1</v>
      </c>
      <c r="O16" s="11"/>
      <c r="P16" s="3">
        <f t="shared" si="5"/>
        <v>0</v>
      </c>
      <c r="Q16" s="3"/>
      <c r="R16" s="22"/>
      <c r="S16" s="3"/>
      <c r="T16" s="3">
        <f>--14243.63</f>
        <v>14243.63</v>
      </c>
      <c r="U16" s="3"/>
      <c r="V16" s="22"/>
      <c r="W16" s="3"/>
      <c r="X16" s="3">
        <f t="shared" si="2"/>
        <v>-14243.63</v>
      </c>
      <c r="Y16" s="3"/>
      <c r="Z16" s="22">
        <f t="shared" si="3"/>
        <v>-1</v>
      </c>
    </row>
    <row r="17" spans="1:26" s="24" customFormat="1" hidden="1" outlineLevel="1" x14ac:dyDescent="0.25">
      <c r="A17" s="50"/>
      <c r="B17" s="11" t="str">
        <f>CONCATENATE("          ", "4058", " - ", "TAXABLE SALES-FOOD")</f>
        <v xml:space="preserve">          4058 - TAXABLE SALES-FOOD</v>
      </c>
      <c r="C17" s="11"/>
      <c r="D17" s="3">
        <f>--974.91</f>
        <v>974.91</v>
      </c>
      <c r="E17" s="3"/>
      <c r="F17" s="22"/>
      <c r="G17" s="3"/>
      <c r="H17" s="3">
        <f>--8401.66</f>
        <v>8401.66</v>
      </c>
      <c r="I17" s="3"/>
      <c r="J17" s="22"/>
      <c r="K17" s="3"/>
      <c r="L17" s="3">
        <f t="shared" si="0"/>
        <v>-7426.75</v>
      </c>
      <c r="M17" s="3"/>
      <c r="N17" s="22">
        <f t="shared" si="1"/>
        <v>-0.88396221699045185</v>
      </c>
      <c r="O17" s="11"/>
      <c r="P17" s="3">
        <f>--974.91</f>
        <v>974.91</v>
      </c>
      <c r="Q17" s="3"/>
      <c r="R17" s="22"/>
      <c r="S17" s="3"/>
      <c r="T17" s="3">
        <f>--8401.66</f>
        <v>8401.66</v>
      </c>
      <c r="U17" s="3"/>
      <c r="V17" s="22"/>
      <c r="W17" s="3"/>
      <c r="X17" s="3">
        <f t="shared" si="2"/>
        <v>-7426.75</v>
      </c>
      <c r="Y17" s="3"/>
      <c r="Z17" s="22">
        <f t="shared" si="3"/>
        <v>-0.88396221699045185</v>
      </c>
    </row>
    <row r="18" spans="1:26" s="24" customFormat="1" hidden="1" outlineLevel="1" x14ac:dyDescent="0.25">
      <c r="A18" s="50"/>
      <c r="B18" s="11" t="str">
        <f>CONCATENATE("          ", "4151", " - ", "NON-TAXABLE SALES-FOOD")</f>
        <v xml:space="preserve">          4151 - NON-TAXABLE SALES-FOOD</v>
      </c>
      <c r="C18" s="11"/>
      <c r="D18" s="3">
        <f t="shared" ref="D18:D21" si="6">0</f>
        <v>0</v>
      </c>
      <c r="E18" s="3"/>
      <c r="F18" s="22"/>
      <c r="G18" s="3"/>
      <c r="H18" s="3">
        <f>--30368.45</f>
        <v>30368.45</v>
      </c>
      <c r="I18" s="3"/>
      <c r="J18" s="22"/>
      <c r="K18" s="3"/>
      <c r="L18" s="3">
        <f t="shared" si="0"/>
        <v>-30368.45</v>
      </c>
      <c r="M18" s="3"/>
      <c r="N18" s="22">
        <f t="shared" si="1"/>
        <v>-1</v>
      </c>
      <c r="O18" s="11"/>
      <c r="P18" s="3">
        <f t="shared" ref="P18:P21" si="7">0</f>
        <v>0</v>
      </c>
      <c r="Q18" s="3"/>
      <c r="R18" s="22"/>
      <c r="S18" s="3"/>
      <c r="T18" s="3">
        <f>--30368.45</f>
        <v>30368.45</v>
      </c>
      <c r="U18" s="3"/>
      <c r="V18" s="22"/>
      <c r="W18" s="3"/>
      <c r="X18" s="3">
        <f t="shared" si="2"/>
        <v>-30368.45</v>
      </c>
      <c r="Y18" s="3"/>
      <c r="Z18" s="22">
        <f t="shared" si="3"/>
        <v>-1</v>
      </c>
    </row>
    <row r="19" spans="1:26" s="24" customFormat="1" hidden="1" outlineLevel="1" x14ac:dyDescent="0.25">
      <c r="A19" s="50"/>
      <c r="B19" s="11" t="str">
        <f>CONCATENATE("          ", "4152", " - ", "NON-TAXABLE SALES-FOOD")</f>
        <v xml:space="preserve">          4152 - NON-TAXABLE SALES-FOOD</v>
      </c>
      <c r="C19" s="11"/>
      <c r="D19" s="3">
        <f t="shared" si="6"/>
        <v>0</v>
      </c>
      <c r="E19" s="3"/>
      <c r="F19" s="22"/>
      <c r="G19" s="3"/>
      <c r="H19" s="3">
        <f>--3667.09</f>
        <v>3667.09</v>
      </c>
      <c r="I19" s="3"/>
      <c r="J19" s="22"/>
      <c r="K19" s="3"/>
      <c r="L19" s="3">
        <f t="shared" si="0"/>
        <v>-3667.09</v>
      </c>
      <c r="M19" s="3"/>
      <c r="N19" s="22">
        <f t="shared" si="1"/>
        <v>-1</v>
      </c>
      <c r="O19" s="11"/>
      <c r="P19" s="3">
        <f t="shared" si="7"/>
        <v>0</v>
      </c>
      <c r="Q19" s="3"/>
      <c r="R19" s="22"/>
      <c r="S19" s="3"/>
      <c r="T19" s="3">
        <f>--3667.09</f>
        <v>3667.09</v>
      </c>
      <c r="U19" s="3"/>
      <c r="V19" s="22"/>
      <c r="W19" s="3"/>
      <c r="X19" s="3">
        <f t="shared" si="2"/>
        <v>-3667.09</v>
      </c>
      <c r="Y19" s="3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"4155", " - ", "NON-TAXABLE SALES-FOOD")</f>
        <v xml:space="preserve">          4155 - NON-TAXABLE SALES-FOOD</v>
      </c>
      <c r="C20" s="11"/>
      <c r="D20" s="3">
        <f t="shared" si="6"/>
        <v>0</v>
      </c>
      <c r="E20" s="3"/>
      <c r="F20" s="22"/>
      <c r="G20" s="3"/>
      <c r="H20" s="3">
        <f>--25636.66</f>
        <v>25636.66</v>
      </c>
      <c r="I20" s="3"/>
      <c r="J20" s="22"/>
      <c r="K20" s="3"/>
      <c r="L20" s="3">
        <f t="shared" si="0"/>
        <v>-25636.66</v>
      </c>
      <c r="M20" s="3"/>
      <c r="N20" s="22">
        <f t="shared" si="1"/>
        <v>-1</v>
      </c>
      <c r="O20" s="11"/>
      <c r="P20" s="3">
        <f t="shared" si="7"/>
        <v>0</v>
      </c>
      <c r="Q20" s="3"/>
      <c r="R20" s="22"/>
      <c r="S20" s="3"/>
      <c r="T20" s="3">
        <f>--25636.66</f>
        <v>25636.66</v>
      </c>
      <c r="U20" s="3"/>
      <c r="V20" s="22"/>
      <c r="W20" s="3"/>
      <c r="X20" s="3">
        <f t="shared" si="2"/>
        <v>-25636.66</v>
      </c>
      <c r="Y20" s="3"/>
      <c r="Z20" s="22">
        <f t="shared" si="3"/>
        <v>-1</v>
      </c>
    </row>
    <row r="21" spans="1:26" s="24" customFormat="1" hidden="1" outlineLevel="1" x14ac:dyDescent="0.25">
      <c r="A21" s="50"/>
      <c r="B21" s="11" t="str">
        <f>CONCATENATE("          ", "4158", " - ", "NON-TAXABLE SALES-FOOD")</f>
        <v xml:space="preserve">          4158 - NON-TAXABLE SALES-FOOD</v>
      </c>
      <c r="C21" s="11"/>
      <c r="D21" s="3">
        <f t="shared" si="6"/>
        <v>0</v>
      </c>
      <c r="E21" s="3"/>
      <c r="F21" s="22"/>
      <c r="G21" s="3"/>
      <c r="H21" s="3">
        <f>--9559.69</f>
        <v>9559.69</v>
      </c>
      <c r="I21" s="3"/>
      <c r="J21" s="22"/>
      <c r="K21" s="3"/>
      <c r="L21" s="3">
        <f t="shared" si="0"/>
        <v>-9559.69</v>
      </c>
      <c r="M21" s="3"/>
      <c r="N21" s="22">
        <f t="shared" si="1"/>
        <v>-1</v>
      </c>
      <c r="O21" s="11"/>
      <c r="P21" s="3">
        <f t="shared" si="7"/>
        <v>0</v>
      </c>
      <c r="Q21" s="3"/>
      <c r="R21" s="22"/>
      <c r="S21" s="3"/>
      <c r="T21" s="3">
        <f>--9559.69</f>
        <v>9559.69</v>
      </c>
      <c r="U21" s="3"/>
      <c r="V21" s="22"/>
      <c r="W21" s="3"/>
      <c r="X21" s="3">
        <f t="shared" si="2"/>
        <v>-9559.69</v>
      </c>
      <c r="Y21" s="3"/>
      <c r="Z21" s="22">
        <f t="shared" si="3"/>
        <v>-1</v>
      </c>
    </row>
    <row r="22" spans="1:26" x14ac:dyDescent="0.25">
      <c r="A22" s="9"/>
      <c r="B22" s="10"/>
      <c r="C22" s="9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collapsed="1" x14ac:dyDescent="0.25">
      <c r="A23" s="10"/>
      <c r="B23" s="25" t="s">
        <v>8</v>
      </c>
      <c r="C23" s="10"/>
      <c r="D23" s="4">
        <f>SUM(OSRRefD16x_0)</f>
        <v>0</v>
      </c>
      <c r="E23" s="4"/>
      <c r="F23" s="12">
        <f t="shared" ref="F23:F25" si="8">IF(D$12=0,0,D23/D$12)</f>
        <v>0</v>
      </c>
      <c r="G23" s="4"/>
      <c r="H23" s="4">
        <f>SUM(OSRRefH16x_0)</f>
        <v>69621.23</v>
      </c>
      <c r="I23" s="4"/>
      <c r="J23" s="12">
        <f t="shared" ref="J23:J25" si="9">IF(H$12=0,0,H23/H$12)</f>
        <v>0.38793585386142859</v>
      </c>
      <c r="K23" s="4"/>
      <c r="L23" s="4">
        <f t="shared" ref="L23:L25" si="10">+D23-H23</f>
        <v>-69621.23</v>
      </c>
      <c r="M23" s="4"/>
      <c r="N23" s="12">
        <f t="shared" ref="N23:N25" si="11">IF(H23=0,0,L23/H23)</f>
        <v>-1</v>
      </c>
      <c r="O23" s="10"/>
      <c r="P23" s="4">
        <f>SUM(OSRRefP16x_0)</f>
        <v>0</v>
      </c>
      <c r="Q23" s="4"/>
      <c r="R23" s="12">
        <f t="shared" ref="R23:R25" si="12">IF(P$12=0,0,P23/P$12)</f>
        <v>0</v>
      </c>
      <c r="S23" s="4"/>
      <c r="T23" s="4">
        <f>SUM(OSRRefT16x_0)</f>
        <v>69621.23</v>
      </c>
      <c r="U23" s="4"/>
      <c r="V23" s="12">
        <f t="shared" ref="V23:V25" si="13">IF(T$12=0,0,T23/T$12)</f>
        <v>0.38793585386142859</v>
      </c>
      <c r="W23" s="4"/>
      <c r="X23" s="4">
        <f t="shared" ref="X23:X25" si="14">+P23-T23</f>
        <v>-69621.23</v>
      </c>
      <c r="Y23" s="4"/>
      <c r="Z23" s="12">
        <f t="shared" ref="Z23:Z25" si="15">IF(T23=0,0,X23/T23)</f>
        <v>-1</v>
      </c>
    </row>
    <row r="24" spans="1:26" s="24" customFormat="1" hidden="1" outlineLevel="1" x14ac:dyDescent="0.25">
      <c r="A24" s="50"/>
      <c r="B24" s="11" t="str">
        <f>CONCATENATE("          ", "5053", " - ", "PURCHASES @ COST-FOOD")</f>
        <v xml:space="preserve">          5053 - PURCHASES @ COST-FOOD</v>
      </c>
      <c r="C24" s="11"/>
      <c r="D24" s="3"/>
      <c r="E24" s="3"/>
      <c r="F24" s="22">
        <f t="shared" si="8"/>
        <v>0</v>
      </c>
      <c r="G24" s="3"/>
      <c r="H24" s="3">
        <v>77863.23</v>
      </c>
      <c r="I24" s="3"/>
      <c r="J24" s="22">
        <f t="shared" si="9"/>
        <v>0.4338610308157268</v>
      </c>
      <c r="K24" s="3"/>
      <c r="L24" s="3">
        <f t="shared" si="10"/>
        <v>-77863.23</v>
      </c>
      <c r="M24" s="3"/>
      <c r="N24" s="22">
        <f t="shared" si="11"/>
        <v>-1</v>
      </c>
      <c r="O24" s="11"/>
      <c r="P24" s="3"/>
      <c r="Q24" s="3"/>
      <c r="R24" s="22">
        <f t="shared" si="12"/>
        <v>0</v>
      </c>
      <c r="S24" s="3"/>
      <c r="T24" s="3">
        <v>77863.23</v>
      </c>
      <c r="U24" s="3"/>
      <c r="V24" s="22">
        <f t="shared" si="13"/>
        <v>0.4338610308157268</v>
      </c>
      <c r="W24" s="3"/>
      <c r="X24" s="3">
        <f t="shared" si="14"/>
        <v>-77863.23</v>
      </c>
      <c r="Y24" s="3"/>
      <c r="Z24" s="22">
        <f t="shared" si="15"/>
        <v>-1</v>
      </c>
    </row>
    <row r="25" spans="1:26" s="24" customFormat="1" hidden="1" outlineLevel="1" x14ac:dyDescent="0.25">
      <c r="A25" s="50"/>
      <c r="B25" s="11" t="str">
        <f>CONCATENATE("          ", "5059", " - ", "PURCHASES @ COST-FOOD")</f>
        <v xml:space="preserve">          5059 - PURCHASES @ COST-FOOD</v>
      </c>
      <c r="C25" s="11"/>
      <c r="D25" s="3"/>
      <c r="E25" s="3"/>
      <c r="F25" s="22">
        <f t="shared" si="8"/>
        <v>0</v>
      </c>
      <c r="G25" s="3"/>
      <c r="H25" s="3">
        <v>-8242</v>
      </c>
      <c r="I25" s="3"/>
      <c r="J25" s="22">
        <f t="shared" si="9"/>
        <v>-4.5925176954298201E-2</v>
      </c>
      <c r="K25" s="3"/>
      <c r="L25" s="3">
        <f t="shared" si="10"/>
        <v>8242</v>
      </c>
      <c r="M25" s="3"/>
      <c r="N25" s="22">
        <f t="shared" si="11"/>
        <v>-1</v>
      </c>
      <c r="O25" s="11"/>
      <c r="P25" s="3"/>
      <c r="Q25" s="3"/>
      <c r="R25" s="22">
        <f t="shared" si="12"/>
        <v>0</v>
      </c>
      <c r="S25" s="3"/>
      <c r="T25" s="3">
        <v>-8242</v>
      </c>
      <c r="U25" s="3"/>
      <c r="V25" s="22">
        <f t="shared" si="13"/>
        <v>-4.5925176954298201E-2</v>
      </c>
      <c r="W25" s="3"/>
      <c r="X25" s="3">
        <f t="shared" si="14"/>
        <v>8242</v>
      </c>
      <c r="Y25" s="3"/>
      <c r="Z25" s="22">
        <f t="shared" si="15"/>
        <v>-1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6</v>
      </c>
      <c r="C27" s="26"/>
      <c r="D27" s="19">
        <f>D12-D23</f>
        <v>974.91</v>
      </c>
      <c r="E27" s="13"/>
      <c r="F27" s="20">
        <f>IF(D$12=0,0,D27/D$12)</f>
        <v>1</v>
      </c>
      <c r="G27" s="13"/>
      <c r="H27" s="19">
        <f>H12-H23</f>
        <v>109844.60000000002</v>
      </c>
      <c r="I27" s="13"/>
      <c r="J27" s="20">
        <f>IF(H$12=0,0,H27/H$12)</f>
        <v>0.61206414613857141</v>
      </c>
      <c r="K27" s="16"/>
      <c r="L27" s="19">
        <f>+D27-H27</f>
        <v>-108869.69000000002</v>
      </c>
      <c r="M27" s="16"/>
      <c r="N27" s="20">
        <f>IF(H27=0,0,L27/H27)</f>
        <v>-0.99112464335980099</v>
      </c>
      <c r="O27" s="25"/>
      <c r="P27" s="19">
        <f>P12-P23</f>
        <v>974.91</v>
      </c>
      <c r="Q27" s="13"/>
      <c r="R27" s="20">
        <f>IF(P$12=0,0,P27/P$12)</f>
        <v>1</v>
      </c>
      <c r="S27" s="13"/>
      <c r="T27" s="19">
        <f>T12-T23</f>
        <v>109844.60000000002</v>
      </c>
      <c r="U27" s="13"/>
      <c r="V27" s="20">
        <f>IF(T$12=0,0,T27/T$12)</f>
        <v>0.61206414613857141</v>
      </c>
      <c r="W27" s="16"/>
      <c r="X27" s="19">
        <f>+P27-T27</f>
        <v>-108869.69000000002</v>
      </c>
      <c r="Y27" s="16"/>
      <c r="Z27" s="20">
        <f>IF(T27=0,0,X27/T27)</f>
        <v>-0.99112464335980099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21">
        <f>SUM(OSRRefD22x_0)</f>
        <v>127125.15000000004</v>
      </c>
      <c r="E29" s="21"/>
      <c r="F29" s="34">
        <f t="shared" ref="F29:F39" si="16">IF(D$12=0,0,D29/D$12)</f>
        <v>130.3968058590024</v>
      </c>
      <c r="G29" s="21"/>
      <c r="H29" s="21">
        <f>SUM(OSRRefH22x_0)</f>
        <v>403759.96</v>
      </c>
      <c r="I29" s="21"/>
      <c r="J29" s="34">
        <f t="shared" ref="J29:J39" si="17">IF(H$12=0,0,H29/H$12)</f>
        <v>2.249787382924092</v>
      </c>
      <c r="K29" s="4"/>
      <c r="L29" s="21">
        <f t="shared" ref="L29:L39" si="18">+D29-H29</f>
        <v>-276634.81</v>
      </c>
      <c r="M29" s="4"/>
      <c r="N29" s="34">
        <f t="shared" ref="N29:N39" si="19">IF(H29=0,0,L29/H29)</f>
        <v>-0.68514671439931785</v>
      </c>
      <c r="O29" s="10"/>
      <c r="P29" s="21">
        <f>SUM(OSRRefP22x_0)</f>
        <v>127125.15000000004</v>
      </c>
      <c r="Q29" s="21"/>
      <c r="R29" s="34">
        <f t="shared" ref="R29:R39" si="20">IF(P$12=0,0,P29/P$12)</f>
        <v>130.3968058590024</v>
      </c>
      <c r="S29" s="21"/>
      <c r="T29" s="21">
        <f>SUM(OSRRefT22x_0)</f>
        <v>403759.96</v>
      </c>
      <c r="U29" s="21"/>
      <c r="V29" s="34">
        <f t="shared" ref="V29:V39" si="21">IF(T$12=0,0,T29/T$12)</f>
        <v>2.249787382924092</v>
      </c>
      <c r="W29" s="4"/>
      <c r="X29" s="21">
        <f t="shared" ref="X29:X39" si="22">+P29-T29</f>
        <v>-276634.81</v>
      </c>
      <c r="Y29" s="4"/>
      <c r="Z29" s="34">
        <f t="shared" ref="Z29:Z39" si="23">IF(T29=0,0,X29/T29)</f>
        <v>-0.68514671439931785</v>
      </c>
    </row>
    <row r="30" spans="1:26" s="27" customFormat="1" outlineLevel="1" collapsed="1" x14ac:dyDescent="0.25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25973.47</v>
      </c>
      <c r="E30" s="1"/>
      <c r="F30" s="5">
        <f t="shared" si="16"/>
        <v>26.641915664010014</v>
      </c>
      <c r="G30" s="1"/>
      <c r="H30" s="1">
        <f>SUM(OSRRefH22_0x_0)</f>
        <v>66181.48</v>
      </c>
      <c r="I30" s="1"/>
      <c r="J30" s="5">
        <f t="shared" si="17"/>
        <v>0.36876925262040128</v>
      </c>
      <c r="K30" s="1"/>
      <c r="L30" s="1">
        <f t="shared" si="18"/>
        <v>-40208.009999999995</v>
      </c>
      <c r="M30" s="1"/>
      <c r="N30" s="5">
        <f t="shared" si="19"/>
        <v>-0.60754171710877425</v>
      </c>
      <c r="O30" s="14"/>
      <c r="P30" s="1">
        <f>SUM(OSRRefP22_0x_0)</f>
        <v>25973.47</v>
      </c>
      <c r="Q30" s="1"/>
      <c r="R30" s="5">
        <f t="shared" si="20"/>
        <v>26.641915664010014</v>
      </c>
      <c r="S30" s="1"/>
      <c r="T30" s="1">
        <f>SUM(OSRRefT22_0x_0)</f>
        <v>66181.48</v>
      </c>
      <c r="U30" s="1"/>
      <c r="V30" s="5">
        <f t="shared" si="21"/>
        <v>0.36876925262040128</v>
      </c>
      <c r="W30" s="1"/>
      <c r="X30" s="1">
        <f t="shared" si="22"/>
        <v>-40208.009999999995</v>
      </c>
      <c r="Y30" s="1"/>
      <c r="Z30" s="5">
        <f t="shared" si="23"/>
        <v>-0.60754171710877425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8">
        <v>2614.65</v>
      </c>
      <c r="E31" s="3"/>
      <c r="F31" s="7">
        <f t="shared" si="16"/>
        <v>2.6819398713727423</v>
      </c>
      <c r="G31" s="3"/>
      <c r="H31" s="8">
        <v>10456.19</v>
      </c>
      <c r="I31" s="3"/>
      <c r="J31" s="7">
        <f t="shared" si="17"/>
        <v>5.8262845913341826E-2</v>
      </c>
      <c r="K31" s="3"/>
      <c r="L31" s="8">
        <f t="shared" si="18"/>
        <v>-7841.5400000000009</v>
      </c>
      <c r="M31" s="3"/>
      <c r="N31" s="7">
        <f t="shared" si="19"/>
        <v>-0.74994237862930957</v>
      </c>
      <c r="O31" s="11"/>
      <c r="P31" s="8">
        <v>2614.65</v>
      </c>
      <c r="Q31" s="3"/>
      <c r="R31" s="7">
        <f t="shared" si="20"/>
        <v>2.6819398713727423</v>
      </c>
      <c r="S31" s="3"/>
      <c r="T31" s="8">
        <v>10456.19</v>
      </c>
      <c r="U31" s="3"/>
      <c r="V31" s="7">
        <f t="shared" si="21"/>
        <v>5.8262845913341826E-2</v>
      </c>
      <c r="W31" s="3"/>
      <c r="X31" s="8">
        <f t="shared" si="22"/>
        <v>-7841.5400000000009</v>
      </c>
      <c r="Y31" s="3"/>
      <c r="Z31" s="7">
        <f t="shared" si="23"/>
        <v>-0.74994237862930957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8">
        <v>568.9</v>
      </c>
      <c r="E32" s="3"/>
      <c r="F32" s="7">
        <f t="shared" si="16"/>
        <v>0.58354104481439317</v>
      </c>
      <c r="G32" s="3"/>
      <c r="H32" s="8">
        <v>4948.8</v>
      </c>
      <c r="I32" s="3"/>
      <c r="J32" s="7">
        <f t="shared" si="17"/>
        <v>2.7575165701459715E-2</v>
      </c>
      <c r="K32" s="3"/>
      <c r="L32" s="8">
        <f t="shared" si="18"/>
        <v>-4379.9000000000005</v>
      </c>
      <c r="M32" s="3"/>
      <c r="N32" s="7">
        <f t="shared" si="19"/>
        <v>-0.88504283866795996</v>
      </c>
      <c r="O32" s="11"/>
      <c r="P32" s="8">
        <v>568.9</v>
      </c>
      <c r="Q32" s="3"/>
      <c r="R32" s="7">
        <f t="shared" si="20"/>
        <v>0.58354104481439317</v>
      </c>
      <c r="S32" s="3"/>
      <c r="T32" s="8">
        <v>4948.8</v>
      </c>
      <c r="U32" s="3"/>
      <c r="V32" s="7">
        <f t="shared" si="21"/>
        <v>2.7575165701459715E-2</v>
      </c>
      <c r="W32" s="3"/>
      <c r="X32" s="8">
        <f t="shared" si="22"/>
        <v>-4379.9000000000005</v>
      </c>
      <c r="Y32" s="3"/>
      <c r="Z32" s="7">
        <f t="shared" si="23"/>
        <v>-0.88504283866795996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8">
        <v>13618.52</v>
      </c>
      <c r="E33" s="3"/>
      <c r="F33" s="7">
        <f t="shared" si="16"/>
        <v>13.969002266875918</v>
      </c>
      <c r="G33" s="3"/>
      <c r="H33" s="8">
        <v>20602.560000000001</v>
      </c>
      <c r="I33" s="3"/>
      <c r="J33" s="7">
        <f t="shared" si="17"/>
        <v>0.11479934648283742</v>
      </c>
      <c r="K33" s="3"/>
      <c r="L33" s="8">
        <f t="shared" si="18"/>
        <v>-6984.0400000000009</v>
      </c>
      <c r="M33" s="3"/>
      <c r="N33" s="7">
        <f t="shared" si="19"/>
        <v>-0.33898894118012524</v>
      </c>
      <c r="O33" s="11"/>
      <c r="P33" s="8">
        <v>13618.52</v>
      </c>
      <c r="Q33" s="3"/>
      <c r="R33" s="7">
        <f t="shared" si="20"/>
        <v>13.969002266875918</v>
      </c>
      <c r="S33" s="3"/>
      <c r="T33" s="8">
        <v>20602.560000000001</v>
      </c>
      <c r="U33" s="3"/>
      <c r="V33" s="7">
        <f t="shared" si="21"/>
        <v>0.11479934648283742</v>
      </c>
      <c r="W33" s="3"/>
      <c r="X33" s="8">
        <f t="shared" si="22"/>
        <v>-6984.0400000000009</v>
      </c>
      <c r="Y33" s="3"/>
      <c r="Z33" s="7">
        <f t="shared" si="23"/>
        <v>-0.33898894118012524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8">
        <v>81.95</v>
      </c>
      <c r="E34" s="3"/>
      <c r="F34" s="7">
        <f t="shared" si="16"/>
        <v>8.4059041347406438E-2</v>
      </c>
      <c r="G34" s="3"/>
      <c r="H34" s="8">
        <v>349.45</v>
      </c>
      <c r="I34" s="3"/>
      <c r="J34" s="7">
        <f t="shared" si="17"/>
        <v>1.9471673242756015E-3</v>
      </c>
      <c r="K34" s="3"/>
      <c r="L34" s="8">
        <f t="shared" si="18"/>
        <v>-267.5</v>
      </c>
      <c r="M34" s="3"/>
      <c r="N34" s="7">
        <f t="shared" si="19"/>
        <v>-0.76548862498211478</v>
      </c>
      <c r="O34" s="11"/>
      <c r="P34" s="8">
        <v>81.95</v>
      </c>
      <c r="Q34" s="3"/>
      <c r="R34" s="7">
        <f t="shared" si="20"/>
        <v>8.4059041347406438E-2</v>
      </c>
      <c r="S34" s="3"/>
      <c r="T34" s="8">
        <v>349.45</v>
      </c>
      <c r="U34" s="3"/>
      <c r="V34" s="7">
        <f t="shared" si="21"/>
        <v>1.9471673242756015E-3</v>
      </c>
      <c r="W34" s="3"/>
      <c r="X34" s="8">
        <f t="shared" si="22"/>
        <v>-267.5</v>
      </c>
      <c r="Y34" s="3"/>
      <c r="Z34" s="7">
        <f t="shared" si="23"/>
        <v>-0.76548862498211478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8">
        <v>4648.8</v>
      </c>
      <c r="E35" s="3"/>
      <c r="F35" s="7">
        <f t="shared" si="16"/>
        <v>4.7684401637074192</v>
      </c>
      <c r="G35" s="3"/>
      <c r="H35" s="8">
        <v>5779.58</v>
      </c>
      <c r="I35" s="3"/>
      <c r="J35" s="7">
        <f t="shared" si="17"/>
        <v>3.2204347758010531E-2</v>
      </c>
      <c r="K35" s="3"/>
      <c r="L35" s="8">
        <f t="shared" si="18"/>
        <v>-1130.7799999999997</v>
      </c>
      <c r="M35" s="3"/>
      <c r="N35" s="7">
        <f t="shared" si="19"/>
        <v>-0.195650895047737</v>
      </c>
      <c r="O35" s="11"/>
      <c r="P35" s="8">
        <v>4648.8</v>
      </c>
      <c r="Q35" s="3"/>
      <c r="R35" s="7">
        <f t="shared" si="20"/>
        <v>4.7684401637074192</v>
      </c>
      <c r="S35" s="3"/>
      <c r="T35" s="8">
        <v>5779.58</v>
      </c>
      <c r="U35" s="3"/>
      <c r="V35" s="7">
        <f t="shared" si="21"/>
        <v>3.2204347758010531E-2</v>
      </c>
      <c r="W35" s="3"/>
      <c r="X35" s="8">
        <f t="shared" si="22"/>
        <v>-1130.7799999999997</v>
      </c>
      <c r="Y35" s="3"/>
      <c r="Z35" s="7">
        <f t="shared" si="23"/>
        <v>-0.195650895047737</v>
      </c>
    </row>
    <row r="36" spans="1:26" s="24" customFormat="1" hidden="1" outlineLevel="2" x14ac:dyDescent="0.25">
      <c r="A36" s="29"/>
      <c r="B36" s="11" t="str">
        <f>CONCATENATE("          ", "6117", " - ", "RETIREMENT STAFF HOURLY")</f>
        <v xml:space="preserve">          6117 - RETIREMENT STAFF HOURLY</v>
      </c>
      <c r="C36" s="11"/>
      <c r="D36" s="8"/>
      <c r="E36" s="3"/>
      <c r="F36" s="7">
        <f t="shared" si="16"/>
        <v>0</v>
      </c>
      <c r="G36" s="3"/>
      <c r="H36" s="8">
        <v>56</v>
      </c>
      <c r="I36" s="3"/>
      <c r="J36" s="7">
        <f t="shared" si="17"/>
        <v>3.1203711592340443E-4</v>
      </c>
      <c r="K36" s="3"/>
      <c r="L36" s="8">
        <f t="shared" si="18"/>
        <v>-56</v>
      </c>
      <c r="M36" s="3"/>
      <c r="N36" s="7">
        <f t="shared" si="19"/>
        <v>-1</v>
      </c>
      <c r="O36" s="11"/>
      <c r="P36" s="8"/>
      <c r="Q36" s="3"/>
      <c r="R36" s="7">
        <f t="shared" si="20"/>
        <v>0</v>
      </c>
      <c r="S36" s="3"/>
      <c r="T36" s="8">
        <v>56</v>
      </c>
      <c r="U36" s="3"/>
      <c r="V36" s="7">
        <f t="shared" si="21"/>
        <v>3.1203711592340443E-4</v>
      </c>
      <c r="W36" s="3"/>
      <c r="X36" s="8">
        <f t="shared" si="22"/>
        <v>-56</v>
      </c>
      <c r="Y36" s="3"/>
      <c r="Z36" s="7">
        <f t="shared" si="23"/>
        <v>-1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8">
        <v>2560.33</v>
      </c>
      <c r="E37" s="3"/>
      <c r="F37" s="7">
        <f t="shared" si="16"/>
        <v>2.6262219076632713</v>
      </c>
      <c r="G37" s="3"/>
      <c r="H37" s="8">
        <v>8517.7000000000007</v>
      </c>
      <c r="I37" s="3"/>
      <c r="J37" s="7">
        <f t="shared" si="17"/>
        <v>4.7461402541085398E-2</v>
      </c>
      <c r="K37" s="3"/>
      <c r="L37" s="8">
        <f t="shared" si="18"/>
        <v>-5957.3700000000008</v>
      </c>
      <c r="M37" s="3"/>
      <c r="N37" s="7">
        <f t="shared" si="19"/>
        <v>-0.6994106390222713</v>
      </c>
      <c r="O37" s="11"/>
      <c r="P37" s="8">
        <v>2560.33</v>
      </c>
      <c r="Q37" s="3"/>
      <c r="R37" s="7">
        <f t="shared" si="20"/>
        <v>2.6262219076632713</v>
      </c>
      <c r="S37" s="3"/>
      <c r="T37" s="8">
        <v>8517.7000000000007</v>
      </c>
      <c r="U37" s="3"/>
      <c r="V37" s="7">
        <f t="shared" si="21"/>
        <v>4.7461402541085398E-2</v>
      </c>
      <c r="W37" s="3"/>
      <c r="X37" s="8">
        <f t="shared" si="22"/>
        <v>-5957.3700000000008</v>
      </c>
      <c r="Y37" s="3"/>
      <c r="Z37" s="7">
        <f t="shared" si="23"/>
        <v>-0.6994106390222713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8">
        <v>1576.57</v>
      </c>
      <c r="E38" s="3"/>
      <c r="F38" s="7">
        <f t="shared" si="16"/>
        <v>1.6171441466391769</v>
      </c>
      <c r="G38" s="3"/>
      <c r="H38" s="8">
        <v>13390.88</v>
      </c>
      <c r="I38" s="3"/>
      <c r="J38" s="7">
        <f t="shared" si="17"/>
        <v>7.4615206694221392E-2</v>
      </c>
      <c r="K38" s="3"/>
      <c r="L38" s="8">
        <f t="shared" si="18"/>
        <v>-11814.31</v>
      </c>
      <c r="M38" s="3"/>
      <c r="N38" s="7">
        <f t="shared" si="19"/>
        <v>-0.88226539256568648</v>
      </c>
      <c r="O38" s="11"/>
      <c r="P38" s="8">
        <v>1576.57</v>
      </c>
      <c r="Q38" s="3"/>
      <c r="R38" s="7">
        <f t="shared" si="20"/>
        <v>1.6171441466391769</v>
      </c>
      <c r="S38" s="3"/>
      <c r="T38" s="8">
        <v>13390.88</v>
      </c>
      <c r="U38" s="3"/>
      <c r="V38" s="7">
        <f t="shared" si="21"/>
        <v>7.4615206694221392E-2</v>
      </c>
      <c r="W38" s="3"/>
      <c r="X38" s="8">
        <f t="shared" si="22"/>
        <v>-11814.31</v>
      </c>
      <c r="Y38" s="3"/>
      <c r="Z38" s="7">
        <f t="shared" si="23"/>
        <v>-0.88226539256568648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8">
        <v>303.75</v>
      </c>
      <c r="E39" s="3"/>
      <c r="F39" s="7">
        <f t="shared" si="16"/>
        <v>0.31156722158968519</v>
      </c>
      <c r="G39" s="3"/>
      <c r="H39" s="8">
        <v>2080.3200000000002</v>
      </c>
      <c r="I39" s="3"/>
      <c r="J39" s="7">
        <f t="shared" si="17"/>
        <v>1.1591733089246013E-2</v>
      </c>
      <c r="K39" s="3"/>
      <c r="L39" s="8">
        <f t="shared" si="18"/>
        <v>-1776.5700000000002</v>
      </c>
      <c r="M39" s="3"/>
      <c r="N39" s="7">
        <f t="shared" si="19"/>
        <v>-0.85398880941393629</v>
      </c>
      <c r="O39" s="11"/>
      <c r="P39" s="8">
        <v>303.75</v>
      </c>
      <c r="Q39" s="3"/>
      <c r="R39" s="7">
        <f t="shared" si="20"/>
        <v>0.31156722158968519</v>
      </c>
      <c r="S39" s="3"/>
      <c r="T39" s="8">
        <v>2080.3200000000002</v>
      </c>
      <c r="U39" s="3"/>
      <c r="V39" s="7">
        <f t="shared" si="21"/>
        <v>1.1591733089246013E-2</v>
      </c>
      <c r="W39" s="3"/>
      <c r="X39" s="8">
        <f t="shared" si="22"/>
        <v>-1776.5700000000002</v>
      </c>
      <c r="Y39" s="3"/>
      <c r="Z39" s="7">
        <f t="shared" si="23"/>
        <v>-0.85398880941393629</v>
      </c>
    </row>
    <row r="40" spans="1:26" s="27" customFormat="1" outlineLevel="1" collapsed="1" x14ac:dyDescent="0.25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36428.020000000004</v>
      </c>
      <c r="E40" s="1"/>
      <c r="F40" s="5">
        <f t="shared" ref="F40:F47" si="24">IF(D$12=0,0,D40/D$12)</f>
        <v>37.365520919879792</v>
      </c>
      <c r="G40" s="1"/>
      <c r="H40" s="1">
        <f>SUM(OSRRefH22_1x_0)</f>
        <v>160355.29</v>
      </c>
      <c r="I40" s="1"/>
      <c r="J40" s="5">
        <f t="shared" ref="J40:J47" si="25">IF(H$12=0,0,H40/H$12)</f>
        <v>0.89351432526180607</v>
      </c>
      <c r="K40" s="1"/>
      <c r="L40" s="1">
        <f t="shared" ref="L40:L47" si="26">+D40-H40</f>
        <v>-123927.27</v>
      </c>
      <c r="M40" s="1"/>
      <c r="N40" s="5">
        <f t="shared" ref="N40:N47" si="27">IF(H40=0,0,L40/H40)</f>
        <v>-0.77282932168935614</v>
      </c>
      <c r="O40" s="14"/>
      <c r="P40" s="1">
        <f>SUM(OSRRefP22_1x_0)</f>
        <v>36428.020000000004</v>
      </c>
      <c r="Q40" s="1"/>
      <c r="R40" s="5">
        <f t="shared" ref="R40:R47" si="28">IF(P$12=0,0,P40/P$12)</f>
        <v>37.365520919879792</v>
      </c>
      <c r="S40" s="1"/>
      <c r="T40" s="1">
        <f>SUM(OSRRefT22_1x_0)</f>
        <v>160355.29</v>
      </c>
      <c r="U40" s="1"/>
      <c r="V40" s="5">
        <f t="shared" ref="V40:V47" si="29">IF(T$12=0,0,T40/T$12)</f>
        <v>0.89351432526180607</v>
      </c>
      <c r="W40" s="1"/>
      <c r="X40" s="1">
        <f t="shared" ref="X40:X47" si="30">+P40-T40</f>
        <v>-123927.27</v>
      </c>
      <c r="Y40" s="1"/>
      <c r="Z40" s="5">
        <f t="shared" ref="Z40:Z47" si="31">IF(T40=0,0,X40/T40)</f>
        <v>-0.77282932168935614</v>
      </c>
    </row>
    <row r="41" spans="1:26" s="24" customFormat="1" hidden="1" outlineLevel="2" x14ac:dyDescent="0.2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8">
        <v>11207.33</v>
      </c>
      <c r="E41" s="3"/>
      <c r="F41" s="7">
        <f t="shared" si="24"/>
        <v>11.495758582843544</v>
      </c>
      <c r="G41" s="3"/>
      <c r="H41" s="8">
        <v>20426.670000000002</v>
      </c>
      <c r="I41" s="3"/>
      <c r="J41" s="7">
        <f t="shared" si="25"/>
        <v>0.11381927133427015</v>
      </c>
      <c r="K41" s="3"/>
      <c r="L41" s="8">
        <f t="shared" si="26"/>
        <v>-9219.340000000002</v>
      </c>
      <c r="M41" s="3"/>
      <c r="N41" s="7">
        <f t="shared" si="27"/>
        <v>-0.45133837282337264</v>
      </c>
      <c r="O41" s="11"/>
      <c r="P41" s="8">
        <v>11207.33</v>
      </c>
      <c r="Q41" s="3"/>
      <c r="R41" s="7">
        <f t="shared" si="28"/>
        <v>11.495758582843544</v>
      </c>
      <c r="S41" s="3"/>
      <c r="T41" s="8">
        <v>20426.670000000002</v>
      </c>
      <c r="U41" s="3"/>
      <c r="V41" s="7">
        <f t="shared" si="29"/>
        <v>0.11381927133427015</v>
      </c>
      <c r="W41" s="3"/>
      <c r="X41" s="8">
        <f t="shared" si="30"/>
        <v>-9219.340000000002</v>
      </c>
      <c r="Y41" s="3"/>
      <c r="Z41" s="7">
        <f t="shared" si="31"/>
        <v>-0.45133837282337264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8">
        <v>21098.959999999999</v>
      </c>
      <c r="E42" s="3"/>
      <c r="F42" s="7">
        <f t="shared" si="24"/>
        <v>21.64195669343837</v>
      </c>
      <c r="G42" s="3"/>
      <c r="H42" s="8">
        <v>58026.310000000005</v>
      </c>
      <c r="I42" s="3"/>
      <c r="J42" s="7">
        <f t="shared" si="25"/>
        <v>0.3233279003585251</v>
      </c>
      <c r="K42" s="3"/>
      <c r="L42" s="8">
        <f t="shared" si="26"/>
        <v>-36927.350000000006</v>
      </c>
      <c r="M42" s="3"/>
      <c r="N42" s="7">
        <f t="shared" si="27"/>
        <v>-0.63638976871009034</v>
      </c>
      <c r="O42" s="11"/>
      <c r="P42" s="8">
        <v>21098.959999999999</v>
      </c>
      <c r="Q42" s="3"/>
      <c r="R42" s="7">
        <f t="shared" si="28"/>
        <v>21.64195669343837</v>
      </c>
      <c r="S42" s="3"/>
      <c r="T42" s="8">
        <v>58026.310000000005</v>
      </c>
      <c r="U42" s="3"/>
      <c r="V42" s="7">
        <f t="shared" si="29"/>
        <v>0.3233279003585251</v>
      </c>
      <c r="W42" s="3"/>
      <c r="X42" s="8">
        <f t="shared" si="30"/>
        <v>-36927.350000000006</v>
      </c>
      <c r="Y42" s="3"/>
      <c r="Z42" s="7">
        <f t="shared" si="31"/>
        <v>-0.63638976871009034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8">
        <v>2771.73</v>
      </c>
      <c r="E43" s="3"/>
      <c r="F43" s="7">
        <f t="shared" si="24"/>
        <v>2.8430624365326032</v>
      </c>
      <c r="G43" s="3"/>
      <c r="H43" s="8">
        <v>15310.009999999998</v>
      </c>
      <c r="I43" s="3"/>
      <c r="J43" s="7">
        <f t="shared" si="25"/>
        <v>8.5308774377830007E-2</v>
      </c>
      <c r="K43" s="3"/>
      <c r="L43" s="8">
        <f t="shared" si="26"/>
        <v>-12538.279999999999</v>
      </c>
      <c r="M43" s="3"/>
      <c r="N43" s="7">
        <f t="shared" si="27"/>
        <v>-0.81895962184218041</v>
      </c>
      <c r="O43" s="11"/>
      <c r="P43" s="8">
        <v>2771.73</v>
      </c>
      <c r="Q43" s="3"/>
      <c r="R43" s="7">
        <f t="shared" si="28"/>
        <v>2.8430624365326032</v>
      </c>
      <c r="S43" s="3"/>
      <c r="T43" s="8">
        <v>15310.009999999998</v>
      </c>
      <c r="U43" s="3"/>
      <c r="V43" s="7">
        <f t="shared" si="29"/>
        <v>8.5308774377830007E-2</v>
      </c>
      <c r="W43" s="3"/>
      <c r="X43" s="8">
        <f t="shared" si="30"/>
        <v>-12538.279999999999</v>
      </c>
      <c r="Y43" s="3"/>
      <c r="Z43" s="7">
        <f t="shared" si="31"/>
        <v>-0.81895962184218041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8"/>
      <c r="E44" s="3"/>
      <c r="F44" s="7">
        <f t="shared" si="24"/>
        <v>0</v>
      </c>
      <c r="G44" s="3"/>
      <c r="H44" s="8">
        <v>27322.84</v>
      </c>
      <c r="I44" s="3"/>
      <c r="J44" s="7">
        <f t="shared" si="25"/>
        <v>0.15224536057922558</v>
      </c>
      <c r="K44" s="3"/>
      <c r="L44" s="8">
        <f t="shared" si="26"/>
        <v>-27322.84</v>
      </c>
      <c r="M44" s="3"/>
      <c r="N44" s="7">
        <f t="shared" si="27"/>
        <v>-1</v>
      </c>
      <c r="O44" s="11"/>
      <c r="P44" s="8"/>
      <c r="Q44" s="3"/>
      <c r="R44" s="7">
        <f t="shared" si="28"/>
        <v>0</v>
      </c>
      <c r="S44" s="3"/>
      <c r="T44" s="8">
        <v>27322.84</v>
      </c>
      <c r="U44" s="3"/>
      <c r="V44" s="7">
        <f t="shared" si="29"/>
        <v>0.15224536057922558</v>
      </c>
      <c r="W44" s="3"/>
      <c r="X44" s="8">
        <f t="shared" si="30"/>
        <v>-27322.84</v>
      </c>
      <c r="Y44" s="3"/>
      <c r="Z44" s="7">
        <f t="shared" si="31"/>
        <v>-1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8"/>
      <c r="E45" s="3"/>
      <c r="F45" s="7">
        <f t="shared" si="24"/>
        <v>0</v>
      </c>
      <c r="G45" s="3"/>
      <c r="H45" s="8">
        <v>2250.64</v>
      </c>
      <c r="I45" s="3"/>
      <c r="J45" s="7">
        <f t="shared" si="25"/>
        <v>1.2540771688961623E-2</v>
      </c>
      <c r="K45" s="3"/>
      <c r="L45" s="8">
        <f t="shared" si="26"/>
        <v>-2250.64</v>
      </c>
      <c r="M45" s="3"/>
      <c r="N45" s="7">
        <f t="shared" si="27"/>
        <v>-1</v>
      </c>
      <c r="O45" s="11"/>
      <c r="P45" s="8"/>
      <c r="Q45" s="3"/>
      <c r="R45" s="7">
        <f t="shared" si="28"/>
        <v>0</v>
      </c>
      <c r="S45" s="3"/>
      <c r="T45" s="8">
        <v>2250.64</v>
      </c>
      <c r="U45" s="3"/>
      <c r="V45" s="7">
        <f t="shared" si="29"/>
        <v>1.2540771688961623E-2</v>
      </c>
      <c r="W45" s="3"/>
      <c r="X45" s="8">
        <f t="shared" si="30"/>
        <v>-2250.64</v>
      </c>
      <c r="Y45" s="3"/>
      <c r="Z45" s="7">
        <f t="shared" si="31"/>
        <v>-1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8">
        <v>1350</v>
      </c>
      <c r="E46" s="3"/>
      <c r="F46" s="7">
        <f t="shared" si="24"/>
        <v>1.3847432070652677</v>
      </c>
      <c r="G46" s="3"/>
      <c r="H46" s="8">
        <v>36285.4</v>
      </c>
      <c r="I46" s="3"/>
      <c r="J46" s="7">
        <f t="shared" si="25"/>
        <v>0.20218556368084106</v>
      </c>
      <c r="K46" s="3"/>
      <c r="L46" s="8">
        <f t="shared" si="26"/>
        <v>-34935.4</v>
      </c>
      <c r="M46" s="3"/>
      <c r="N46" s="7">
        <f t="shared" si="27"/>
        <v>-0.96279495334211551</v>
      </c>
      <c r="O46" s="11"/>
      <c r="P46" s="8">
        <v>1350</v>
      </c>
      <c r="Q46" s="3"/>
      <c r="R46" s="7">
        <f t="shared" si="28"/>
        <v>1.3847432070652677</v>
      </c>
      <c r="S46" s="3"/>
      <c r="T46" s="8">
        <v>36285.4</v>
      </c>
      <c r="U46" s="3"/>
      <c r="V46" s="7">
        <f t="shared" si="29"/>
        <v>0.20218556368084106</v>
      </c>
      <c r="W46" s="3"/>
      <c r="X46" s="8">
        <f t="shared" si="30"/>
        <v>-34935.4</v>
      </c>
      <c r="Y46" s="3"/>
      <c r="Z46" s="7">
        <f t="shared" si="31"/>
        <v>-0.96279495334211551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8"/>
      <c r="E47" s="3"/>
      <c r="F47" s="7">
        <f t="shared" si="24"/>
        <v>0</v>
      </c>
      <c r="G47" s="3"/>
      <c r="H47" s="8">
        <v>733.42</v>
      </c>
      <c r="I47" s="3"/>
      <c r="J47" s="7">
        <f t="shared" si="25"/>
        <v>4.0866832421525582E-3</v>
      </c>
      <c r="K47" s="3"/>
      <c r="L47" s="8">
        <f t="shared" si="26"/>
        <v>-733.42</v>
      </c>
      <c r="M47" s="3"/>
      <c r="N47" s="7">
        <f t="shared" si="27"/>
        <v>-1</v>
      </c>
      <c r="O47" s="11"/>
      <c r="P47" s="8"/>
      <c r="Q47" s="3"/>
      <c r="R47" s="7">
        <f t="shared" si="28"/>
        <v>0</v>
      </c>
      <c r="S47" s="3"/>
      <c r="T47" s="8">
        <v>733.42</v>
      </c>
      <c r="U47" s="3"/>
      <c r="V47" s="7">
        <f t="shared" si="29"/>
        <v>4.0866832421525582E-3</v>
      </c>
      <c r="W47" s="3"/>
      <c r="X47" s="8">
        <f t="shared" si="30"/>
        <v>-733.42</v>
      </c>
      <c r="Y47" s="3"/>
      <c r="Z47" s="7">
        <f t="shared" si="31"/>
        <v>-1</v>
      </c>
    </row>
    <row r="48" spans="1:26" s="27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45.97</v>
      </c>
      <c r="E48" s="1"/>
      <c r="F48" s="5">
        <f t="shared" ref="F48:F57" si="32">IF(D$12=0,0,D48/D$12)</f>
        <v>4.7153070539844702E-2</v>
      </c>
      <c r="G48" s="1"/>
      <c r="H48" s="1">
        <f>SUM(OSRRefH22_2x_0)</f>
        <v>2648.83</v>
      </c>
      <c r="I48" s="1"/>
      <c r="J48" s="5">
        <f t="shared" ref="J48:J57" si="33">IF(H$12=0,0,H48/H$12)</f>
        <v>1.4759522745917703E-2</v>
      </c>
      <c r="K48" s="1"/>
      <c r="L48" s="1">
        <f t="shared" ref="L48:L57" si="34">+D48-H48</f>
        <v>-2602.86</v>
      </c>
      <c r="M48" s="1"/>
      <c r="N48" s="5">
        <f t="shared" ref="N48:N57" si="35">IF(H48=0,0,L48/H48)</f>
        <v>-0.98264516786656753</v>
      </c>
      <c r="O48" s="14"/>
      <c r="P48" s="1">
        <f>SUM(OSRRefP22_2x_0)</f>
        <v>45.97</v>
      </c>
      <c r="Q48" s="1"/>
      <c r="R48" s="5">
        <f t="shared" ref="R48:R57" si="36">IF(P$12=0,0,P48/P$12)</f>
        <v>4.7153070539844702E-2</v>
      </c>
      <c r="S48" s="1"/>
      <c r="T48" s="1">
        <f>SUM(OSRRefT22_2x_0)</f>
        <v>2648.83</v>
      </c>
      <c r="U48" s="1"/>
      <c r="V48" s="5">
        <f t="shared" ref="V48:V57" si="37">IF(T$12=0,0,T48/T$12)</f>
        <v>1.4759522745917703E-2</v>
      </c>
      <c r="W48" s="1"/>
      <c r="X48" s="1">
        <f t="shared" ref="X48:X57" si="38">+P48-T48</f>
        <v>-2602.86</v>
      </c>
      <c r="Y48" s="1"/>
      <c r="Z48" s="5">
        <f t="shared" ref="Z48:Z57" si="39">IF(T48=0,0,X48/T48)</f>
        <v>-0.98264516786656753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8">
        <v>45.97</v>
      </c>
      <c r="E49" s="3"/>
      <c r="F49" s="7">
        <f t="shared" si="32"/>
        <v>4.7153070539844702E-2</v>
      </c>
      <c r="G49" s="3"/>
      <c r="H49" s="8">
        <v>2648.83</v>
      </c>
      <c r="I49" s="3"/>
      <c r="J49" s="7">
        <f t="shared" si="33"/>
        <v>1.4759522745917703E-2</v>
      </c>
      <c r="K49" s="3"/>
      <c r="L49" s="8">
        <f t="shared" si="34"/>
        <v>-2602.86</v>
      </c>
      <c r="M49" s="3"/>
      <c r="N49" s="7">
        <f t="shared" si="35"/>
        <v>-0.98264516786656753</v>
      </c>
      <c r="O49" s="11"/>
      <c r="P49" s="8">
        <v>45.97</v>
      </c>
      <c r="Q49" s="3"/>
      <c r="R49" s="7">
        <f t="shared" si="36"/>
        <v>4.7153070539844702E-2</v>
      </c>
      <c r="S49" s="3"/>
      <c r="T49" s="8">
        <v>2648.83</v>
      </c>
      <c r="U49" s="3"/>
      <c r="V49" s="7">
        <f t="shared" si="37"/>
        <v>1.4759522745917703E-2</v>
      </c>
      <c r="W49" s="3"/>
      <c r="X49" s="8">
        <f t="shared" si="38"/>
        <v>-2602.86</v>
      </c>
      <c r="Y49" s="3"/>
      <c r="Z49" s="7">
        <f t="shared" si="39"/>
        <v>-0.98264516786656753</v>
      </c>
    </row>
    <row r="50" spans="1:26" s="27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32"/>
        <v>0</v>
      </c>
      <c r="G50" s="1"/>
      <c r="H50" s="1">
        <f>SUM(OSRRefH22_3x_0)</f>
        <v>-18.579999999999998</v>
      </c>
      <c r="I50" s="1"/>
      <c r="J50" s="5">
        <f t="shared" si="33"/>
        <v>-1.0352945739030096E-4</v>
      </c>
      <c r="K50" s="1"/>
      <c r="L50" s="1">
        <f t="shared" si="34"/>
        <v>18.579999999999998</v>
      </c>
      <c r="M50" s="1"/>
      <c r="N50" s="5">
        <f t="shared" si="35"/>
        <v>-1</v>
      </c>
      <c r="O50" s="14"/>
      <c r="P50" s="1">
        <f>SUM(OSRRefP22_3x_0)</f>
        <v>0</v>
      </c>
      <c r="Q50" s="1"/>
      <c r="R50" s="5">
        <f t="shared" si="36"/>
        <v>0</v>
      </c>
      <c r="S50" s="1"/>
      <c r="T50" s="1">
        <f>SUM(OSRRefT22_3x_0)</f>
        <v>-18.579999999999998</v>
      </c>
      <c r="U50" s="1"/>
      <c r="V50" s="5">
        <f t="shared" si="37"/>
        <v>-1.0352945739030096E-4</v>
      </c>
      <c r="W50" s="1"/>
      <c r="X50" s="1">
        <f t="shared" si="38"/>
        <v>18.579999999999998</v>
      </c>
      <c r="Y50" s="1"/>
      <c r="Z50" s="5">
        <f t="shared" si="39"/>
        <v>-1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8"/>
      <c r="E51" s="3"/>
      <c r="F51" s="7">
        <f t="shared" si="32"/>
        <v>0</v>
      </c>
      <c r="G51" s="3"/>
      <c r="H51" s="8">
        <v>-18.579999999999998</v>
      </c>
      <c r="I51" s="3"/>
      <c r="J51" s="7">
        <f t="shared" si="33"/>
        <v>-1.0352945739030096E-4</v>
      </c>
      <c r="K51" s="3"/>
      <c r="L51" s="8">
        <f t="shared" si="34"/>
        <v>18.579999999999998</v>
      </c>
      <c r="M51" s="3"/>
      <c r="N51" s="7">
        <f t="shared" si="35"/>
        <v>-1</v>
      </c>
      <c r="O51" s="11"/>
      <c r="P51" s="8"/>
      <c r="Q51" s="3"/>
      <c r="R51" s="7">
        <f t="shared" si="36"/>
        <v>0</v>
      </c>
      <c r="S51" s="3"/>
      <c r="T51" s="8">
        <v>-18.579999999999998</v>
      </c>
      <c r="U51" s="3"/>
      <c r="V51" s="7">
        <f t="shared" si="37"/>
        <v>-1.0352945739030096E-4</v>
      </c>
      <c r="W51" s="3"/>
      <c r="X51" s="8">
        <f t="shared" si="38"/>
        <v>18.579999999999998</v>
      </c>
      <c r="Y51" s="3"/>
      <c r="Z51" s="7">
        <f t="shared" si="39"/>
        <v>-1</v>
      </c>
    </row>
    <row r="52" spans="1:26" s="27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282.82</v>
      </c>
      <c r="E52" s="1"/>
      <c r="F52" s="5">
        <f t="shared" si="32"/>
        <v>0.29009857320162885</v>
      </c>
      <c r="G52" s="1"/>
      <c r="H52" s="1">
        <f>SUM(OSRRefH22_4x_0)</f>
        <v>4169.26</v>
      </c>
      <c r="I52" s="1"/>
      <c r="J52" s="5">
        <f t="shared" si="33"/>
        <v>2.3231497605978809E-2</v>
      </c>
      <c r="K52" s="1"/>
      <c r="L52" s="1">
        <f t="shared" si="34"/>
        <v>-3886.44</v>
      </c>
      <c r="M52" s="1"/>
      <c r="N52" s="5">
        <f t="shared" si="35"/>
        <v>-0.93216542024244109</v>
      </c>
      <c r="O52" s="14"/>
      <c r="P52" s="1">
        <f>SUM(OSRRefP22_4x_0)</f>
        <v>282.82</v>
      </c>
      <c r="Q52" s="1"/>
      <c r="R52" s="5">
        <f t="shared" si="36"/>
        <v>0.29009857320162885</v>
      </c>
      <c r="S52" s="1"/>
      <c r="T52" s="1">
        <f>SUM(OSRRefT22_4x_0)</f>
        <v>4169.26</v>
      </c>
      <c r="U52" s="1"/>
      <c r="V52" s="5">
        <f t="shared" si="37"/>
        <v>2.3231497605978809E-2</v>
      </c>
      <c r="W52" s="1"/>
      <c r="X52" s="1">
        <f t="shared" si="38"/>
        <v>-3886.44</v>
      </c>
      <c r="Y52" s="1"/>
      <c r="Z52" s="5">
        <f t="shared" si="39"/>
        <v>-0.93216542024244109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8">
        <v>282.82</v>
      </c>
      <c r="E53" s="3"/>
      <c r="F53" s="7">
        <f t="shared" si="32"/>
        <v>0.29009857320162885</v>
      </c>
      <c r="G53" s="3"/>
      <c r="H53" s="8">
        <v>4169.26</v>
      </c>
      <c r="I53" s="3"/>
      <c r="J53" s="7">
        <f t="shared" si="33"/>
        <v>2.3231497605978809E-2</v>
      </c>
      <c r="K53" s="3"/>
      <c r="L53" s="8">
        <f t="shared" si="34"/>
        <v>-3886.44</v>
      </c>
      <c r="M53" s="3"/>
      <c r="N53" s="7">
        <f t="shared" si="35"/>
        <v>-0.93216542024244109</v>
      </c>
      <c r="O53" s="11"/>
      <c r="P53" s="8">
        <v>282.82</v>
      </c>
      <c r="Q53" s="3"/>
      <c r="R53" s="7">
        <f t="shared" si="36"/>
        <v>0.29009857320162885</v>
      </c>
      <c r="S53" s="3"/>
      <c r="T53" s="8">
        <v>4169.26</v>
      </c>
      <c r="U53" s="3"/>
      <c r="V53" s="7">
        <f t="shared" si="37"/>
        <v>2.3231497605978809E-2</v>
      </c>
      <c r="W53" s="3"/>
      <c r="X53" s="8">
        <f t="shared" si="38"/>
        <v>-3886.44</v>
      </c>
      <c r="Y53" s="3"/>
      <c r="Z53" s="7">
        <f t="shared" si="39"/>
        <v>-0.93216542024244109</v>
      </c>
    </row>
    <row r="54" spans="1:26" s="27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37556.01</v>
      </c>
      <c r="E54" s="1"/>
      <c r="F54" s="5">
        <f t="shared" si="32"/>
        <v>38.522540542203899</v>
      </c>
      <c r="G54" s="1"/>
      <c r="H54" s="1">
        <f>SUM(OSRRefH22_5x_0)</f>
        <v>39571.050000000003</v>
      </c>
      <c r="I54" s="1"/>
      <c r="J54" s="5">
        <f t="shared" si="33"/>
        <v>0.22049350564394346</v>
      </c>
      <c r="K54" s="1"/>
      <c r="L54" s="1">
        <f t="shared" si="34"/>
        <v>-2015.0400000000009</v>
      </c>
      <c r="M54" s="1"/>
      <c r="N54" s="5">
        <f t="shared" si="35"/>
        <v>-5.0922075608304578E-2</v>
      </c>
      <c r="O54" s="14"/>
      <c r="P54" s="1">
        <f>SUM(OSRRefP22_5x_0)</f>
        <v>37556.01</v>
      </c>
      <c r="Q54" s="1"/>
      <c r="R54" s="5">
        <f t="shared" si="36"/>
        <v>38.522540542203899</v>
      </c>
      <c r="S54" s="1"/>
      <c r="T54" s="1">
        <f>SUM(OSRRefT22_5x_0)</f>
        <v>39571.050000000003</v>
      </c>
      <c r="U54" s="1"/>
      <c r="V54" s="5">
        <f t="shared" si="37"/>
        <v>0.22049350564394346</v>
      </c>
      <c r="W54" s="1"/>
      <c r="X54" s="1">
        <f t="shared" si="38"/>
        <v>-2015.0400000000009</v>
      </c>
      <c r="Y54" s="1"/>
      <c r="Z54" s="5">
        <f t="shared" si="39"/>
        <v>-5.0922075608304578E-2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8">
        <v>23844.89</v>
      </c>
      <c r="E55" s="3"/>
      <c r="F55" s="7">
        <f t="shared" si="32"/>
        <v>24.458555148680393</v>
      </c>
      <c r="G55" s="3"/>
      <c r="H55" s="8">
        <v>24042.959999999999</v>
      </c>
      <c r="I55" s="3"/>
      <c r="J55" s="7">
        <f t="shared" si="33"/>
        <v>0.13396956958324599</v>
      </c>
      <c r="K55" s="3"/>
      <c r="L55" s="8">
        <f t="shared" si="34"/>
        <v>-198.06999999999971</v>
      </c>
      <c r="M55" s="3"/>
      <c r="N55" s="7">
        <f t="shared" si="35"/>
        <v>-8.2381703417549138E-3</v>
      </c>
      <c r="O55" s="11"/>
      <c r="P55" s="8">
        <v>23844.89</v>
      </c>
      <c r="Q55" s="3"/>
      <c r="R55" s="7">
        <f t="shared" si="36"/>
        <v>24.458555148680393</v>
      </c>
      <c r="S55" s="3"/>
      <c r="T55" s="8">
        <v>24042.959999999999</v>
      </c>
      <c r="U55" s="3"/>
      <c r="V55" s="7">
        <f t="shared" si="37"/>
        <v>0.13396956958324599</v>
      </c>
      <c r="W55" s="3"/>
      <c r="X55" s="8">
        <f t="shared" si="38"/>
        <v>-198.06999999999971</v>
      </c>
      <c r="Y55" s="3"/>
      <c r="Z55" s="7">
        <f t="shared" si="39"/>
        <v>-8.2381703417549138E-3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8">
        <v>13711.12</v>
      </c>
      <c r="E56" s="3"/>
      <c r="F56" s="7">
        <f t="shared" si="32"/>
        <v>14.063985393523506</v>
      </c>
      <c r="G56" s="3"/>
      <c r="H56" s="8">
        <v>15103.84</v>
      </c>
      <c r="I56" s="3"/>
      <c r="J56" s="7">
        <f t="shared" si="33"/>
        <v>8.4159976303009879E-2</v>
      </c>
      <c r="K56" s="3"/>
      <c r="L56" s="8">
        <f t="shared" si="34"/>
        <v>-1392.7199999999993</v>
      </c>
      <c r="M56" s="3"/>
      <c r="N56" s="7">
        <f t="shared" si="35"/>
        <v>-9.2209663237957984E-2</v>
      </c>
      <c r="O56" s="11"/>
      <c r="P56" s="8">
        <v>13711.12</v>
      </c>
      <c r="Q56" s="3"/>
      <c r="R56" s="7">
        <f t="shared" si="36"/>
        <v>14.063985393523506</v>
      </c>
      <c r="S56" s="3"/>
      <c r="T56" s="8">
        <v>15103.84</v>
      </c>
      <c r="U56" s="3"/>
      <c r="V56" s="7">
        <f t="shared" si="37"/>
        <v>8.4159976303009879E-2</v>
      </c>
      <c r="W56" s="3"/>
      <c r="X56" s="8">
        <f t="shared" si="38"/>
        <v>-1392.7199999999993</v>
      </c>
      <c r="Y56" s="3"/>
      <c r="Z56" s="7">
        <f t="shared" si="39"/>
        <v>-9.2209663237957984E-2</v>
      </c>
    </row>
    <row r="57" spans="1:26" s="24" customFormat="1" hidden="1" outlineLevel="2" x14ac:dyDescent="0.25">
      <c r="A57" s="29"/>
      <c r="B57" s="11" t="str">
        <f>CONCATENATE("          ", "6326", " - ", "VEHICLES DEPRECIATION EXPENSE")</f>
        <v xml:space="preserve">          6326 - VEHICLES DEPRECIATION EXPENSE</v>
      </c>
      <c r="C57" s="11"/>
      <c r="D57" s="8"/>
      <c r="E57" s="3"/>
      <c r="F57" s="7">
        <f t="shared" si="32"/>
        <v>0</v>
      </c>
      <c r="G57" s="3"/>
      <c r="H57" s="8">
        <v>424.25</v>
      </c>
      <c r="I57" s="3"/>
      <c r="J57" s="7">
        <f t="shared" si="33"/>
        <v>2.3639597576875773E-3</v>
      </c>
      <c r="K57" s="3"/>
      <c r="L57" s="8">
        <f t="shared" si="34"/>
        <v>-424.25</v>
      </c>
      <c r="M57" s="3"/>
      <c r="N57" s="7">
        <f t="shared" si="35"/>
        <v>-1</v>
      </c>
      <c r="O57" s="11"/>
      <c r="P57" s="8"/>
      <c r="Q57" s="3"/>
      <c r="R57" s="7">
        <f t="shared" si="36"/>
        <v>0</v>
      </c>
      <c r="S57" s="3"/>
      <c r="T57" s="8">
        <v>424.25</v>
      </c>
      <c r="U57" s="3"/>
      <c r="V57" s="7">
        <f t="shared" si="37"/>
        <v>2.3639597576875773E-3</v>
      </c>
      <c r="W57" s="3"/>
      <c r="X57" s="8">
        <f t="shared" si="38"/>
        <v>-424.25</v>
      </c>
      <c r="Y57" s="3"/>
      <c r="Z57" s="7">
        <f t="shared" si="39"/>
        <v>-1</v>
      </c>
    </row>
    <row r="58" spans="1:26" s="27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72" si="40">IF(D$12=0,0,D58/D$12)</f>
        <v>0</v>
      </c>
      <c r="G58" s="1"/>
      <c r="H58" s="1">
        <f>SUM(OSRRefH22_6x_0)</f>
        <v>109.76</v>
      </c>
      <c r="I58" s="1"/>
      <c r="J58" s="5">
        <f t="shared" ref="J58:J72" si="41">IF(H$12=0,0,H58/H$12)</f>
        <v>6.1159274720987275E-4</v>
      </c>
      <c r="K58" s="1"/>
      <c r="L58" s="1">
        <f t="shared" ref="L58:L72" si="42">+D58-H58</f>
        <v>-109.76</v>
      </c>
      <c r="M58" s="1"/>
      <c r="N58" s="5">
        <f t="shared" ref="N58:N72" si="43">IF(H58=0,0,L58/H58)</f>
        <v>-1</v>
      </c>
      <c r="O58" s="14"/>
      <c r="P58" s="1">
        <f>SUM(OSRRefP22_6x_0)</f>
        <v>0</v>
      </c>
      <c r="Q58" s="1"/>
      <c r="R58" s="5">
        <f t="shared" ref="R58:R72" si="44">IF(P$12=0,0,P58/P$12)</f>
        <v>0</v>
      </c>
      <c r="S58" s="1"/>
      <c r="T58" s="1">
        <f>SUM(OSRRefT22_6x_0)</f>
        <v>109.76</v>
      </c>
      <c r="U58" s="1"/>
      <c r="V58" s="5">
        <f t="shared" ref="V58:V72" si="45">IF(T$12=0,0,T58/T$12)</f>
        <v>6.1159274720987275E-4</v>
      </c>
      <c r="W58" s="1"/>
      <c r="X58" s="1">
        <f t="shared" ref="X58:X72" si="46">+P58-T58</f>
        <v>-109.76</v>
      </c>
      <c r="Y58" s="1"/>
      <c r="Z58" s="5">
        <f t="shared" ref="Z58:Z72" si="47">IF(T58=0,0,X58/T58)</f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8"/>
      <c r="E59" s="3"/>
      <c r="F59" s="7">
        <f t="shared" si="40"/>
        <v>0</v>
      </c>
      <c r="G59" s="3"/>
      <c r="H59" s="8">
        <v>109.76</v>
      </c>
      <c r="I59" s="3"/>
      <c r="J59" s="7">
        <f t="shared" si="41"/>
        <v>6.1159274720987275E-4</v>
      </c>
      <c r="K59" s="3"/>
      <c r="L59" s="8">
        <f t="shared" si="42"/>
        <v>-109.76</v>
      </c>
      <c r="M59" s="3"/>
      <c r="N59" s="7">
        <f t="shared" si="43"/>
        <v>-1</v>
      </c>
      <c r="O59" s="11"/>
      <c r="P59" s="8"/>
      <c r="Q59" s="3"/>
      <c r="R59" s="7">
        <f t="shared" si="44"/>
        <v>0</v>
      </c>
      <c r="S59" s="3"/>
      <c r="T59" s="8">
        <v>109.76</v>
      </c>
      <c r="U59" s="3"/>
      <c r="V59" s="7">
        <f t="shared" si="45"/>
        <v>6.1159274720987275E-4</v>
      </c>
      <c r="W59" s="3"/>
      <c r="X59" s="8">
        <f t="shared" si="46"/>
        <v>-109.76</v>
      </c>
      <c r="Y59" s="3"/>
      <c r="Z59" s="7">
        <f t="shared" si="47"/>
        <v>-1</v>
      </c>
    </row>
    <row r="60" spans="1:26" s="27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868.95</v>
      </c>
      <c r="E60" s="1"/>
      <c r="F60" s="5">
        <f t="shared" si="40"/>
        <v>0.89131304428101066</v>
      </c>
      <c r="G60" s="1"/>
      <c r="H60" s="1">
        <f>SUM(OSRRefH22_7x_0)</f>
        <v>1538.01</v>
      </c>
      <c r="I60" s="1"/>
      <c r="J60" s="5">
        <f t="shared" si="41"/>
        <v>8.5699322260956289E-3</v>
      </c>
      <c r="K60" s="1"/>
      <c r="L60" s="1">
        <f t="shared" si="42"/>
        <v>-669.06</v>
      </c>
      <c r="M60" s="1"/>
      <c r="N60" s="5">
        <f t="shared" si="43"/>
        <v>-0.43501667739481537</v>
      </c>
      <c r="O60" s="14"/>
      <c r="P60" s="1">
        <f>SUM(OSRRefP22_7x_0)</f>
        <v>868.95</v>
      </c>
      <c r="Q60" s="1"/>
      <c r="R60" s="5">
        <f t="shared" si="44"/>
        <v>0.89131304428101066</v>
      </c>
      <c r="S60" s="1"/>
      <c r="T60" s="1">
        <f>SUM(OSRRefT22_7x_0)</f>
        <v>1538.01</v>
      </c>
      <c r="U60" s="1"/>
      <c r="V60" s="5">
        <f t="shared" si="45"/>
        <v>8.5699322260956289E-3</v>
      </c>
      <c r="W60" s="1"/>
      <c r="X60" s="1">
        <f t="shared" si="46"/>
        <v>-669.06</v>
      </c>
      <c r="Y60" s="1"/>
      <c r="Z60" s="5">
        <f t="shared" si="47"/>
        <v>-0.43501667739481537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8">
        <v>868.95</v>
      </c>
      <c r="E61" s="3"/>
      <c r="F61" s="7">
        <f t="shared" si="40"/>
        <v>0.89131304428101066</v>
      </c>
      <c r="G61" s="3"/>
      <c r="H61" s="8">
        <v>1538.01</v>
      </c>
      <c r="I61" s="3"/>
      <c r="J61" s="7">
        <f t="shared" si="41"/>
        <v>8.5699322260956289E-3</v>
      </c>
      <c r="K61" s="3"/>
      <c r="L61" s="8">
        <f t="shared" si="42"/>
        <v>-669.06</v>
      </c>
      <c r="M61" s="3"/>
      <c r="N61" s="7">
        <f t="shared" si="43"/>
        <v>-0.43501667739481537</v>
      </c>
      <c r="O61" s="11"/>
      <c r="P61" s="8">
        <v>868.95</v>
      </c>
      <c r="Q61" s="3"/>
      <c r="R61" s="7">
        <f t="shared" si="44"/>
        <v>0.89131304428101066</v>
      </c>
      <c r="S61" s="3"/>
      <c r="T61" s="8">
        <v>1538.01</v>
      </c>
      <c r="U61" s="3"/>
      <c r="V61" s="7">
        <f t="shared" si="45"/>
        <v>8.5699322260956289E-3</v>
      </c>
      <c r="W61" s="3"/>
      <c r="X61" s="8">
        <f t="shared" si="46"/>
        <v>-669.06</v>
      </c>
      <c r="Y61" s="3"/>
      <c r="Z61" s="7">
        <f t="shared" si="47"/>
        <v>-0.43501667739481537</v>
      </c>
    </row>
    <row r="62" spans="1:26" s="27" customFormat="1" outlineLevel="1" collapsed="1" x14ac:dyDescent="0.25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4323.2</v>
      </c>
      <c r="E62" s="1"/>
      <c r="F62" s="5">
        <f t="shared" si="40"/>
        <v>4.4344606168774554</v>
      </c>
      <c r="G62" s="1"/>
      <c r="H62" s="1">
        <f>SUM(OSRRefH22_8x_0)</f>
        <v>17613.05</v>
      </c>
      <c r="I62" s="1"/>
      <c r="J62" s="5">
        <f t="shared" si="41"/>
        <v>9.8141523653834259E-2</v>
      </c>
      <c r="K62" s="1"/>
      <c r="L62" s="1">
        <f t="shared" si="42"/>
        <v>-13289.849999999999</v>
      </c>
      <c r="M62" s="1"/>
      <c r="N62" s="5">
        <f t="shared" si="43"/>
        <v>-0.75454563519662976</v>
      </c>
      <c r="O62" s="14"/>
      <c r="P62" s="1">
        <f>SUM(OSRRefP22_8x_0)</f>
        <v>4323.2</v>
      </c>
      <c r="Q62" s="1"/>
      <c r="R62" s="5">
        <f t="shared" si="44"/>
        <v>4.4344606168774554</v>
      </c>
      <c r="S62" s="1"/>
      <c r="T62" s="1">
        <f>SUM(OSRRefT22_8x_0)</f>
        <v>17613.05</v>
      </c>
      <c r="U62" s="1"/>
      <c r="V62" s="5">
        <f t="shared" si="45"/>
        <v>9.8141523653834259E-2</v>
      </c>
      <c r="W62" s="1"/>
      <c r="X62" s="1">
        <f t="shared" si="46"/>
        <v>-13289.849999999999</v>
      </c>
      <c r="Y62" s="1"/>
      <c r="Z62" s="5">
        <f t="shared" si="47"/>
        <v>-0.75454563519662976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8">
        <v>4323.2</v>
      </c>
      <c r="E63" s="3"/>
      <c r="F63" s="7">
        <f t="shared" si="40"/>
        <v>4.4344606168774554</v>
      </c>
      <c r="G63" s="3"/>
      <c r="H63" s="8">
        <v>17613.05</v>
      </c>
      <c r="I63" s="3"/>
      <c r="J63" s="7">
        <f t="shared" si="41"/>
        <v>9.8141523653834259E-2</v>
      </c>
      <c r="K63" s="3"/>
      <c r="L63" s="8">
        <f t="shared" si="42"/>
        <v>-13289.849999999999</v>
      </c>
      <c r="M63" s="3"/>
      <c r="N63" s="7">
        <f t="shared" si="43"/>
        <v>-0.75454563519662976</v>
      </c>
      <c r="O63" s="11"/>
      <c r="P63" s="8">
        <v>4323.2</v>
      </c>
      <c r="Q63" s="3"/>
      <c r="R63" s="7">
        <f t="shared" si="44"/>
        <v>4.4344606168774554</v>
      </c>
      <c r="S63" s="3"/>
      <c r="T63" s="8">
        <v>17613.05</v>
      </c>
      <c r="U63" s="3"/>
      <c r="V63" s="7">
        <f t="shared" si="45"/>
        <v>9.8141523653834259E-2</v>
      </c>
      <c r="W63" s="3"/>
      <c r="X63" s="8">
        <f t="shared" si="46"/>
        <v>-13289.849999999999</v>
      </c>
      <c r="Y63" s="3"/>
      <c r="Z63" s="7">
        <f t="shared" si="47"/>
        <v>-0.75454563519662976</v>
      </c>
    </row>
    <row r="64" spans="1:26" s="27" customFormat="1" outlineLevel="1" collapsed="1" x14ac:dyDescent="0.25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4240.13</v>
      </c>
      <c r="E64" s="1"/>
      <c r="F64" s="5">
        <f t="shared" si="40"/>
        <v>4.3492527515360395</v>
      </c>
      <c r="G64" s="1"/>
      <c r="H64" s="1">
        <f>SUM(OSRRefH22_9x_0)</f>
        <v>4240.13</v>
      </c>
      <c r="I64" s="1"/>
      <c r="J64" s="5">
        <f t="shared" si="41"/>
        <v>2.3626391720362589E-2</v>
      </c>
      <c r="K64" s="1"/>
      <c r="L64" s="1">
        <f t="shared" si="42"/>
        <v>0</v>
      </c>
      <c r="M64" s="1"/>
      <c r="N64" s="5">
        <f t="shared" si="43"/>
        <v>0</v>
      </c>
      <c r="O64" s="14"/>
      <c r="P64" s="1">
        <f>SUM(OSRRefP22_9x_0)</f>
        <v>4240.13</v>
      </c>
      <c r="Q64" s="1"/>
      <c r="R64" s="5">
        <f t="shared" si="44"/>
        <v>4.3492527515360395</v>
      </c>
      <c r="S64" s="1"/>
      <c r="T64" s="1">
        <f>SUM(OSRRefT22_9x_0)</f>
        <v>4240.13</v>
      </c>
      <c r="U64" s="1"/>
      <c r="V64" s="5">
        <f t="shared" si="45"/>
        <v>2.3626391720362589E-2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8">
        <v>4240.13</v>
      </c>
      <c r="E65" s="3"/>
      <c r="F65" s="7">
        <f t="shared" si="40"/>
        <v>4.3492527515360395</v>
      </c>
      <c r="G65" s="3"/>
      <c r="H65" s="8">
        <v>4240.13</v>
      </c>
      <c r="I65" s="3"/>
      <c r="J65" s="7">
        <f t="shared" si="41"/>
        <v>2.3626391720362589E-2</v>
      </c>
      <c r="K65" s="3"/>
      <c r="L65" s="8">
        <f t="shared" si="42"/>
        <v>0</v>
      </c>
      <c r="M65" s="3"/>
      <c r="N65" s="7">
        <f t="shared" si="43"/>
        <v>0</v>
      </c>
      <c r="O65" s="11"/>
      <c r="P65" s="8">
        <v>4240.13</v>
      </c>
      <c r="Q65" s="3"/>
      <c r="R65" s="7">
        <f t="shared" si="44"/>
        <v>4.3492527515360395</v>
      </c>
      <c r="S65" s="3"/>
      <c r="T65" s="8">
        <v>4240.13</v>
      </c>
      <c r="U65" s="3"/>
      <c r="V65" s="7">
        <f t="shared" si="45"/>
        <v>2.3626391720362589E-2</v>
      </c>
      <c r="W65" s="3"/>
      <c r="X65" s="8">
        <f t="shared" si="46"/>
        <v>0</v>
      </c>
      <c r="Y65" s="3"/>
      <c r="Z65" s="7">
        <f t="shared" si="47"/>
        <v>0</v>
      </c>
    </row>
    <row r="66" spans="1:26" s="27" customFormat="1" outlineLevel="1" collapsed="1" x14ac:dyDescent="0.25">
      <c r="A66" s="28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7510</v>
      </c>
      <c r="E66" s="1"/>
      <c r="F66" s="5">
        <f t="shared" si="40"/>
        <v>7.7032751741186365</v>
      </c>
      <c r="G66" s="1"/>
      <c r="H66" s="1">
        <f>SUM(OSRRefH22_10x_0)</f>
        <v>7630</v>
      </c>
      <c r="I66" s="1"/>
      <c r="J66" s="5">
        <f t="shared" si="41"/>
        <v>4.2515057044563855E-2</v>
      </c>
      <c r="K66" s="1"/>
      <c r="L66" s="1">
        <f t="shared" si="42"/>
        <v>-120</v>
      </c>
      <c r="M66" s="1"/>
      <c r="N66" s="5">
        <f t="shared" si="43"/>
        <v>-1.5727391874180863E-2</v>
      </c>
      <c r="O66" s="14"/>
      <c r="P66" s="1">
        <f>SUM(OSRRefP22_10x_0)</f>
        <v>7510</v>
      </c>
      <c r="Q66" s="1"/>
      <c r="R66" s="5">
        <f t="shared" si="44"/>
        <v>7.7032751741186365</v>
      </c>
      <c r="S66" s="1"/>
      <c r="T66" s="1">
        <f>SUM(OSRRefT22_10x_0)</f>
        <v>7630</v>
      </c>
      <c r="U66" s="1"/>
      <c r="V66" s="5">
        <f t="shared" si="45"/>
        <v>4.2515057044563855E-2</v>
      </c>
      <c r="W66" s="1"/>
      <c r="X66" s="1">
        <f t="shared" si="46"/>
        <v>-120</v>
      </c>
      <c r="Y66" s="1"/>
      <c r="Z66" s="5">
        <f t="shared" si="47"/>
        <v>-1.5727391874180863E-2</v>
      </c>
    </row>
    <row r="67" spans="1:26" s="24" customFormat="1" hidden="1" outlineLevel="2" x14ac:dyDescent="0.25">
      <c r="A67" s="29"/>
      <c r="B67" s="11" t="str">
        <f>CONCATENATE("          ", "6401", " - ", "INTEREST EXPENSE")</f>
        <v xml:space="preserve">          6401 - INTEREST EXPENSE</v>
      </c>
      <c r="C67" s="11"/>
      <c r="D67" s="8">
        <v>7510</v>
      </c>
      <c r="E67" s="3"/>
      <c r="F67" s="7">
        <f t="shared" si="40"/>
        <v>7.7032751741186365</v>
      </c>
      <c r="G67" s="3"/>
      <c r="H67" s="8">
        <v>7630</v>
      </c>
      <c r="I67" s="3"/>
      <c r="J67" s="7">
        <f t="shared" si="41"/>
        <v>4.2515057044563855E-2</v>
      </c>
      <c r="K67" s="3"/>
      <c r="L67" s="8">
        <f t="shared" si="42"/>
        <v>-120</v>
      </c>
      <c r="M67" s="3"/>
      <c r="N67" s="7">
        <f t="shared" si="43"/>
        <v>-1.5727391874180863E-2</v>
      </c>
      <c r="O67" s="11"/>
      <c r="P67" s="8">
        <v>7510</v>
      </c>
      <c r="Q67" s="3"/>
      <c r="R67" s="7">
        <f t="shared" si="44"/>
        <v>7.7032751741186365</v>
      </c>
      <c r="S67" s="3"/>
      <c r="T67" s="8">
        <v>7630</v>
      </c>
      <c r="U67" s="3"/>
      <c r="V67" s="7">
        <f t="shared" si="45"/>
        <v>4.2515057044563855E-2</v>
      </c>
      <c r="W67" s="3"/>
      <c r="X67" s="8">
        <f t="shared" si="46"/>
        <v>-120</v>
      </c>
      <c r="Y67" s="3"/>
      <c r="Z67" s="7">
        <f t="shared" si="47"/>
        <v>-1.5727391874180863E-2</v>
      </c>
    </row>
    <row r="68" spans="1:26" s="27" customFormat="1" outlineLevel="1" collapsed="1" x14ac:dyDescent="0.25">
      <c r="A68" s="28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0</v>
      </c>
      <c r="E68" s="1"/>
      <c r="F68" s="5">
        <f t="shared" si="40"/>
        <v>0</v>
      </c>
      <c r="G68" s="1"/>
      <c r="H68" s="1">
        <f>SUM(OSRRefH22_11x_0)</f>
        <v>1850</v>
      </c>
      <c r="I68" s="1"/>
      <c r="J68" s="5">
        <f t="shared" si="41"/>
        <v>1.0308369008183898E-2</v>
      </c>
      <c r="K68" s="1"/>
      <c r="L68" s="1">
        <f t="shared" si="42"/>
        <v>-1850</v>
      </c>
      <c r="M68" s="1"/>
      <c r="N68" s="5">
        <f t="shared" si="43"/>
        <v>-1</v>
      </c>
      <c r="O68" s="14"/>
      <c r="P68" s="1">
        <f>SUM(OSRRefP22_11x_0)</f>
        <v>0</v>
      </c>
      <c r="Q68" s="1"/>
      <c r="R68" s="5">
        <f t="shared" si="44"/>
        <v>0</v>
      </c>
      <c r="S68" s="1"/>
      <c r="T68" s="1">
        <f>SUM(OSRRefT22_11x_0)</f>
        <v>1850</v>
      </c>
      <c r="U68" s="1"/>
      <c r="V68" s="5">
        <f t="shared" si="45"/>
        <v>1.0308369008183898E-2</v>
      </c>
      <c r="W68" s="1"/>
      <c r="X68" s="1">
        <f t="shared" si="46"/>
        <v>-1850</v>
      </c>
      <c r="Y68" s="1"/>
      <c r="Z68" s="5">
        <f t="shared" si="47"/>
        <v>-1</v>
      </c>
    </row>
    <row r="69" spans="1:26" s="24" customFormat="1" hidden="1" outlineLevel="2" x14ac:dyDescent="0.25">
      <c r="A69" s="29"/>
      <c r="B69" s="11" t="str">
        <f>CONCATENATE("          ", "6273", " - ", "RENT")</f>
        <v xml:space="preserve">          6273 - RENT</v>
      </c>
      <c r="C69" s="11"/>
      <c r="D69" s="8"/>
      <c r="E69" s="3"/>
      <c r="F69" s="7">
        <f t="shared" si="40"/>
        <v>0</v>
      </c>
      <c r="G69" s="3"/>
      <c r="H69" s="8">
        <v>1850</v>
      </c>
      <c r="I69" s="3"/>
      <c r="J69" s="7">
        <f t="shared" si="41"/>
        <v>1.0308369008183898E-2</v>
      </c>
      <c r="K69" s="3"/>
      <c r="L69" s="8">
        <f t="shared" si="42"/>
        <v>-1850</v>
      </c>
      <c r="M69" s="3"/>
      <c r="N69" s="7">
        <f t="shared" si="43"/>
        <v>-1</v>
      </c>
      <c r="O69" s="11"/>
      <c r="P69" s="8"/>
      <c r="Q69" s="3"/>
      <c r="R69" s="7">
        <f t="shared" si="44"/>
        <v>0</v>
      </c>
      <c r="S69" s="3"/>
      <c r="T69" s="8">
        <v>1850</v>
      </c>
      <c r="U69" s="3"/>
      <c r="V69" s="7">
        <f t="shared" si="45"/>
        <v>1.0308369008183898E-2</v>
      </c>
      <c r="W69" s="3"/>
      <c r="X69" s="8">
        <f t="shared" si="46"/>
        <v>-1850</v>
      </c>
      <c r="Y69" s="3"/>
      <c r="Z69" s="7">
        <f t="shared" si="47"/>
        <v>-1</v>
      </c>
    </row>
    <row r="70" spans="1:26" s="27" customFormat="1" outlineLevel="1" collapsed="1" x14ac:dyDescent="0.25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4110.41</v>
      </c>
      <c r="E70" s="1"/>
      <c r="F70" s="5">
        <f t="shared" si="40"/>
        <v>4.2161943153727011</v>
      </c>
      <c r="G70" s="1"/>
      <c r="H70" s="1">
        <f>SUM(OSRRefH22_12x_0)</f>
        <v>25867.550000000003</v>
      </c>
      <c r="I70" s="1"/>
      <c r="J70" s="5">
        <f t="shared" si="41"/>
        <v>0.14413635175007966</v>
      </c>
      <c r="K70" s="1"/>
      <c r="L70" s="1">
        <f t="shared" si="42"/>
        <v>-21757.140000000003</v>
      </c>
      <c r="M70" s="1"/>
      <c r="N70" s="5">
        <f t="shared" si="43"/>
        <v>-0.84109782333464134</v>
      </c>
      <c r="O70" s="14"/>
      <c r="P70" s="1">
        <f>SUM(OSRRefP22_12x_0)</f>
        <v>4110.41</v>
      </c>
      <c r="Q70" s="1"/>
      <c r="R70" s="5">
        <f t="shared" si="44"/>
        <v>4.2161943153727011</v>
      </c>
      <c r="S70" s="1"/>
      <c r="T70" s="1">
        <f>SUM(OSRRefT22_12x_0)</f>
        <v>25867.550000000003</v>
      </c>
      <c r="U70" s="1"/>
      <c r="V70" s="5">
        <f t="shared" si="45"/>
        <v>0.14413635175007966</v>
      </c>
      <c r="W70" s="1"/>
      <c r="X70" s="1">
        <f t="shared" si="46"/>
        <v>-21757.140000000003</v>
      </c>
      <c r="Y70" s="1"/>
      <c r="Z70" s="5">
        <f t="shared" si="47"/>
        <v>-0.84109782333464134</v>
      </c>
    </row>
    <row r="71" spans="1:26" s="24" customFormat="1" hidden="1" outlineLevel="2" x14ac:dyDescent="0.25">
      <c r="A71" s="29"/>
      <c r="B71" s="11" t="str">
        <f>CONCATENATE("          ", "6373", " - ", "MAINTENANCE CONTRACTS")</f>
        <v xml:space="preserve">          6373 - MAINTENANCE CONTRACTS</v>
      </c>
      <c r="C71" s="11"/>
      <c r="D71" s="8">
        <v>2353.59</v>
      </c>
      <c r="E71" s="3"/>
      <c r="F71" s="7">
        <f t="shared" si="40"/>
        <v>2.4141613071975878</v>
      </c>
      <c r="G71" s="3"/>
      <c r="H71" s="8">
        <v>6028.88</v>
      </c>
      <c r="I71" s="3"/>
      <c r="J71" s="7">
        <f t="shared" si="41"/>
        <v>3.359347013300526E-2</v>
      </c>
      <c r="K71" s="3"/>
      <c r="L71" s="8">
        <f t="shared" si="42"/>
        <v>-3675.29</v>
      </c>
      <c r="M71" s="3"/>
      <c r="N71" s="7">
        <f t="shared" si="43"/>
        <v>-0.60961405766908616</v>
      </c>
      <c r="O71" s="11"/>
      <c r="P71" s="8">
        <v>2353.59</v>
      </c>
      <c r="Q71" s="3"/>
      <c r="R71" s="7">
        <f t="shared" si="44"/>
        <v>2.4141613071975878</v>
      </c>
      <c r="S71" s="3"/>
      <c r="T71" s="8">
        <v>6028.88</v>
      </c>
      <c r="U71" s="3"/>
      <c r="V71" s="7">
        <f t="shared" si="45"/>
        <v>3.359347013300526E-2</v>
      </c>
      <c r="W71" s="3"/>
      <c r="X71" s="8">
        <f t="shared" si="46"/>
        <v>-3675.29</v>
      </c>
      <c r="Y71" s="3"/>
      <c r="Z71" s="7">
        <f t="shared" si="47"/>
        <v>-0.60961405766908616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8">
        <v>1756.82</v>
      </c>
      <c r="E72" s="3"/>
      <c r="F72" s="7">
        <f t="shared" si="40"/>
        <v>1.8020330081751137</v>
      </c>
      <c r="G72" s="3"/>
      <c r="H72" s="8">
        <v>19838.670000000002</v>
      </c>
      <c r="I72" s="3"/>
      <c r="J72" s="7">
        <f t="shared" si="41"/>
        <v>0.1105428816170744</v>
      </c>
      <c r="K72" s="3"/>
      <c r="L72" s="8">
        <f t="shared" si="42"/>
        <v>-18081.850000000002</v>
      </c>
      <c r="M72" s="3"/>
      <c r="N72" s="7">
        <f t="shared" si="43"/>
        <v>-0.91144466841779215</v>
      </c>
      <c r="O72" s="11"/>
      <c r="P72" s="8">
        <v>1756.82</v>
      </c>
      <c r="Q72" s="3"/>
      <c r="R72" s="7">
        <f t="shared" si="44"/>
        <v>1.8020330081751137</v>
      </c>
      <c r="S72" s="3"/>
      <c r="T72" s="8">
        <v>19838.670000000002</v>
      </c>
      <c r="U72" s="3"/>
      <c r="V72" s="7">
        <f t="shared" si="45"/>
        <v>0.1105428816170744</v>
      </c>
      <c r="W72" s="3"/>
      <c r="X72" s="8">
        <f t="shared" si="46"/>
        <v>-18081.850000000002</v>
      </c>
      <c r="Y72" s="3"/>
      <c r="Z72" s="7">
        <f t="shared" si="47"/>
        <v>-0.91144466841779215</v>
      </c>
    </row>
    <row r="73" spans="1:26" s="27" customFormat="1" outlineLevel="1" collapsed="1" x14ac:dyDescent="0.25">
      <c r="A73" s="28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0</v>
      </c>
      <c r="E73" s="1"/>
      <c r="F73" s="5">
        <f t="shared" ref="F73:F75" si="48">IF(D$12=0,0,D73/D$12)</f>
        <v>0</v>
      </c>
      <c r="G73" s="1"/>
      <c r="H73" s="1">
        <f>SUM(OSRRefH22_13x_0)</f>
        <v>16858.099999999999</v>
      </c>
      <c r="I73" s="1"/>
      <c r="J73" s="5">
        <f t="shared" ref="J73:J75" si="49">IF(H$12=0,0,H73/H$12)</f>
        <v>9.3934873284791859E-2</v>
      </c>
      <c r="K73" s="1"/>
      <c r="L73" s="1">
        <f t="shared" ref="L73:L75" si="50">+D73-H73</f>
        <v>-16858.099999999999</v>
      </c>
      <c r="M73" s="1"/>
      <c r="N73" s="5">
        <f t="shared" ref="N73:N75" si="51">IF(H73=0,0,L73/H73)</f>
        <v>-1</v>
      </c>
      <c r="O73" s="14"/>
      <c r="P73" s="1">
        <f>SUM(OSRRefP22_13x_0)</f>
        <v>0</v>
      </c>
      <c r="Q73" s="1"/>
      <c r="R73" s="5">
        <f t="shared" ref="R73:R75" si="52">IF(P$12=0,0,P73/P$12)</f>
        <v>0</v>
      </c>
      <c r="S73" s="1"/>
      <c r="T73" s="1">
        <f>SUM(OSRRefT22_13x_0)</f>
        <v>16858.099999999999</v>
      </c>
      <c r="U73" s="1"/>
      <c r="V73" s="5">
        <f t="shared" ref="V73:V75" si="53">IF(T$12=0,0,T73/T$12)</f>
        <v>9.3934873284791859E-2</v>
      </c>
      <c r="W73" s="1"/>
      <c r="X73" s="1">
        <f t="shared" ref="X73:X75" si="54">+P73-T73</f>
        <v>-16858.099999999999</v>
      </c>
      <c r="Y73" s="1"/>
      <c r="Z73" s="5">
        <f t="shared" ref="Z73:Z75" si="55">IF(T73=0,0,X73/T73)</f>
        <v>-1</v>
      </c>
    </row>
    <row r="74" spans="1:26" s="24" customFormat="1" hidden="1" outlineLevel="2" x14ac:dyDescent="0.25">
      <c r="A74" s="29"/>
      <c r="B74" s="11" t="str">
        <f>CONCATENATE("          ", "6254", " - ", "ROYALTY &amp; COMMISSIONS")</f>
        <v xml:space="preserve">          6254 - ROYALTY &amp; COMMISSIONS</v>
      </c>
      <c r="C74" s="11"/>
      <c r="D74" s="8"/>
      <c r="E74" s="3"/>
      <c r="F74" s="7">
        <f t="shared" si="48"/>
        <v>0</v>
      </c>
      <c r="G74" s="3"/>
      <c r="H74" s="8">
        <v>13972.66</v>
      </c>
      <c r="I74" s="3"/>
      <c r="J74" s="7">
        <f t="shared" si="49"/>
        <v>7.7856938003184217E-2</v>
      </c>
      <c r="K74" s="3"/>
      <c r="L74" s="8">
        <f t="shared" si="50"/>
        <v>-13972.66</v>
      </c>
      <c r="M74" s="3"/>
      <c r="N74" s="7">
        <f t="shared" si="51"/>
        <v>-1</v>
      </c>
      <c r="O74" s="11"/>
      <c r="P74" s="8"/>
      <c r="Q74" s="3"/>
      <c r="R74" s="7">
        <f t="shared" si="52"/>
        <v>0</v>
      </c>
      <c r="S74" s="3"/>
      <c r="T74" s="8">
        <v>13972.66</v>
      </c>
      <c r="U74" s="3"/>
      <c r="V74" s="7">
        <f t="shared" si="53"/>
        <v>7.7856938003184217E-2</v>
      </c>
      <c r="W74" s="3"/>
      <c r="X74" s="8">
        <f t="shared" si="54"/>
        <v>-13972.66</v>
      </c>
      <c r="Y74" s="3"/>
      <c r="Z74" s="7">
        <f t="shared" si="55"/>
        <v>-1</v>
      </c>
    </row>
    <row r="75" spans="1:26" s="24" customFormat="1" hidden="1" outlineLevel="2" x14ac:dyDescent="0.25">
      <c r="A75" s="29"/>
      <c r="B75" s="11" t="str">
        <f>CONCATENATE("          ", "6259", " - ", "ROYALTY &amp; COMMISSIONS")</f>
        <v xml:space="preserve">          6259 - ROYALTY &amp; COMMISSIONS</v>
      </c>
      <c r="C75" s="11"/>
      <c r="D75" s="8"/>
      <c r="E75" s="3"/>
      <c r="F75" s="7">
        <f t="shared" si="48"/>
        <v>0</v>
      </c>
      <c r="G75" s="3"/>
      <c r="H75" s="8">
        <v>2885.44</v>
      </c>
      <c r="I75" s="3"/>
      <c r="J75" s="7">
        <f t="shared" si="49"/>
        <v>1.6077935281607645E-2</v>
      </c>
      <c r="K75" s="3"/>
      <c r="L75" s="8">
        <f t="shared" si="50"/>
        <v>-2885.44</v>
      </c>
      <c r="M75" s="3"/>
      <c r="N75" s="7">
        <f t="shared" si="51"/>
        <v>-1</v>
      </c>
      <c r="O75" s="11"/>
      <c r="P75" s="8"/>
      <c r="Q75" s="3"/>
      <c r="R75" s="7">
        <f t="shared" si="52"/>
        <v>0</v>
      </c>
      <c r="S75" s="3"/>
      <c r="T75" s="8">
        <v>2885.44</v>
      </c>
      <c r="U75" s="3"/>
      <c r="V75" s="7">
        <f t="shared" si="53"/>
        <v>1.6077935281607645E-2</v>
      </c>
      <c r="W75" s="3"/>
      <c r="X75" s="8">
        <f t="shared" si="54"/>
        <v>-2885.44</v>
      </c>
      <c r="Y75" s="3"/>
      <c r="Z75" s="7">
        <f t="shared" si="55"/>
        <v>-1</v>
      </c>
    </row>
    <row r="76" spans="1:26" s="27" customFormat="1" outlineLevel="1" collapsed="1" x14ac:dyDescent="0.25">
      <c r="A76" s="28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1607.1999999999998</v>
      </c>
      <c r="E76" s="1"/>
      <c r="F76" s="5">
        <f t="shared" ref="F76:F81" si="56">IF(D$12=0,0,D76/D$12)</f>
        <v>1.6485624314039242</v>
      </c>
      <c r="G76" s="1"/>
      <c r="H76" s="1">
        <f>SUM(OSRRefH22_14x_0)</f>
        <v>21675.299999999996</v>
      </c>
      <c r="I76" s="1"/>
      <c r="J76" s="5">
        <f t="shared" ref="J76:J81" si="57">IF(H$12=0,0,H76/H$12)</f>
        <v>0.12077675176383156</v>
      </c>
      <c r="K76" s="1"/>
      <c r="L76" s="1">
        <f t="shared" ref="L76:L81" si="58">+D76-H76</f>
        <v>-20068.099999999995</v>
      </c>
      <c r="M76" s="1"/>
      <c r="N76" s="5">
        <f t="shared" ref="N76:N81" si="59">IF(H76=0,0,L76/H76)</f>
        <v>-0.92585108395270188</v>
      </c>
      <c r="O76" s="14"/>
      <c r="P76" s="1">
        <f>SUM(OSRRefP22_14x_0)</f>
        <v>1607.1999999999998</v>
      </c>
      <c r="Q76" s="1"/>
      <c r="R76" s="5">
        <f t="shared" ref="R76:R81" si="60">IF(P$12=0,0,P76/P$12)</f>
        <v>1.6485624314039242</v>
      </c>
      <c r="S76" s="1"/>
      <c r="T76" s="1">
        <f>SUM(OSRRefT22_14x_0)</f>
        <v>21675.299999999996</v>
      </c>
      <c r="U76" s="1"/>
      <c r="V76" s="5">
        <f t="shared" ref="V76:V81" si="61">IF(T$12=0,0,T76/T$12)</f>
        <v>0.12077675176383156</v>
      </c>
      <c r="W76" s="1"/>
      <c r="X76" s="1">
        <f t="shared" ref="X76:X81" si="62">+P76-T76</f>
        <v>-20068.099999999995</v>
      </c>
      <c r="Y76" s="1"/>
      <c r="Z76" s="5">
        <f t="shared" ref="Z76:Z81" si="63">IF(T76=0,0,X76/T76)</f>
        <v>-0.92585108395270188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8">
        <v>286.62</v>
      </c>
      <c r="E77" s="3"/>
      <c r="F77" s="7">
        <f t="shared" si="56"/>
        <v>0.29399636889559039</v>
      </c>
      <c r="G77" s="3"/>
      <c r="H77" s="8">
        <v>1277.57</v>
      </c>
      <c r="I77" s="3"/>
      <c r="J77" s="7">
        <f t="shared" si="57"/>
        <v>7.1187367533975679E-3</v>
      </c>
      <c r="K77" s="3"/>
      <c r="L77" s="8">
        <f t="shared" si="58"/>
        <v>-990.94999999999993</v>
      </c>
      <c r="M77" s="3"/>
      <c r="N77" s="7">
        <f t="shared" si="59"/>
        <v>-0.77565221475144219</v>
      </c>
      <c r="O77" s="11"/>
      <c r="P77" s="8">
        <v>286.62</v>
      </c>
      <c r="Q77" s="3"/>
      <c r="R77" s="7">
        <f t="shared" si="60"/>
        <v>0.29399636889559039</v>
      </c>
      <c r="S77" s="3"/>
      <c r="T77" s="8">
        <v>1277.57</v>
      </c>
      <c r="U77" s="3"/>
      <c r="V77" s="7">
        <f t="shared" si="61"/>
        <v>7.1187367533975679E-3</v>
      </c>
      <c r="W77" s="3"/>
      <c r="X77" s="8">
        <f t="shared" si="62"/>
        <v>-990.94999999999993</v>
      </c>
      <c r="Y77" s="3"/>
      <c r="Z77" s="7">
        <f t="shared" si="63"/>
        <v>-0.77565221475144219</v>
      </c>
    </row>
    <row r="78" spans="1:26" s="24" customFormat="1" hidden="1" outlineLevel="2" x14ac:dyDescent="0.25">
      <c r="A78" s="29"/>
      <c r="B78" s="11" t="str">
        <f>CONCATENATE("          ", "6283", " - ", "PLANT SERVICE")</f>
        <v xml:space="preserve">          6283 - PLANT SERVICE</v>
      </c>
      <c r="C78" s="11"/>
      <c r="D78" s="8"/>
      <c r="E78" s="3"/>
      <c r="F78" s="7">
        <f t="shared" si="56"/>
        <v>0</v>
      </c>
      <c r="G78" s="3"/>
      <c r="H78" s="8">
        <v>199.78</v>
      </c>
      <c r="I78" s="3"/>
      <c r="J78" s="7">
        <f t="shared" si="57"/>
        <v>1.1131924110567453E-3</v>
      </c>
      <c r="K78" s="3"/>
      <c r="L78" s="8">
        <f t="shared" si="58"/>
        <v>-199.78</v>
      </c>
      <c r="M78" s="3"/>
      <c r="N78" s="7">
        <f t="shared" si="59"/>
        <v>-1</v>
      </c>
      <c r="O78" s="11"/>
      <c r="P78" s="8"/>
      <c r="Q78" s="3"/>
      <c r="R78" s="7">
        <f t="shared" si="60"/>
        <v>0</v>
      </c>
      <c r="S78" s="3"/>
      <c r="T78" s="8">
        <v>199.78</v>
      </c>
      <c r="U78" s="3"/>
      <c r="V78" s="7">
        <f t="shared" si="61"/>
        <v>1.1131924110567453E-3</v>
      </c>
      <c r="W78" s="3"/>
      <c r="X78" s="8">
        <f t="shared" si="62"/>
        <v>-199.78</v>
      </c>
      <c r="Y78" s="3"/>
      <c r="Z78" s="7">
        <f t="shared" si="63"/>
        <v>-1</v>
      </c>
    </row>
    <row r="79" spans="1:26" s="24" customFormat="1" hidden="1" outlineLevel="2" x14ac:dyDescent="0.25">
      <c r="A79" s="29"/>
      <c r="B79" s="11" t="str">
        <f>CONCATENATE("          ", "6284", " - ", "TRASH REMOVAL EXPENSE")</f>
        <v xml:space="preserve">          6284 - TRASH REMOVAL EXPENSE</v>
      </c>
      <c r="C79" s="11"/>
      <c r="D79" s="8">
        <v>1000</v>
      </c>
      <c r="E79" s="3"/>
      <c r="F79" s="7">
        <f t="shared" si="56"/>
        <v>1.0257357089372352</v>
      </c>
      <c r="G79" s="3"/>
      <c r="H79" s="8">
        <v>4199</v>
      </c>
      <c r="I79" s="3"/>
      <c r="J79" s="7">
        <f t="shared" si="57"/>
        <v>2.3397211602899558E-2</v>
      </c>
      <c r="K79" s="3"/>
      <c r="L79" s="8">
        <f t="shared" si="58"/>
        <v>-3199</v>
      </c>
      <c r="M79" s="3"/>
      <c r="N79" s="7">
        <f t="shared" si="59"/>
        <v>-0.7618480590616814</v>
      </c>
      <c r="O79" s="11"/>
      <c r="P79" s="8">
        <v>1000</v>
      </c>
      <c r="Q79" s="3"/>
      <c r="R79" s="7">
        <f t="shared" si="60"/>
        <v>1.0257357089372352</v>
      </c>
      <c r="S79" s="3"/>
      <c r="T79" s="8">
        <v>4199</v>
      </c>
      <c r="U79" s="3"/>
      <c r="V79" s="7">
        <f t="shared" si="61"/>
        <v>2.3397211602899558E-2</v>
      </c>
      <c r="W79" s="3"/>
      <c r="X79" s="8">
        <f t="shared" si="62"/>
        <v>-3199</v>
      </c>
      <c r="Y79" s="3"/>
      <c r="Z79" s="7">
        <f t="shared" si="63"/>
        <v>-0.7618480590616814</v>
      </c>
    </row>
    <row r="80" spans="1:26" s="24" customFormat="1" hidden="1" outlineLevel="2" x14ac:dyDescent="0.25">
      <c r="A80" s="29"/>
      <c r="B80" s="11" t="str">
        <f>CONCATENATE("          ", "6285", " - ", "JANITORIAL SERVICES")</f>
        <v xml:space="preserve">          6285 - JANITORIAL SERVICES</v>
      </c>
      <c r="C80" s="11"/>
      <c r="D80" s="8"/>
      <c r="E80" s="3"/>
      <c r="F80" s="7">
        <f t="shared" si="56"/>
        <v>0</v>
      </c>
      <c r="G80" s="3"/>
      <c r="H80" s="8">
        <v>12894.46</v>
      </c>
      <c r="I80" s="3"/>
      <c r="J80" s="7">
        <f t="shared" si="57"/>
        <v>7.1849109103387529E-2</v>
      </c>
      <c r="K80" s="3"/>
      <c r="L80" s="8">
        <f t="shared" si="58"/>
        <v>-12894.46</v>
      </c>
      <c r="M80" s="3"/>
      <c r="N80" s="7">
        <f t="shared" si="59"/>
        <v>-1</v>
      </c>
      <c r="O80" s="11"/>
      <c r="P80" s="8"/>
      <c r="Q80" s="3"/>
      <c r="R80" s="7">
        <f t="shared" si="60"/>
        <v>0</v>
      </c>
      <c r="S80" s="3"/>
      <c r="T80" s="8">
        <v>12894.46</v>
      </c>
      <c r="U80" s="3"/>
      <c r="V80" s="7">
        <f t="shared" si="61"/>
        <v>7.1849109103387529E-2</v>
      </c>
      <c r="W80" s="3"/>
      <c r="X80" s="8">
        <f t="shared" si="62"/>
        <v>-12894.46</v>
      </c>
      <c r="Y80" s="3"/>
      <c r="Z80" s="7">
        <f t="shared" si="63"/>
        <v>-1</v>
      </c>
    </row>
    <row r="81" spans="1:26" s="24" customFormat="1" hidden="1" outlineLevel="2" x14ac:dyDescent="0.25">
      <c r="A81" s="29"/>
      <c r="B81" s="11" t="str">
        <f>CONCATENATE("          ", "6286", " - ", "LAUNDRY EXPENSE")</f>
        <v xml:space="preserve">          6286 - LAUNDRY EXPENSE</v>
      </c>
      <c r="C81" s="11"/>
      <c r="D81" s="8">
        <v>320.58</v>
      </c>
      <c r="E81" s="3"/>
      <c r="F81" s="7">
        <f t="shared" si="56"/>
        <v>0.32883035357109885</v>
      </c>
      <c r="G81" s="3"/>
      <c r="H81" s="8">
        <v>3104.49</v>
      </c>
      <c r="I81" s="3"/>
      <c r="J81" s="7">
        <f t="shared" si="57"/>
        <v>1.7298501893090176E-2</v>
      </c>
      <c r="K81" s="3"/>
      <c r="L81" s="8">
        <f t="shared" si="58"/>
        <v>-2783.91</v>
      </c>
      <c r="M81" s="3"/>
      <c r="N81" s="7">
        <f t="shared" si="59"/>
        <v>-0.89673666206043501</v>
      </c>
      <c r="O81" s="11"/>
      <c r="P81" s="8">
        <v>320.58</v>
      </c>
      <c r="Q81" s="3"/>
      <c r="R81" s="7">
        <f t="shared" si="60"/>
        <v>0.32883035357109885</v>
      </c>
      <c r="S81" s="3"/>
      <c r="T81" s="8">
        <v>3104.49</v>
      </c>
      <c r="U81" s="3"/>
      <c r="V81" s="7">
        <f t="shared" si="61"/>
        <v>1.7298501893090176E-2</v>
      </c>
      <c r="W81" s="3"/>
      <c r="X81" s="8">
        <f t="shared" si="62"/>
        <v>-2783.91</v>
      </c>
      <c r="Y81" s="3"/>
      <c r="Z81" s="7">
        <f t="shared" si="63"/>
        <v>-0.89673666206043501</v>
      </c>
    </row>
    <row r="82" spans="1:26" s="27" customFormat="1" outlineLevel="1" collapsed="1" x14ac:dyDescent="0.25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SUM(OSRRefD22_15x_0)</f>
        <v>9.32</v>
      </c>
      <c r="E82" s="1"/>
      <c r="F82" s="5">
        <f t="shared" ref="F82:F92" si="64">IF(D$12=0,0,D82/D$12)</f>
        <v>9.5598568072950332E-3</v>
      </c>
      <c r="G82" s="1"/>
      <c r="H82" s="1">
        <f>SUM(OSRRefH22_15x_0)</f>
        <v>393.42</v>
      </c>
      <c r="I82" s="1"/>
      <c r="J82" s="5">
        <f t="shared" ref="J82:J92" si="65">IF(H$12=0,0,H82/H$12)</f>
        <v>2.1921721811890317E-3</v>
      </c>
      <c r="K82" s="1"/>
      <c r="L82" s="1">
        <f t="shared" ref="L82:L92" si="66">+D82-H82</f>
        <v>-384.1</v>
      </c>
      <c r="M82" s="1"/>
      <c r="N82" s="5">
        <f t="shared" ref="N82:N92" si="67">IF(H82=0,0,L82/H82)</f>
        <v>-0.976310304509176</v>
      </c>
      <c r="O82" s="14"/>
      <c r="P82" s="1">
        <f>SUM(OSRRefP22_15x_0)</f>
        <v>9.32</v>
      </c>
      <c r="Q82" s="1"/>
      <c r="R82" s="5">
        <f t="shared" ref="R82:R92" si="68">IF(P$12=0,0,P82/P$12)</f>
        <v>9.5598568072950332E-3</v>
      </c>
      <c r="S82" s="1"/>
      <c r="T82" s="1">
        <f>SUM(OSRRefT22_15x_0)</f>
        <v>393.42</v>
      </c>
      <c r="U82" s="1"/>
      <c r="V82" s="5">
        <f t="shared" ref="V82:V92" si="69">IF(T$12=0,0,T82/T$12)</f>
        <v>2.1921721811890317E-3</v>
      </c>
      <c r="W82" s="1"/>
      <c r="X82" s="1">
        <f t="shared" ref="X82:X92" si="70">+P82-T82</f>
        <v>-384.1</v>
      </c>
      <c r="Y82" s="1"/>
      <c r="Z82" s="5">
        <f t="shared" ref="Z82:Z92" si="71">IF(T82=0,0,X82/T82)</f>
        <v>-0.976310304509176</v>
      </c>
    </row>
    <row r="83" spans="1:26" s="24" customFormat="1" hidden="1" outlineLevel="2" x14ac:dyDescent="0.25">
      <c r="A83" s="29"/>
      <c r="B83" s="11" t="str">
        <f>CONCATENATE("          ", "6275", " - ", "SUBSCRIPTIONS")</f>
        <v xml:space="preserve">          6275 - SUBSCRIPTIONS</v>
      </c>
      <c r="C83" s="11"/>
      <c r="D83" s="8">
        <v>9.32</v>
      </c>
      <c r="E83" s="3"/>
      <c r="F83" s="7">
        <f t="shared" si="64"/>
        <v>9.5598568072950332E-3</v>
      </c>
      <c r="G83" s="3"/>
      <c r="H83" s="8">
        <v>393.42</v>
      </c>
      <c r="I83" s="3"/>
      <c r="J83" s="7">
        <f t="shared" si="65"/>
        <v>2.1921721811890317E-3</v>
      </c>
      <c r="K83" s="3"/>
      <c r="L83" s="8">
        <f t="shared" si="66"/>
        <v>-384.1</v>
      </c>
      <c r="M83" s="3"/>
      <c r="N83" s="7">
        <f t="shared" si="67"/>
        <v>-0.976310304509176</v>
      </c>
      <c r="O83" s="11"/>
      <c r="P83" s="8">
        <v>9.32</v>
      </c>
      <c r="Q83" s="3"/>
      <c r="R83" s="7">
        <f t="shared" si="68"/>
        <v>9.5598568072950332E-3</v>
      </c>
      <c r="S83" s="3"/>
      <c r="T83" s="8">
        <v>393.42</v>
      </c>
      <c r="U83" s="3"/>
      <c r="V83" s="7">
        <f t="shared" si="69"/>
        <v>2.1921721811890317E-3</v>
      </c>
      <c r="W83" s="3"/>
      <c r="X83" s="8">
        <f t="shared" si="70"/>
        <v>-384.1</v>
      </c>
      <c r="Y83" s="3"/>
      <c r="Z83" s="7">
        <f t="shared" si="71"/>
        <v>-0.976310304509176</v>
      </c>
    </row>
    <row r="84" spans="1:26" s="27" customFormat="1" outlineLevel="1" collapsed="1" x14ac:dyDescent="0.25">
      <c r="A84" s="28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SUM(OSRRefD22_16x_0)</f>
        <v>486.14000000000004</v>
      </c>
      <c r="E84" s="1"/>
      <c r="F84" s="5">
        <f t="shared" si="64"/>
        <v>0.49865115754274758</v>
      </c>
      <c r="G84" s="1"/>
      <c r="H84" s="1">
        <f>SUM(OSRRefH22_16x_0)</f>
        <v>16804.8</v>
      </c>
      <c r="I84" s="1"/>
      <c r="J84" s="5">
        <f t="shared" si="65"/>
        <v>9.3637880815529054E-2</v>
      </c>
      <c r="K84" s="1"/>
      <c r="L84" s="1">
        <f t="shared" si="66"/>
        <v>-16318.66</v>
      </c>
      <c r="M84" s="1"/>
      <c r="N84" s="5">
        <f t="shared" si="67"/>
        <v>-0.97107136056364851</v>
      </c>
      <c r="O84" s="14"/>
      <c r="P84" s="1">
        <f>SUM(OSRRefP22_16x_0)</f>
        <v>486.14000000000004</v>
      </c>
      <c r="Q84" s="1"/>
      <c r="R84" s="5">
        <f t="shared" si="68"/>
        <v>0.49865115754274758</v>
      </c>
      <c r="S84" s="1"/>
      <c r="T84" s="1">
        <f>SUM(OSRRefT22_16x_0)</f>
        <v>16804.8</v>
      </c>
      <c r="U84" s="1"/>
      <c r="V84" s="5">
        <f t="shared" si="69"/>
        <v>9.3637880815529054E-2</v>
      </c>
      <c r="W84" s="1"/>
      <c r="X84" s="1">
        <f t="shared" si="70"/>
        <v>-16318.66</v>
      </c>
      <c r="Y84" s="1"/>
      <c r="Z84" s="5">
        <f t="shared" si="71"/>
        <v>-0.97107136056364851</v>
      </c>
    </row>
    <row r="85" spans="1:26" s="24" customFormat="1" hidden="1" outlineLevel="2" x14ac:dyDescent="0.25">
      <c r="A85" s="29"/>
      <c r="B85" s="11" t="str">
        <f>CONCATENATE("          ", "6235", " - ", "COVID-19 EXPENSES")</f>
        <v xml:space="preserve">          6235 - COVID-19 EXPENSES</v>
      </c>
      <c r="C85" s="11"/>
      <c r="D85" s="8">
        <v>535.82000000000005</v>
      </c>
      <c r="E85" s="3"/>
      <c r="F85" s="7">
        <f t="shared" si="64"/>
        <v>0.54960970756274941</v>
      </c>
      <c r="G85" s="3"/>
      <c r="H85" s="8"/>
      <c r="I85" s="3"/>
      <c r="J85" s="7">
        <f t="shared" si="65"/>
        <v>0</v>
      </c>
      <c r="K85" s="3"/>
      <c r="L85" s="8">
        <f t="shared" si="66"/>
        <v>535.82000000000005</v>
      </c>
      <c r="M85" s="3"/>
      <c r="N85" s="7">
        <f t="shared" si="67"/>
        <v>0</v>
      </c>
      <c r="O85" s="11"/>
      <c r="P85" s="8">
        <v>535.82000000000005</v>
      </c>
      <c r="Q85" s="3"/>
      <c r="R85" s="7">
        <f t="shared" si="68"/>
        <v>0.54960970756274941</v>
      </c>
      <c r="S85" s="3"/>
      <c r="T85" s="8"/>
      <c r="U85" s="3"/>
      <c r="V85" s="7">
        <f t="shared" si="69"/>
        <v>0</v>
      </c>
      <c r="W85" s="3"/>
      <c r="X85" s="8">
        <f t="shared" si="70"/>
        <v>535.82000000000005</v>
      </c>
      <c r="Y85" s="3"/>
      <c r="Z85" s="7">
        <f t="shared" si="71"/>
        <v>0</v>
      </c>
    </row>
    <row r="86" spans="1:26" s="24" customFormat="1" hidden="1" outlineLevel="2" x14ac:dyDescent="0.25">
      <c r="A86" s="29"/>
      <c r="B86" s="11" t="str">
        <f>CONCATENATE("          ", "6237", " - ", "JANITORIAL SUPPLIES")</f>
        <v xml:space="preserve">          6237 - JANITORIAL SUPPLIES</v>
      </c>
      <c r="C86" s="11"/>
      <c r="D86" s="8"/>
      <c r="E86" s="3"/>
      <c r="F86" s="7">
        <f t="shared" si="64"/>
        <v>0</v>
      </c>
      <c r="G86" s="3"/>
      <c r="H86" s="8">
        <v>3874.32</v>
      </c>
      <c r="I86" s="3"/>
      <c r="J86" s="7">
        <f t="shared" si="65"/>
        <v>2.1588064981506505E-2</v>
      </c>
      <c r="K86" s="3"/>
      <c r="L86" s="8">
        <f t="shared" si="66"/>
        <v>-3874.32</v>
      </c>
      <c r="M86" s="3"/>
      <c r="N86" s="7">
        <f t="shared" si="67"/>
        <v>-1</v>
      </c>
      <c r="O86" s="11"/>
      <c r="P86" s="8"/>
      <c r="Q86" s="3"/>
      <c r="R86" s="7">
        <f t="shared" si="68"/>
        <v>0</v>
      </c>
      <c r="S86" s="3"/>
      <c r="T86" s="8">
        <v>3874.32</v>
      </c>
      <c r="U86" s="3"/>
      <c r="V86" s="7">
        <f t="shared" si="69"/>
        <v>2.1588064981506505E-2</v>
      </c>
      <c r="W86" s="3"/>
      <c r="X86" s="8">
        <f t="shared" si="70"/>
        <v>-3874.32</v>
      </c>
      <c r="Y86" s="3"/>
      <c r="Z86" s="7">
        <f t="shared" si="71"/>
        <v>-1</v>
      </c>
    </row>
    <row r="87" spans="1:26" s="24" customFormat="1" hidden="1" outlineLevel="2" x14ac:dyDescent="0.25">
      <c r="A87" s="29"/>
      <c r="B87" s="11" t="str">
        <f>CONCATENATE("          ", "6239", " - ", "KITCHEN SUPPLIES")</f>
        <v xml:space="preserve">          6239 - KITCHEN SUPPLIES</v>
      </c>
      <c r="C87" s="11"/>
      <c r="D87" s="8"/>
      <c r="E87" s="3"/>
      <c r="F87" s="7">
        <f t="shared" si="64"/>
        <v>0</v>
      </c>
      <c r="G87" s="3"/>
      <c r="H87" s="8">
        <v>6419.53</v>
      </c>
      <c r="I87" s="3"/>
      <c r="J87" s="7">
        <f t="shared" si="65"/>
        <v>3.5770207621138791E-2</v>
      </c>
      <c r="K87" s="3"/>
      <c r="L87" s="8">
        <f t="shared" si="66"/>
        <v>-6419.53</v>
      </c>
      <c r="M87" s="3"/>
      <c r="N87" s="7">
        <f t="shared" si="67"/>
        <v>-1</v>
      </c>
      <c r="O87" s="11"/>
      <c r="P87" s="8"/>
      <c r="Q87" s="3"/>
      <c r="R87" s="7">
        <f t="shared" si="68"/>
        <v>0</v>
      </c>
      <c r="S87" s="3"/>
      <c r="T87" s="8">
        <v>6419.53</v>
      </c>
      <c r="U87" s="3"/>
      <c r="V87" s="7">
        <f t="shared" si="69"/>
        <v>3.5770207621138791E-2</v>
      </c>
      <c r="W87" s="3"/>
      <c r="X87" s="8">
        <f t="shared" si="70"/>
        <v>-6419.53</v>
      </c>
      <c r="Y87" s="3"/>
      <c r="Z87" s="7">
        <f t="shared" si="71"/>
        <v>-1</v>
      </c>
    </row>
    <row r="88" spans="1:26" s="24" customFormat="1" hidden="1" outlineLevel="2" x14ac:dyDescent="0.25">
      <c r="A88" s="29"/>
      <c r="B88" s="11" t="str">
        <f>CONCATENATE("          ", "6241", " - ", "OFFICE EXPENSE")</f>
        <v xml:space="preserve">          6241 - OFFICE EXPENSE</v>
      </c>
      <c r="C88" s="11"/>
      <c r="D88" s="8">
        <v>-49.68</v>
      </c>
      <c r="E88" s="3"/>
      <c r="F88" s="7">
        <f t="shared" si="64"/>
        <v>-5.0958550020001846E-2</v>
      </c>
      <c r="G88" s="3"/>
      <c r="H88" s="8">
        <v>2744.9</v>
      </c>
      <c r="I88" s="3"/>
      <c r="J88" s="7">
        <f t="shared" si="65"/>
        <v>1.5294833562467016E-2</v>
      </c>
      <c r="K88" s="3"/>
      <c r="L88" s="8">
        <f t="shared" si="66"/>
        <v>-2794.58</v>
      </c>
      <c r="M88" s="3"/>
      <c r="N88" s="7">
        <f t="shared" si="67"/>
        <v>-1.0180990200007285</v>
      </c>
      <c r="O88" s="11"/>
      <c r="P88" s="8">
        <v>-49.68</v>
      </c>
      <c r="Q88" s="3"/>
      <c r="R88" s="7">
        <f t="shared" si="68"/>
        <v>-5.0958550020001846E-2</v>
      </c>
      <c r="S88" s="3"/>
      <c r="T88" s="8">
        <v>2744.9</v>
      </c>
      <c r="U88" s="3"/>
      <c r="V88" s="7">
        <f t="shared" si="69"/>
        <v>1.5294833562467016E-2</v>
      </c>
      <c r="W88" s="3"/>
      <c r="X88" s="8">
        <f t="shared" si="70"/>
        <v>-2794.58</v>
      </c>
      <c r="Y88" s="3"/>
      <c r="Z88" s="7">
        <f t="shared" si="71"/>
        <v>-1.0180990200007285</v>
      </c>
    </row>
    <row r="89" spans="1:26" s="24" customFormat="1" hidden="1" outlineLevel="2" x14ac:dyDescent="0.25">
      <c r="A89" s="29"/>
      <c r="B89" s="11" t="str">
        <f>CONCATENATE("          ", "6243", " - ", "PAPER SUPPLIES")</f>
        <v xml:space="preserve">          6243 - PAPER SUPPLIES</v>
      </c>
      <c r="C89" s="11"/>
      <c r="D89" s="8"/>
      <c r="E89" s="3"/>
      <c r="F89" s="7">
        <f t="shared" si="64"/>
        <v>0</v>
      </c>
      <c r="G89" s="3"/>
      <c r="H89" s="8">
        <v>2838.31</v>
      </c>
      <c r="I89" s="3"/>
      <c r="J89" s="7">
        <f t="shared" si="65"/>
        <v>1.5815322616009965E-2</v>
      </c>
      <c r="K89" s="3"/>
      <c r="L89" s="8">
        <f t="shared" si="66"/>
        <v>-2838.31</v>
      </c>
      <c r="M89" s="3"/>
      <c r="N89" s="7">
        <f t="shared" si="67"/>
        <v>-1</v>
      </c>
      <c r="O89" s="11"/>
      <c r="P89" s="8"/>
      <c r="Q89" s="3"/>
      <c r="R89" s="7">
        <f t="shared" si="68"/>
        <v>0</v>
      </c>
      <c r="S89" s="3"/>
      <c r="T89" s="8">
        <v>2838.31</v>
      </c>
      <c r="U89" s="3"/>
      <c r="V89" s="7">
        <f t="shared" si="69"/>
        <v>1.5815322616009965E-2</v>
      </c>
      <c r="W89" s="3"/>
      <c r="X89" s="8">
        <f t="shared" si="70"/>
        <v>-2838.31</v>
      </c>
      <c r="Y89" s="3"/>
      <c r="Z89" s="7">
        <f t="shared" si="71"/>
        <v>-1</v>
      </c>
    </row>
    <row r="90" spans="1:26" s="24" customFormat="1" hidden="1" outlineLevel="2" x14ac:dyDescent="0.25">
      <c r="A90" s="29"/>
      <c r="B90" s="11" t="str">
        <f>CONCATENATE("          ", "6245", " - ", "PRINTING")</f>
        <v xml:space="preserve">          6245 - PRINTING</v>
      </c>
      <c r="C90" s="11"/>
      <c r="D90" s="8"/>
      <c r="E90" s="3"/>
      <c r="F90" s="7">
        <f t="shared" si="64"/>
        <v>0</v>
      </c>
      <c r="G90" s="3"/>
      <c r="H90" s="8">
        <v>137.76</v>
      </c>
      <c r="I90" s="3"/>
      <c r="J90" s="7">
        <f t="shared" si="65"/>
        <v>7.6761130517157493E-4</v>
      </c>
      <c r="K90" s="3"/>
      <c r="L90" s="8">
        <f t="shared" si="66"/>
        <v>-137.76</v>
      </c>
      <c r="M90" s="3"/>
      <c r="N90" s="7">
        <f t="shared" si="67"/>
        <v>-1</v>
      </c>
      <c r="O90" s="11"/>
      <c r="P90" s="8"/>
      <c r="Q90" s="3"/>
      <c r="R90" s="7">
        <f t="shared" si="68"/>
        <v>0</v>
      </c>
      <c r="S90" s="3"/>
      <c r="T90" s="8">
        <v>137.76</v>
      </c>
      <c r="U90" s="3"/>
      <c r="V90" s="7">
        <f t="shared" si="69"/>
        <v>7.6761130517157493E-4</v>
      </c>
      <c r="W90" s="3"/>
      <c r="X90" s="8">
        <f t="shared" si="70"/>
        <v>-137.76</v>
      </c>
      <c r="Y90" s="3"/>
      <c r="Z90" s="7">
        <f t="shared" si="71"/>
        <v>-1</v>
      </c>
    </row>
    <row r="91" spans="1:26" s="24" customFormat="1" hidden="1" outlineLevel="2" x14ac:dyDescent="0.25">
      <c r="A91" s="29"/>
      <c r="B91" s="11" t="str">
        <f>CONCATENATE("          ", "6247", " - ", "STORE SUPPLIES")</f>
        <v xml:space="preserve">          6247 - STORE SUPPLIES</v>
      </c>
      <c r="C91" s="11"/>
      <c r="D91" s="8"/>
      <c r="E91" s="3"/>
      <c r="F91" s="7">
        <f t="shared" si="64"/>
        <v>0</v>
      </c>
      <c r="G91" s="3"/>
      <c r="H91" s="8">
        <v>210.54</v>
      </c>
      <c r="I91" s="3"/>
      <c r="J91" s="7">
        <f t="shared" si="65"/>
        <v>1.1731481140448852E-3</v>
      </c>
      <c r="K91" s="3"/>
      <c r="L91" s="8">
        <f t="shared" si="66"/>
        <v>-210.54</v>
      </c>
      <c r="M91" s="3"/>
      <c r="N91" s="7">
        <f t="shared" si="67"/>
        <v>-1</v>
      </c>
      <c r="O91" s="11"/>
      <c r="P91" s="8"/>
      <c r="Q91" s="3"/>
      <c r="R91" s="7">
        <f t="shared" si="68"/>
        <v>0</v>
      </c>
      <c r="S91" s="3"/>
      <c r="T91" s="8">
        <v>210.54</v>
      </c>
      <c r="U91" s="3"/>
      <c r="V91" s="7">
        <f t="shared" si="69"/>
        <v>1.1731481140448852E-3</v>
      </c>
      <c r="W91" s="3"/>
      <c r="X91" s="8">
        <f t="shared" si="70"/>
        <v>-210.54</v>
      </c>
      <c r="Y91" s="3"/>
      <c r="Z91" s="7">
        <f t="shared" si="71"/>
        <v>-1</v>
      </c>
    </row>
    <row r="92" spans="1:26" s="24" customFormat="1" hidden="1" outlineLevel="2" x14ac:dyDescent="0.25">
      <c r="A92" s="29"/>
      <c r="B92" s="11" t="str">
        <f>CONCATENATE("          ", "6248", " - ", "UNIFORMS")</f>
        <v xml:space="preserve">          6248 - UNIFORMS</v>
      </c>
      <c r="C92" s="11"/>
      <c r="D92" s="8"/>
      <c r="E92" s="3"/>
      <c r="F92" s="7">
        <f t="shared" si="64"/>
        <v>0</v>
      </c>
      <c r="G92" s="3"/>
      <c r="H92" s="8">
        <v>579.44000000000005</v>
      </c>
      <c r="I92" s="3"/>
      <c r="J92" s="7">
        <f t="shared" si="65"/>
        <v>3.2286926151903123E-3</v>
      </c>
      <c r="K92" s="3"/>
      <c r="L92" s="8">
        <f t="shared" si="66"/>
        <v>-579.44000000000005</v>
      </c>
      <c r="M92" s="3"/>
      <c r="N92" s="7">
        <f t="shared" si="67"/>
        <v>-1</v>
      </c>
      <c r="O92" s="11"/>
      <c r="P92" s="8"/>
      <c r="Q92" s="3"/>
      <c r="R92" s="7">
        <f t="shared" si="68"/>
        <v>0</v>
      </c>
      <c r="S92" s="3"/>
      <c r="T92" s="8">
        <v>579.44000000000005</v>
      </c>
      <c r="U92" s="3"/>
      <c r="V92" s="7">
        <f t="shared" si="69"/>
        <v>3.2286926151903123E-3</v>
      </c>
      <c r="W92" s="3"/>
      <c r="X92" s="8">
        <f t="shared" si="70"/>
        <v>-579.44000000000005</v>
      </c>
      <c r="Y92" s="3"/>
      <c r="Z92" s="7">
        <f t="shared" si="71"/>
        <v>-1</v>
      </c>
    </row>
    <row r="93" spans="1:26" s="27" customFormat="1" outlineLevel="1" collapsed="1" x14ac:dyDescent="0.25">
      <c r="A93" s="28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1203.82</v>
      </c>
      <c r="E93" s="1"/>
      <c r="F93" s="5">
        <f t="shared" ref="F93:F100" si="72">IF(D$12=0,0,D93/D$12)</f>
        <v>1.2348011611328225</v>
      </c>
      <c r="G93" s="1"/>
      <c r="H93" s="1">
        <f>SUM(OSRRefH22_17x_0)</f>
        <v>948.34</v>
      </c>
      <c r="I93" s="1"/>
      <c r="J93" s="5">
        <f t="shared" ref="J93:J100" si="73">IF(H$12=0,0,H93/H$12)</f>
        <v>5.2842371163357386E-3</v>
      </c>
      <c r="K93" s="1"/>
      <c r="L93" s="1">
        <f t="shared" ref="L93:L100" si="74">+D93-H93</f>
        <v>255.4799999999999</v>
      </c>
      <c r="M93" s="1"/>
      <c r="N93" s="5">
        <f t="shared" ref="N93:N100" si="75">IF(H93=0,0,L93/H93)</f>
        <v>0.26939705169032191</v>
      </c>
      <c r="O93" s="14"/>
      <c r="P93" s="1">
        <f>SUM(OSRRefP22_17x_0)</f>
        <v>1203.82</v>
      </c>
      <c r="Q93" s="1"/>
      <c r="R93" s="5">
        <f t="shared" ref="R93:R100" si="76">IF(P$12=0,0,P93/P$12)</f>
        <v>1.2348011611328225</v>
      </c>
      <c r="S93" s="1"/>
      <c r="T93" s="1">
        <f>SUM(OSRRefT22_17x_0)</f>
        <v>948.34</v>
      </c>
      <c r="U93" s="1"/>
      <c r="V93" s="5">
        <f t="shared" ref="V93:V100" si="77">IF(T$12=0,0,T93/T$12)</f>
        <v>5.2842371163357386E-3</v>
      </c>
      <c r="W93" s="1"/>
      <c r="X93" s="1">
        <f t="shared" ref="X93:X100" si="78">+P93-T93</f>
        <v>255.4799999999999</v>
      </c>
      <c r="Y93" s="1"/>
      <c r="Z93" s="5">
        <f t="shared" ref="Z93:Z100" si="79">IF(T93=0,0,X93/T93)</f>
        <v>0.26939705169032191</v>
      </c>
    </row>
    <row r="94" spans="1:26" s="24" customFormat="1" hidden="1" outlineLevel="2" x14ac:dyDescent="0.25">
      <c r="A94" s="29"/>
      <c r="B94" s="11" t="str">
        <f>CONCATENATE("          ", "6309", " - ", "TELEPHONE")</f>
        <v xml:space="preserve">          6309 - TELEPHONE</v>
      </c>
      <c r="C94" s="11"/>
      <c r="D94" s="8">
        <v>1203.82</v>
      </c>
      <c r="E94" s="3"/>
      <c r="F94" s="7">
        <f t="shared" si="72"/>
        <v>1.2348011611328225</v>
      </c>
      <c r="G94" s="3"/>
      <c r="H94" s="8">
        <v>948.34</v>
      </c>
      <c r="I94" s="3"/>
      <c r="J94" s="7">
        <f t="shared" si="73"/>
        <v>5.2842371163357386E-3</v>
      </c>
      <c r="K94" s="3"/>
      <c r="L94" s="8">
        <f t="shared" si="74"/>
        <v>255.4799999999999</v>
      </c>
      <c r="M94" s="3"/>
      <c r="N94" s="7">
        <f t="shared" si="75"/>
        <v>0.26939705169032191</v>
      </c>
      <c r="O94" s="11"/>
      <c r="P94" s="8">
        <v>1203.82</v>
      </c>
      <c r="Q94" s="3"/>
      <c r="R94" s="7">
        <f t="shared" si="76"/>
        <v>1.2348011611328225</v>
      </c>
      <c r="S94" s="3"/>
      <c r="T94" s="8">
        <v>948.34</v>
      </c>
      <c r="U94" s="3"/>
      <c r="V94" s="7">
        <f t="shared" si="77"/>
        <v>5.2842371163357386E-3</v>
      </c>
      <c r="W94" s="3"/>
      <c r="X94" s="8">
        <f t="shared" si="78"/>
        <v>255.4799999999999</v>
      </c>
      <c r="Y94" s="3"/>
      <c r="Z94" s="7">
        <f t="shared" si="79"/>
        <v>0.26939705169032191</v>
      </c>
    </row>
    <row r="95" spans="1:26" s="27" customFormat="1" outlineLevel="1" collapsed="1" x14ac:dyDescent="0.25">
      <c r="A95" s="28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SUM(OSRRefD22_18x_0)</f>
        <v>0</v>
      </c>
      <c r="E95" s="1"/>
      <c r="F95" s="5">
        <f t="shared" si="72"/>
        <v>0</v>
      </c>
      <c r="G95" s="1"/>
      <c r="H95" s="1">
        <f>SUM(OSRRefH22_18x_0)</f>
        <v>868.85</v>
      </c>
      <c r="I95" s="1"/>
      <c r="J95" s="5">
        <f t="shared" si="73"/>
        <v>4.8413115744651777E-3</v>
      </c>
      <c r="K95" s="1"/>
      <c r="L95" s="1">
        <f t="shared" si="74"/>
        <v>-868.85</v>
      </c>
      <c r="M95" s="1"/>
      <c r="N95" s="5">
        <f t="shared" si="75"/>
        <v>-1</v>
      </c>
      <c r="O95" s="14"/>
      <c r="P95" s="1">
        <f>SUM(OSRRefP22_18x_0)</f>
        <v>0</v>
      </c>
      <c r="Q95" s="1"/>
      <c r="R95" s="5">
        <f t="shared" si="76"/>
        <v>0</v>
      </c>
      <c r="S95" s="1"/>
      <c r="T95" s="1">
        <f>SUM(OSRRefT22_18x_0)</f>
        <v>868.85</v>
      </c>
      <c r="U95" s="1"/>
      <c r="V95" s="5">
        <f t="shared" si="77"/>
        <v>4.8413115744651777E-3</v>
      </c>
      <c r="W95" s="1"/>
      <c r="X95" s="1">
        <f t="shared" si="78"/>
        <v>-868.85</v>
      </c>
      <c r="Y95" s="1"/>
      <c r="Z95" s="5">
        <f t="shared" si="79"/>
        <v>-1</v>
      </c>
    </row>
    <row r="96" spans="1:26" s="24" customFormat="1" hidden="1" outlineLevel="2" x14ac:dyDescent="0.25">
      <c r="A96" s="29"/>
      <c r="B96" s="11" t="str">
        <f>CONCATENATE("          ", "6376", " - ", "TRAINING")</f>
        <v xml:space="preserve">          6376 - TRAINING</v>
      </c>
      <c r="C96" s="11"/>
      <c r="D96" s="8"/>
      <c r="E96" s="3"/>
      <c r="F96" s="7">
        <f t="shared" si="72"/>
        <v>0</v>
      </c>
      <c r="G96" s="3"/>
      <c r="H96" s="8">
        <v>868.85</v>
      </c>
      <c r="I96" s="3"/>
      <c r="J96" s="7">
        <f t="shared" si="73"/>
        <v>4.8413115744651777E-3</v>
      </c>
      <c r="K96" s="3"/>
      <c r="L96" s="8">
        <f t="shared" si="74"/>
        <v>-868.85</v>
      </c>
      <c r="M96" s="3"/>
      <c r="N96" s="7">
        <f t="shared" si="75"/>
        <v>-1</v>
      </c>
      <c r="O96" s="11"/>
      <c r="P96" s="8"/>
      <c r="Q96" s="3"/>
      <c r="R96" s="7">
        <f t="shared" si="76"/>
        <v>0</v>
      </c>
      <c r="S96" s="3"/>
      <c r="T96" s="8">
        <v>868.85</v>
      </c>
      <c r="U96" s="3"/>
      <c r="V96" s="7">
        <f t="shared" si="77"/>
        <v>4.8413115744651777E-3</v>
      </c>
      <c r="W96" s="3"/>
      <c r="X96" s="8">
        <f t="shared" si="78"/>
        <v>-868.85</v>
      </c>
      <c r="Y96" s="3"/>
      <c r="Z96" s="7">
        <f t="shared" si="79"/>
        <v>-1</v>
      </c>
    </row>
    <row r="97" spans="1:26" s="27" customFormat="1" outlineLevel="1" collapsed="1" x14ac:dyDescent="0.25">
      <c r="A97" s="28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179.69</v>
      </c>
      <c r="E97" s="1"/>
      <c r="F97" s="5">
        <f t="shared" si="72"/>
        <v>0.18431444953893181</v>
      </c>
      <c r="G97" s="1"/>
      <c r="H97" s="1">
        <f>SUM(OSRRefH22_19x_0)</f>
        <v>764.32</v>
      </c>
      <c r="I97" s="1"/>
      <c r="J97" s="5">
        <f t="shared" si="73"/>
        <v>4.2588608650460085E-3</v>
      </c>
      <c r="K97" s="1"/>
      <c r="L97" s="1">
        <f t="shared" si="74"/>
        <v>-584.63000000000011</v>
      </c>
      <c r="M97" s="1"/>
      <c r="N97" s="5">
        <f t="shared" si="75"/>
        <v>-0.76490213523131678</v>
      </c>
      <c r="O97" s="14"/>
      <c r="P97" s="1">
        <f>SUM(OSRRefP22_19x_0)</f>
        <v>179.69</v>
      </c>
      <c r="Q97" s="1"/>
      <c r="R97" s="5">
        <f t="shared" si="76"/>
        <v>0.18431444953893181</v>
      </c>
      <c r="S97" s="1"/>
      <c r="T97" s="1">
        <f>SUM(OSRRefT22_19x_0)</f>
        <v>764.32</v>
      </c>
      <c r="U97" s="1"/>
      <c r="V97" s="5">
        <f t="shared" si="77"/>
        <v>4.2588608650460085E-3</v>
      </c>
      <c r="W97" s="1"/>
      <c r="X97" s="1">
        <f t="shared" si="78"/>
        <v>-584.63000000000011</v>
      </c>
      <c r="Y97" s="1"/>
      <c r="Z97" s="5">
        <f t="shared" si="79"/>
        <v>-0.76490213523131678</v>
      </c>
    </row>
    <row r="98" spans="1:26" s="24" customFormat="1" hidden="1" outlineLevel="2" x14ac:dyDescent="0.25">
      <c r="A98" s="29"/>
      <c r="B98" s="11" t="str">
        <f>CONCATENATE("          ", "6292", " - ", "TRAVEL/CONFERENCE")</f>
        <v xml:space="preserve">          6292 - TRAVEL/CONFERENCE</v>
      </c>
      <c r="C98" s="11"/>
      <c r="D98" s="8"/>
      <c r="E98" s="3"/>
      <c r="F98" s="7">
        <f t="shared" si="72"/>
        <v>0</v>
      </c>
      <c r="G98" s="3"/>
      <c r="H98" s="8">
        <v>505.23</v>
      </c>
      <c r="I98" s="3"/>
      <c r="J98" s="7">
        <f t="shared" si="73"/>
        <v>2.8151877156782435E-3</v>
      </c>
      <c r="K98" s="3"/>
      <c r="L98" s="8">
        <f t="shared" si="74"/>
        <v>-505.23</v>
      </c>
      <c r="M98" s="3"/>
      <c r="N98" s="7">
        <f t="shared" si="75"/>
        <v>-1</v>
      </c>
      <c r="O98" s="11"/>
      <c r="P98" s="8"/>
      <c r="Q98" s="3"/>
      <c r="R98" s="7">
        <f t="shared" si="76"/>
        <v>0</v>
      </c>
      <c r="S98" s="3"/>
      <c r="T98" s="8">
        <v>505.23</v>
      </c>
      <c r="U98" s="3"/>
      <c r="V98" s="7">
        <f t="shared" si="77"/>
        <v>2.8151877156782435E-3</v>
      </c>
      <c r="W98" s="3"/>
      <c r="X98" s="8">
        <f t="shared" si="78"/>
        <v>-505.23</v>
      </c>
      <c r="Y98" s="3"/>
      <c r="Z98" s="7">
        <f t="shared" si="79"/>
        <v>-1</v>
      </c>
    </row>
    <row r="99" spans="1:26" s="24" customFormat="1" hidden="1" outlineLevel="2" x14ac:dyDescent="0.25">
      <c r="A99" s="29"/>
      <c r="B99" s="11" t="str">
        <f>CONCATENATE("          ", "6294", " - ", "TRAVEL OPERATIONAL")</f>
        <v xml:space="preserve">          6294 - TRAVEL OPERATIONAL</v>
      </c>
      <c r="C99" s="11"/>
      <c r="D99" s="8"/>
      <c r="E99" s="3"/>
      <c r="F99" s="7">
        <f t="shared" si="72"/>
        <v>0</v>
      </c>
      <c r="G99" s="3"/>
      <c r="H99" s="8">
        <v>45.49</v>
      </c>
      <c r="I99" s="3"/>
      <c r="J99" s="7">
        <f t="shared" si="73"/>
        <v>2.5347443577420839E-4</v>
      </c>
      <c r="K99" s="3"/>
      <c r="L99" s="8">
        <f t="shared" si="74"/>
        <v>-45.49</v>
      </c>
      <c r="M99" s="3"/>
      <c r="N99" s="7">
        <f t="shared" si="75"/>
        <v>-1</v>
      </c>
      <c r="O99" s="11"/>
      <c r="P99" s="8"/>
      <c r="Q99" s="3"/>
      <c r="R99" s="7">
        <f t="shared" si="76"/>
        <v>0</v>
      </c>
      <c r="S99" s="3"/>
      <c r="T99" s="8">
        <v>45.49</v>
      </c>
      <c r="U99" s="3"/>
      <c r="V99" s="7">
        <f t="shared" si="77"/>
        <v>2.5347443577420839E-4</v>
      </c>
      <c r="W99" s="3"/>
      <c r="X99" s="8">
        <f t="shared" si="78"/>
        <v>-45.49</v>
      </c>
      <c r="Y99" s="3"/>
      <c r="Z99" s="7">
        <f t="shared" si="79"/>
        <v>-1</v>
      </c>
    </row>
    <row r="100" spans="1:26" s="24" customFormat="1" hidden="1" outlineLevel="2" x14ac:dyDescent="0.25">
      <c r="A100" s="29"/>
      <c r="B100" s="11" t="str">
        <f>CONCATENATE("          ", "6298", " - ", "VEHICLE MILEAGE")</f>
        <v xml:space="preserve">          6298 - VEHICLE MILEAGE</v>
      </c>
      <c r="C100" s="11"/>
      <c r="D100" s="8">
        <v>179.69</v>
      </c>
      <c r="E100" s="3"/>
      <c r="F100" s="7">
        <f t="shared" si="72"/>
        <v>0.18431444953893181</v>
      </c>
      <c r="G100" s="3"/>
      <c r="H100" s="8">
        <v>213.6</v>
      </c>
      <c r="I100" s="3"/>
      <c r="J100" s="7">
        <f t="shared" si="73"/>
        <v>1.190198713593557E-3</v>
      </c>
      <c r="K100" s="3"/>
      <c r="L100" s="8">
        <f t="shared" si="74"/>
        <v>-33.909999999999997</v>
      </c>
      <c r="M100" s="3"/>
      <c r="N100" s="7">
        <f t="shared" si="75"/>
        <v>-0.15875468164794007</v>
      </c>
      <c r="O100" s="11"/>
      <c r="P100" s="8">
        <v>179.69</v>
      </c>
      <c r="Q100" s="3"/>
      <c r="R100" s="7">
        <f t="shared" si="76"/>
        <v>0.18431444953893181</v>
      </c>
      <c r="S100" s="3"/>
      <c r="T100" s="8">
        <v>213.6</v>
      </c>
      <c r="U100" s="3"/>
      <c r="V100" s="7">
        <f t="shared" si="77"/>
        <v>1.190198713593557E-3</v>
      </c>
      <c r="W100" s="3"/>
      <c r="X100" s="8">
        <f t="shared" si="78"/>
        <v>-33.909999999999997</v>
      </c>
      <c r="Y100" s="3"/>
      <c r="Z100" s="7">
        <f t="shared" si="79"/>
        <v>-0.15875468164794007</v>
      </c>
    </row>
    <row r="101" spans="1:26" s="27" customFormat="1" outlineLevel="1" collapsed="1" x14ac:dyDescent="0.25">
      <c r="A101" s="28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SUM(OSRRefD22_20x_0)</f>
        <v>2300</v>
      </c>
      <c r="E101" s="1"/>
      <c r="F101" s="5">
        <f t="shared" ref="F101:F102" si="80">IF(D$12=0,0,D101/D$12)</f>
        <v>2.3591921305556411</v>
      </c>
      <c r="G101" s="1"/>
      <c r="H101" s="1">
        <f>SUM(OSRRefH22_20x_0)</f>
        <v>13691</v>
      </c>
      <c r="I101" s="1"/>
      <c r="J101" s="5">
        <f t="shared" ref="J101:J102" si="81">IF(H$12=0,0,H101/H$12)</f>
        <v>7.6287502751916605E-2</v>
      </c>
      <c r="K101" s="1"/>
      <c r="L101" s="1">
        <f t="shared" ref="L101:L102" si="82">+D101-H101</f>
        <v>-11391</v>
      </c>
      <c r="M101" s="1"/>
      <c r="N101" s="5">
        <f t="shared" ref="N101:N102" si="83">IF(H101=0,0,L101/H101)</f>
        <v>-0.83200642758016219</v>
      </c>
      <c r="O101" s="14"/>
      <c r="P101" s="1">
        <f>SUM(OSRRefP22_20x_0)</f>
        <v>2300</v>
      </c>
      <c r="Q101" s="1"/>
      <c r="R101" s="5">
        <f t="shared" ref="R101:R102" si="84">IF(P$12=0,0,P101/P$12)</f>
        <v>2.3591921305556411</v>
      </c>
      <c r="S101" s="1"/>
      <c r="T101" s="1">
        <f>SUM(OSRRefT22_20x_0)</f>
        <v>13691</v>
      </c>
      <c r="U101" s="1"/>
      <c r="V101" s="5">
        <f t="shared" ref="V101:V102" si="85">IF(T$12=0,0,T101/T$12)</f>
        <v>7.6287502751916605E-2</v>
      </c>
      <c r="W101" s="1"/>
      <c r="X101" s="1">
        <f t="shared" ref="X101:X102" si="86">+P101-T101</f>
        <v>-11391</v>
      </c>
      <c r="Y101" s="1"/>
      <c r="Z101" s="5">
        <f t="shared" ref="Z101:Z102" si="87">IF(T101=0,0,X101/T101)</f>
        <v>-0.83200642758016219</v>
      </c>
    </row>
    <row r="102" spans="1:26" s="24" customFormat="1" hidden="1" outlineLevel="2" x14ac:dyDescent="0.25">
      <c r="A102" s="29"/>
      <c r="B102" s="11" t="str">
        <f>CONCATENATE("          ", "6274", " - ", "UTILITIES")</f>
        <v xml:space="preserve">          6274 - UTILITIES</v>
      </c>
      <c r="C102" s="11"/>
      <c r="D102" s="8">
        <v>2300</v>
      </c>
      <c r="E102" s="3"/>
      <c r="F102" s="7">
        <f t="shared" si="80"/>
        <v>2.3591921305556411</v>
      </c>
      <c r="G102" s="3"/>
      <c r="H102" s="8">
        <v>13691</v>
      </c>
      <c r="I102" s="3"/>
      <c r="J102" s="7">
        <f t="shared" si="81"/>
        <v>7.6287502751916605E-2</v>
      </c>
      <c r="K102" s="3"/>
      <c r="L102" s="8">
        <f t="shared" si="82"/>
        <v>-11391</v>
      </c>
      <c r="M102" s="3"/>
      <c r="N102" s="7">
        <f t="shared" si="83"/>
        <v>-0.83200642758016219</v>
      </c>
      <c r="O102" s="11"/>
      <c r="P102" s="8">
        <v>2300</v>
      </c>
      <c r="Q102" s="3"/>
      <c r="R102" s="7">
        <f t="shared" si="84"/>
        <v>2.3591921305556411</v>
      </c>
      <c r="S102" s="3"/>
      <c r="T102" s="8">
        <v>13691</v>
      </c>
      <c r="U102" s="3"/>
      <c r="V102" s="7">
        <f t="shared" si="85"/>
        <v>7.6287502751916605E-2</v>
      </c>
      <c r="W102" s="3"/>
      <c r="X102" s="8">
        <f t="shared" si="86"/>
        <v>-11391</v>
      </c>
      <c r="Y102" s="3"/>
      <c r="Z102" s="7">
        <f t="shared" si="87"/>
        <v>-0.83200642758016219</v>
      </c>
    </row>
    <row r="103" spans="1:26" s="61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5" t="s">
        <v>0</v>
      </c>
      <c r="C104" s="10"/>
      <c r="D104" s="4">
        <f>SUM(OSRRefD25x_0)</f>
        <v>2076.54</v>
      </c>
      <c r="E104" s="4"/>
      <c r="F104" s="12">
        <f t="shared" ref="F104:F107" si="88">IF(D$12=0,0,D104/D$12)</f>
        <v>2.1299812290365265</v>
      </c>
      <c r="G104" s="4"/>
      <c r="H104" s="4">
        <f>SUM(OSRRefH25x_0)</f>
        <v>50933.41</v>
      </c>
      <c r="I104" s="4"/>
      <c r="J104" s="12">
        <f t="shared" ref="J104:J107" si="89">IF(H$12=0,0,H104/H$12)</f>
        <v>0.28380561358114803</v>
      </c>
      <c r="K104" s="4"/>
      <c r="L104" s="4">
        <f t="shared" ref="L104:L107" si="90">+D104-H104</f>
        <v>-48856.87</v>
      </c>
      <c r="M104" s="4"/>
      <c r="N104" s="12">
        <f t="shared" ref="N104:N107" si="91">IF(H104=0,0,L104/H104)</f>
        <v>-0.95923029697010276</v>
      </c>
      <c r="O104" s="10"/>
      <c r="P104" s="4">
        <f>SUM(OSRRefP25x_0)</f>
        <v>2076.54</v>
      </c>
      <c r="Q104" s="4"/>
      <c r="R104" s="12">
        <f t="shared" ref="R104:R107" si="92">IF(P$12=0,0,P104/P$12)</f>
        <v>2.1299812290365265</v>
      </c>
      <c r="S104" s="4"/>
      <c r="T104" s="4">
        <f>SUM(OSRRefT25x_0)</f>
        <v>50933.41</v>
      </c>
      <c r="U104" s="4"/>
      <c r="V104" s="12">
        <f t="shared" ref="V104:V107" si="93">IF(T$12=0,0,T104/T$12)</f>
        <v>0.28380561358114803</v>
      </c>
      <c r="W104" s="4"/>
      <c r="X104" s="4">
        <f t="shared" ref="X104:X107" si="94">+P104-T104</f>
        <v>-48856.87</v>
      </c>
      <c r="Y104" s="4"/>
      <c r="Z104" s="12">
        <f t="shared" ref="Z104:Z107" si="95">IF(T104=0,0,X104/T104)</f>
        <v>-0.95923029697010276</v>
      </c>
    </row>
    <row r="105" spans="1:26" s="24" customFormat="1" hidden="1" outlineLevel="1" x14ac:dyDescent="0.25">
      <c r="A105" s="50"/>
      <c r="B105" s="11" t="str">
        <f>CONCATENATE("          ", "9150", " - ", "MISC. INCOME")</f>
        <v xml:space="preserve">          9150 - MISC. INCOME</v>
      </c>
      <c r="C105" s="11"/>
      <c r="D105" s="3">
        <f>--512.41</f>
        <v>512.41</v>
      </c>
      <c r="E105" s="3"/>
      <c r="F105" s="22">
        <f t="shared" si="88"/>
        <v>0.52559723461652874</v>
      </c>
      <c r="G105" s="3"/>
      <c r="H105" s="3">
        <f>--41260.26</f>
        <v>41260.26</v>
      </c>
      <c r="I105" s="3"/>
      <c r="J105" s="22">
        <f t="shared" si="89"/>
        <v>0.22990593808303228</v>
      </c>
      <c r="K105" s="3"/>
      <c r="L105" s="3">
        <f t="shared" si="90"/>
        <v>-40747.85</v>
      </c>
      <c r="M105" s="3"/>
      <c r="N105" s="22">
        <f t="shared" si="91"/>
        <v>-0.98758102833089267</v>
      </c>
      <c r="O105" s="11"/>
      <c r="P105" s="3">
        <f>--512.41</f>
        <v>512.41</v>
      </c>
      <c r="Q105" s="3"/>
      <c r="R105" s="22">
        <f t="shared" si="92"/>
        <v>0.52559723461652874</v>
      </c>
      <c r="S105" s="3"/>
      <c r="T105" s="3">
        <f>--41260.26</f>
        <v>41260.26</v>
      </c>
      <c r="U105" s="3"/>
      <c r="V105" s="22">
        <f t="shared" si="93"/>
        <v>0.22990593808303228</v>
      </c>
      <c r="W105" s="3"/>
      <c r="X105" s="3">
        <f t="shared" si="94"/>
        <v>-40747.85</v>
      </c>
      <c r="Y105" s="3"/>
      <c r="Z105" s="22">
        <f t="shared" si="95"/>
        <v>-0.98758102833089267</v>
      </c>
    </row>
    <row r="106" spans="1:26" s="24" customFormat="1" hidden="1" outlineLevel="1" x14ac:dyDescent="0.25">
      <c r="A106" s="50"/>
      <c r="B106" s="11" t="str">
        <f>CONCATENATE("          ", "9160", " - ", "MISC. INCOME")</f>
        <v xml:space="preserve">          9160 - MISC. INCOME</v>
      </c>
      <c r="C106" s="11"/>
      <c r="D106" s="3">
        <f>--1363.63</f>
        <v>1363.63</v>
      </c>
      <c r="E106" s="3"/>
      <c r="F106" s="22">
        <f t="shared" si="88"/>
        <v>1.3987239847780821</v>
      </c>
      <c r="G106" s="3"/>
      <c r="H106" s="3">
        <f>--5992.1</f>
        <v>5992.1</v>
      </c>
      <c r="I106" s="3"/>
      <c r="J106" s="22">
        <f t="shared" si="89"/>
        <v>3.3388528612939852E-2</v>
      </c>
      <c r="K106" s="3"/>
      <c r="L106" s="3">
        <f t="shared" si="90"/>
        <v>-4628.47</v>
      </c>
      <c r="M106" s="3"/>
      <c r="N106" s="22">
        <f t="shared" si="91"/>
        <v>-0.77242869778541745</v>
      </c>
      <c r="O106" s="11"/>
      <c r="P106" s="3">
        <f>--1363.63</f>
        <v>1363.63</v>
      </c>
      <c r="Q106" s="3"/>
      <c r="R106" s="22">
        <f t="shared" si="92"/>
        <v>1.3987239847780821</v>
      </c>
      <c r="S106" s="3"/>
      <c r="T106" s="3">
        <f>--5992.1</f>
        <v>5992.1</v>
      </c>
      <c r="U106" s="3"/>
      <c r="V106" s="22">
        <f t="shared" si="93"/>
        <v>3.3388528612939852E-2</v>
      </c>
      <c r="W106" s="3"/>
      <c r="X106" s="3">
        <f t="shared" si="94"/>
        <v>-4628.47</v>
      </c>
      <c r="Y106" s="3"/>
      <c r="Z106" s="22">
        <f t="shared" si="95"/>
        <v>-0.77242869778541745</v>
      </c>
    </row>
    <row r="107" spans="1:26" s="24" customFormat="1" hidden="1" outlineLevel="1" x14ac:dyDescent="0.25">
      <c r="A107" s="50"/>
      <c r="B107" s="11" t="str">
        <f>CONCATENATE("          ", "9165", " - ", "OTHER INCOME")</f>
        <v xml:space="preserve">          9165 - OTHER INCOME</v>
      </c>
      <c r="C107" s="11"/>
      <c r="D107" s="3">
        <f>--200.5</f>
        <v>200.5</v>
      </c>
      <c r="E107" s="3"/>
      <c r="F107" s="22">
        <f t="shared" si="88"/>
        <v>0.20566000964191566</v>
      </c>
      <c r="G107" s="3"/>
      <c r="H107" s="3">
        <f>--3681.05</f>
        <v>3681.05</v>
      </c>
      <c r="I107" s="3"/>
      <c r="J107" s="22">
        <f t="shared" si="89"/>
        <v>2.0511146885175857E-2</v>
      </c>
      <c r="K107" s="3"/>
      <c r="L107" s="3">
        <f t="shared" si="90"/>
        <v>-3480.55</v>
      </c>
      <c r="M107" s="3"/>
      <c r="N107" s="22">
        <f t="shared" si="91"/>
        <v>-0.9455318455332038</v>
      </c>
      <c r="O107" s="11"/>
      <c r="P107" s="3">
        <f>--200.5</f>
        <v>200.5</v>
      </c>
      <c r="Q107" s="3"/>
      <c r="R107" s="22">
        <f t="shared" si="92"/>
        <v>0.20566000964191566</v>
      </c>
      <c r="S107" s="3"/>
      <c r="T107" s="3">
        <f>--3681.05</f>
        <v>3681.05</v>
      </c>
      <c r="U107" s="3"/>
      <c r="V107" s="22">
        <f t="shared" si="93"/>
        <v>2.0511146885175857E-2</v>
      </c>
      <c r="W107" s="3"/>
      <c r="X107" s="3">
        <f t="shared" si="94"/>
        <v>-3480.55</v>
      </c>
      <c r="Y107" s="3"/>
      <c r="Z107" s="22">
        <f t="shared" si="95"/>
        <v>-0.9455318455332038</v>
      </c>
    </row>
    <row r="108" spans="1:26" x14ac:dyDescent="0.25">
      <c r="A108" s="9"/>
      <c r="B108" s="10"/>
      <c r="C108" s="10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O108" s="10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3" customFormat="1" x14ac:dyDescent="0.25">
      <c r="A109" s="10"/>
      <c r="B109" s="26" t="s">
        <v>3</v>
      </c>
      <c r="C109" s="26"/>
      <c r="D109" s="19">
        <f>+D27-D29+D104</f>
        <v>-124073.70000000004</v>
      </c>
      <c r="E109" s="13"/>
      <c r="F109" s="20">
        <f>IF(D$12=0,0,D109/D$12)</f>
        <v>-127.26682462996588</v>
      </c>
      <c r="G109" s="13"/>
      <c r="H109" s="19">
        <f>+H27-H29+H104</f>
        <v>-242981.94999999998</v>
      </c>
      <c r="I109" s="13"/>
      <c r="J109" s="20">
        <f>IF(H$12=0,0,H109/H$12)</f>
        <v>-1.3539176232043724</v>
      </c>
      <c r="K109" s="16"/>
      <c r="L109" s="19">
        <f>+D109-H109</f>
        <v>118908.24999999994</v>
      </c>
      <c r="M109" s="16"/>
      <c r="N109" s="20">
        <f>IF(H109=0,0,L109/H109)</f>
        <v>-0.48937071251588832</v>
      </c>
      <c r="O109" s="25"/>
      <c r="P109" s="19">
        <f>+P27-P29+P104</f>
        <v>-124073.70000000004</v>
      </c>
      <c r="Q109" s="13"/>
      <c r="R109" s="20">
        <f>IF(P$12=0,0,P109/P$12)</f>
        <v>-127.26682462996588</v>
      </c>
      <c r="S109" s="13"/>
      <c r="T109" s="19">
        <f>+T27-T29+T104</f>
        <v>-242981.94999999998</v>
      </c>
      <c r="U109" s="13"/>
      <c r="V109" s="20">
        <f>IF(T$12=0,0,T109/T$12)</f>
        <v>-1.3539176232043724</v>
      </c>
      <c r="W109" s="16"/>
      <c r="X109" s="19">
        <f>+P109-T109</f>
        <v>118908.24999999994</v>
      </c>
      <c r="Y109" s="16"/>
      <c r="Z109" s="20">
        <f>IF(T109=0,0,X109/T109)</f>
        <v>-0.48937071251588832</v>
      </c>
    </row>
    <row r="110" spans="1:26" x14ac:dyDescent="0.25">
      <c r="A110" s="9"/>
      <c r="B110" s="10"/>
      <c r="C110" s="9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23" customFormat="1" x14ac:dyDescent="0.25">
      <c r="A111" s="51"/>
      <c r="B111" s="10" t="s">
        <v>13</v>
      </c>
      <c r="C111" s="10"/>
      <c r="D111" s="4">
        <v>468.88</v>
      </c>
      <c r="E111" s="4"/>
      <c r="F111" s="12">
        <f>IF(D$12=0,0,D111/D$12)</f>
        <v>0.48094695920649089</v>
      </c>
      <c r="G111" s="4"/>
      <c r="H111" s="4">
        <v>37316.230000000003</v>
      </c>
      <c r="I111" s="4"/>
      <c r="J111" s="12">
        <f>IF(H$12=0,0,H111/H$12)</f>
        <v>0.20792944261311472</v>
      </c>
      <c r="K111" s="4"/>
      <c r="L111" s="4">
        <f>+D111-H111</f>
        <v>-36847.350000000006</v>
      </c>
      <c r="M111" s="4"/>
      <c r="N111" s="12">
        <f>IF(H111=0,0,L111/H111)</f>
        <v>-0.98743495792581415</v>
      </c>
      <c r="O111" s="10"/>
      <c r="P111" s="4">
        <v>468.88</v>
      </c>
      <c r="Q111" s="4"/>
      <c r="R111" s="12">
        <f>IF(P$12=0,0,P111/P$12)</f>
        <v>0.48094695920649089</v>
      </c>
      <c r="S111" s="4"/>
      <c r="T111" s="4">
        <v>37316.230000000003</v>
      </c>
      <c r="U111" s="4"/>
      <c r="V111" s="12">
        <f>IF(T$12=0,0,T111/T$12)</f>
        <v>0.20792944261311472</v>
      </c>
      <c r="W111" s="4"/>
      <c r="X111" s="4">
        <f>+P111-T111</f>
        <v>-36847.350000000006</v>
      </c>
      <c r="Y111" s="4"/>
      <c r="Z111" s="12">
        <f>IF(T111=0,0,X111/T111)</f>
        <v>-0.98743495792581415</v>
      </c>
    </row>
    <row r="112" spans="1:26" x14ac:dyDescent="0.25">
      <c r="A112" s="9"/>
      <c r="B112" s="10"/>
      <c r="C112" s="10"/>
      <c r="D112" s="2"/>
      <c r="E112" s="2"/>
      <c r="F112" s="6"/>
      <c r="G112" s="2"/>
      <c r="H112" s="2"/>
      <c r="I112" s="2"/>
      <c r="J112" s="6"/>
      <c r="K112" s="2"/>
      <c r="L112" s="2"/>
      <c r="M112" s="2"/>
      <c r="N112" s="6"/>
      <c r="O112" s="10"/>
      <c r="P112" s="2"/>
      <c r="Q112" s="2"/>
      <c r="R112" s="6"/>
      <c r="S112" s="2"/>
      <c r="T112" s="2"/>
      <c r="U112" s="2"/>
      <c r="V112" s="6"/>
      <c r="W112" s="2"/>
      <c r="X112" s="2"/>
      <c r="Y112" s="2"/>
      <c r="Z112" s="6"/>
    </row>
    <row r="113" spans="1:26" s="23" customFormat="1" ht="15.75" thickBot="1" x14ac:dyDescent="0.3">
      <c r="A113" s="10"/>
      <c r="B113" s="26" t="s">
        <v>4</v>
      </c>
      <c r="C113" s="26"/>
      <c r="D113" s="35">
        <f>+D109-D111</f>
        <v>-124542.58000000005</v>
      </c>
      <c r="E113" s="13"/>
      <c r="F113" s="30">
        <f>IF(D$12=0,0,D113/D$12)</f>
        <v>-127.74777158917239</v>
      </c>
      <c r="G113" s="13"/>
      <c r="H113" s="35">
        <f>+H109-H111</f>
        <v>-280298.18</v>
      </c>
      <c r="I113" s="13"/>
      <c r="J113" s="30">
        <f>IF(H$12=0,0,H113/H$12)</f>
        <v>-1.5618470658174872</v>
      </c>
      <c r="K113" s="16"/>
      <c r="L113" s="35">
        <f>D113-H113</f>
        <v>155755.59999999995</v>
      </c>
      <c r="M113" s="16"/>
      <c r="N113" s="30">
        <f>IF(H113=0,0,L113/H113)</f>
        <v>-0.55567824236318608</v>
      </c>
      <c r="O113" s="25"/>
      <c r="P113" s="35">
        <f>+P109-P111</f>
        <v>-124542.58000000005</v>
      </c>
      <c r="Q113" s="13"/>
      <c r="R113" s="30">
        <f>IF(P$12=0,0,P113/P$12)</f>
        <v>-127.74777158917239</v>
      </c>
      <c r="S113" s="13"/>
      <c r="T113" s="35">
        <f>+T109-T111</f>
        <v>-280298.18</v>
      </c>
      <c r="U113" s="13"/>
      <c r="V113" s="30">
        <f>IF(T$12=0,0,T113/T$12)</f>
        <v>-1.5618470658174872</v>
      </c>
      <c r="W113" s="16"/>
      <c r="X113" s="35">
        <f>P113-T113</f>
        <v>155755.59999999995</v>
      </c>
      <c r="Y113" s="16"/>
      <c r="Z113" s="30">
        <f>IF(T113=0,0,X113/T113)</f>
        <v>-0.55567824236318608</v>
      </c>
    </row>
    <row r="114" spans="1:26" ht="15.75" thickTop="1" x14ac:dyDescent="0.25">
      <c r="A114" s="9"/>
      <c r="B114" s="9"/>
      <c r="C114" s="9"/>
      <c r="D114" s="2"/>
      <c r="E114" s="2"/>
      <c r="F114" s="6"/>
      <c r="G114" s="2"/>
      <c r="H114" s="2"/>
      <c r="I114" s="2"/>
      <c r="J114" s="6"/>
      <c r="K114" s="2"/>
      <c r="L114" s="2"/>
      <c r="M114" s="2"/>
      <c r="N114" s="6"/>
      <c r="P114" s="2"/>
      <c r="Q114" s="2"/>
      <c r="R114" s="6"/>
      <c r="S114" s="2"/>
      <c r="T114" s="2"/>
      <c r="U114" s="2"/>
      <c r="V114" s="6"/>
      <c r="W114" s="2"/>
      <c r="X114" s="2"/>
      <c r="Y114" s="2"/>
      <c r="Z114" s="6"/>
    </row>
    <row r="115" spans="1:26" x14ac:dyDescent="0.25">
      <c r="A115" s="9"/>
      <c r="B115" s="9"/>
      <c r="C115" s="9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23" customFormat="1" ht="15.75" thickBot="1" x14ac:dyDescent="0.3">
      <c r="A116" s="10"/>
      <c r="B116" s="26" t="s">
        <v>5</v>
      </c>
      <c r="C116" s="26"/>
      <c r="D116" s="31">
        <f>SUM(D113:D115)</f>
        <v>-124542.58000000005</v>
      </c>
      <c r="E116" s="13"/>
      <c r="F116" s="32">
        <f>IF(D$12=0,0,D116/D$12)</f>
        <v>-127.74777158917239</v>
      </c>
      <c r="G116" s="13"/>
      <c r="H116" s="31">
        <f>SUM(H113:H115)</f>
        <v>-280298.18</v>
      </c>
      <c r="I116" s="13"/>
      <c r="J116" s="32">
        <f>IF(H$12=0,0,H116/H$12)</f>
        <v>-1.5618470658174872</v>
      </c>
      <c r="K116" s="16"/>
      <c r="L116" s="31">
        <f>+D116-H116</f>
        <v>155755.59999999995</v>
      </c>
      <c r="M116" s="16"/>
      <c r="N116" s="32">
        <f>IF(H116=0,0,L116/H116)</f>
        <v>-0.55567824236318608</v>
      </c>
      <c r="O116" s="25"/>
      <c r="P116" s="31">
        <f>SUM(P113:P115)</f>
        <v>-124542.58000000005</v>
      </c>
      <c r="Q116" s="13"/>
      <c r="R116" s="32">
        <f>IF(P$12=0,0,P116/P$12)</f>
        <v>-127.74777158917239</v>
      </c>
      <c r="S116" s="13"/>
      <c r="T116" s="31">
        <f>SUM(T113:T115)</f>
        <v>-280298.18</v>
      </c>
      <c r="U116" s="13"/>
      <c r="V116" s="32">
        <f>IF(T$12=0,0,T116/T$12)</f>
        <v>-1.5618470658174872</v>
      </c>
      <c r="W116" s="16"/>
      <c r="X116" s="31">
        <f>+P116-T116</f>
        <v>155755.59999999995</v>
      </c>
      <c r="Y116" s="16"/>
      <c r="Z116" s="32">
        <f>IF(T116=0,0,X116/T116)</f>
        <v>-0.55567824236318608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9">
        <v>44109.413818865738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2" t="s">
        <v>313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6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18106.690000000002</v>
      </c>
      <c r="I12" s="4"/>
      <c r="J12" s="12"/>
      <c r="K12" s="4"/>
      <c r="L12" s="4">
        <f t="shared" ref="L12:L14" si="0">+D12-H12</f>
        <v>-18106.690000000002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18106.690000000002</v>
      </c>
      <c r="U12" s="4"/>
      <c r="V12" s="12"/>
      <c r="W12" s="4"/>
      <c r="X12" s="4">
        <f t="shared" ref="X12:X14" si="2">+P12-T12</f>
        <v>-18106.690000000002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4" si="4">0</f>
        <v>0</v>
      </c>
      <c r="E13" s="3"/>
      <c r="F13" s="22"/>
      <c r="G13" s="3"/>
      <c r="H13" s="3">
        <f>--5601.85</f>
        <v>5601.85</v>
      </c>
      <c r="I13" s="3"/>
      <c r="J13" s="22"/>
      <c r="K13" s="3"/>
      <c r="L13" s="3">
        <f t="shared" si="0"/>
        <v>-5601.85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--5601.85</f>
        <v>5601.85</v>
      </c>
      <c r="U13" s="3"/>
      <c r="V13" s="22"/>
      <c r="W13" s="3"/>
      <c r="X13" s="3">
        <f t="shared" si="2"/>
        <v>-5601.85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--12504.84</f>
        <v>12504.84</v>
      </c>
      <c r="I14" s="3"/>
      <c r="J14" s="22"/>
      <c r="K14" s="3"/>
      <c r="L14" s="3">
        <f t="shared" si="0"/>
        <v>-12504.84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--12504.84</f>
        <v>12504.84</v>
      </c>
      <c r="U14" s="3"/>
      <c r="V14" s="22"/>
      <c r="W14" s="3"/>
      <c r="X14" s="3">
        <f t="shared" si="2"/>
        <v>-12504.84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10235.35</v>
      </c>
      <c r="I16" s="4"/>
      <c r="J16" s="12">
        <f t="shared" ref="J16:J18" si="7">IF(H$12=0,0,H16/H$12)</f>
        <v>0.56528001528716731</v>
      </c>
      <c r="K16" s="4"/>
      <c r="L16" s="4">
        <f t="shared" ref="L16:L18" si="8">+D16-H16</f>
        <v>-10235.35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10235.35</v>
      </c>
      <c r="U16" s="4"/>
      <c r="V16" s="12">
        <f t="shared" ref="V16:V18" si="11">IF(T$12=0,0,T16/T$12)</f>
        <v>0.56528001528716731</v>
      </c>
      <c r="W16" s="4"/>
      <c r="X16" s="4">
        <f t="shared" ref="X16:X18" si="12">+P16-T16</f>
        <v>-10235.35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8853.35</v>
      </c>
      <c r="I17" s="3"/>
      <c r="J17" s="22">
        <f t="shared" si="7"/>
        <v>0.48895463499954983</v>
      </c>
      <c r="K17" s="3"/>
      <c r="L17" s="3">
        <f t="shared" si="8"/>
        <v>-8853.35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8853.35</v>
      </c>
      <c r="U17" s="3"/>
      <c r="V17" s="22">
        <f t="shared" si="11"/>
        <v>0.48895463499954983</v>
      </c>
      <c r="W17" s="3"/>
      <c r="X17" s="3">
        <f t="shared" si="12"/>
        <v>-8853.35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1382</v>
      </c>
      <c r="I18" s="3"/>
      <c r="J18" s="22">
        <f t="shared" si="7"/>
        <v>7.6325380287617442E-2</v>
      </c>
      <c r="K18" s="3"/>
      <c r="L18" s="3">
        <f t="shared" si="8"/>
        <v>-1382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1382</v>
      </c>
      <c r="U18" s="3"/>
      <c r="V18" s="22">
        <f t="shared" si="11"/>
        <v>7.6325380287617442E-2</v>
      </c>
      <c r="W18" s="3"/>
      <c r="X18" s="3">
        <f t="shared" si="12"/>
        <v>-1382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7871.340000000002</v>
      </c>
      <c r="I20" s="13"/>
      <c r="J20" s="20">
        <f>IF(H$12=0,0,H20/H$12)</f>
        <v>0.43471998471283269</v>
      </c>
      <c r="K20" s="16"/>
      <c r="L20" s="19">
        <f>+D20-H20</f>
        <v>-7871.340000000002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7871.340000000002</v>
      </c>
      <c r="U20" s="13"/>
      <c r="V20" s="20">
        <f>IF(T$12=0,0,T20/T$12)</f>
        <v>0.43471998471283269</v>
      </c>
      <c r="W20" s="16"/>
      <c r="X20" s="19">
        <f>+P20-T20</f>
        <v>-7871.340000000002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6467.6</v>
      </c>
      <c r="E22" s="21"/>
      <c r="F22" s="34">
        <f t="shared" ref="F22:F31" si="14">IF(D$12=0,0,D22/D$12)</f>
        <v>0</v>
      </c>
      <c r="G22" s="21"/>
      <c r="H22" s="21">
        <f>SUM(OSRRefH22x_0)</f>
        <v>40848.790000000008</v>
      </c>
      <c r="I22" s="21"/>
      <c r="J22" s="34">
        <f t="shared" ref="J22:J31" si="15">IF(H$12=0,0,H22/H$12)</f>
        <v>2.2560053770181079</v>
      </c>
      <c r="K22" s="4"/>
      <c r="L22" s="21">
        <f t="shared" ref="L22:L31" si="16">+D22-H22</f>
        <v>-34381.19000000001</v>
      </c>
      <c r="M22" s="4"/>
      <c r="N22" s="34">
        <f t="shared" ref="N22:N31" si="17">IF(H22=0,0,L22/H22)</f>
        <v>-0.84166972877287194</v>
      </c>
      <c r="O22" s="10"/>
      <c r="P22" s="21">
        <f>SUM(OSRRefP22x_0)</f>
        <v>6467.6</v>
      </c>
      <c r="Q22" s="21"/>
      <c r="R22" s="34">
        <f t="shared" ref="R22:R31" si="18">IF(P$12=0,0,P22/P$12)</f>
        <v>0</v>
      </c>
      <c r="S22" s="21"/>
      <c r="T22" s="21">
        <f>SUM(OSRRefT22x_0)</f>
        <v>40848.790000000008</v>
      </c>
      <c r="U22" s="21"/>
      <c r="V22" s="34">
        <f t="shared" ref="V22:V31" si="19">IF(T$12=0,0,T22/T$12)</f>
        <v>2.2560053770181079</v>
      </c>
      <c r="W22" s="4"/>
      <c r="X22" s="21">
        <f t="shared" ref="X22:X31" si="20">+P22-T22</f>
        <v>-34381.19000000001</v>
      </c>
      <c r="Y22" s="4"/>
      <c r="Z22" s="34">
        <f t="shared" ref="Z22:Z31" si="21">IF(T22=0,0,X22/T22)</f>
        <v>-0.84166972877287194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4835.1100000000006</v>
      </c>
      <c r="I23" s="1"/>
      <c r="J23" s="5">
        <f t="shared" si="15"/>
        <v>0.2670344496978741</v>
      </c>
      <c r="K23" s="1"/>
      <c r="L23" s="1">
        <f t="shared" si="16"/>
        <v>-4835.1100000000006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4835.1100000000006</v>
      </c>
      <c r="U23" s="1"/>
      <c r="V23" s="5">
        <f t="shared" si="19"/>
        <v>0.2670344496978741</v>
      </c>
      <c r="W23" s="1"/>
      <c r="X23" s="1">
        <f t="shared" si="20"/>
        <v>-4835.1100000000006</v>
      </c>
      <c r="Y23" s="1"/>
      <c r="Z23" s="5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/>
      <c r="E24" s="3"/>
      <c r="F24" s="7">
        <f t="shared" si="14"/>
        <v>0</v>
      </c>
      <c r="G24" s="3"/>
      <c r="H24" s="8">
        <v>1065.44</v>
      </c>
      <c r="I24" s="3"/>
      <c r="J24" s="7">
        <f t="shared" si="15"/>
        <v>5.8842339488885044E-2</v>
      </c>
      <c r="K24" s="3"/>
      <c r="L24" s="8">
        <f t="shared" si="16"/>
        <v>-1065.44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1065.44</v>
      </c>
      <c r="U24" s="3"/>
      <c r="V24" s="7">
        <f t="shared" si="19"/>
        <v>5.8842339488885044E-2</v>
      </c>
      <c r="W24" s="3"/>
      <c r="X24" s="8">
        <f t="shared" si="20"/>
        <v>-1065.44</v>
      </c>
      <c r="Y24" s="3"/>
      <c r="Z24" s="7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532.61</v>
      </c>
      <c r="I25" s="3"/>
      <c r="J25" s="7">
        <f t="shared" si="15"/>
        <v>2.9415094641814708E-2</v>
      </c>
      <c r="K25" s="3"/>
      <c r="L25" s="8">
        <f t="shared" si="16"/>
        <v>-532.61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532.61</v>
      </c>
      <c r="U25" s="3"/>
      <c r="V25" s="7">
        <f t="shared" si="19"/>
        <v>2.9415094641814708E-2</v>
      </c>
      <c r="W25" s="3"/>
      <c r="X25" s="8">
        <f t="shared" si="20"/>
        <v>-532.61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/>
      <c r="E26" s="3"/>
      <c r="F26" s="7">
        <f t="shared" si="14"/>
        <v>0</v>
      </c>
      <c r="G26" s="3"/>
      <c r="H26" s="8">
        <v>1376.23</v>
      </c>
      <c r="I26" s="3"/>
      <c r="J26" s="7">
        <f t="shared" si="15"/>
        <v>7.6006713540685777E-2</v>
      </c>
      <c r="K26" s="3"/>
      <c r="L26" s="8">
        <f t="shared" si="16"/>
        <v>-1376.23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1376.23</v>
      </c>
      <c r="U26" s="3"/>
      <c r="V26" s="7">
        <f t="shared" si="19"/>
        <v>7.6006713540685777E-2</v>
      </c>
      <c r="W26" s="3"/>
      <c r="X26" s="8">
        <f t="shared" si="20"/>
        <v>-1376.23</v>
      </c>
      <c r="Y26" s="3"/>
      <c r="Z26" s="7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36.56</v>
      </c>
      <c r="I27" s="3"/>
      <c r="J27" s="7">
        <f t="shared" si="15"/>
        <v>2.0191432006622964E-3</v>
      </c>
      <c r="K27" s="3"/>
      <c r="L27" s="8">
        <f t="shared" si="16"/>
        <v>-36.56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36.56</v>
      </c>
      <c r="U27" s="3"/>
      <c r="V27" s="7">
        <f t="shared" si="19"/>
        <v>2.0191432006622964E-3</v>
      </c>
      <c r="W27" s="3"/>
      <c r="X27" s="8">
        <f t="shared" si="20"/>
        <v>-36.56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/>
      <c r="E28" s="3"/>
      <c r="F28" s="7">
        <f t="shared" si="14"/>
        <v>0</v>
      </c>
      <c r="G28" s="3"/>
      <c r="H28" s="8">
        <v>696.67</v>
      </c>
      <c r="I28" s="3"/>
      <c r="J28" s="7">
        <f t="shared" si="15"/>
        <v>3.8475834070169634E-2</v>
      </c>
      <c r="K28" s="3"/>
      <c r="L28" s="8">
        <f t="shared" si="16"/>
        <v>-696.67</v>
      </c>
      <c r="M28" s="3"/>
      <c r="N28" s="7">
        <f t="shared" si="17"/>
        <v>-1</v>
      </c>
      <c r="O28" s="11"/>
      <c r="P28" s="8"/>
      <c r="Q28" s="3"/>
      <c r="R28" s="7">
        <f t="shared" si="18"/>
        <v>0</v>
      </c>
      <c r="S28" s="3"/>
      <c r="T28" s="8">
        <v>696.67</v>
      </c>
      <c r="U28" s="3"/>
      <c r="V28" s="7">
        <f t="shared" si="19"/>
        <v>3.8475834070169634E-2</v>
      </c>
      <c r="W28" s="3"/>
      <c r="X28" s="8">
        <f t="shared" si="20"/>
        <v>-696.67</v>
      </c>
      <c r="Y28" s="3"/>
      <c r="Z28" s="7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/>
      <c r="E29" s="3"/>
      <c r="F29" s="7">
        <f t="shared" si="14"/>
        <v>0</v>
      </c>
      <c r="G29" s="3"/>
      <c r="H29" s="8">
        <v>384</v>
      </c>
      <c r="I29" s="3"/>
      <c r="J29" s="7">
        <f t="shared" si="15"/>
        <v>2.1207630991638998E-2</v>
      </c>
      <c r="K29" s="3"/>
      <c r="L29" s="8">
        <f t="shared" si="16"/>
        <v>-384</v>
      </c>
      <c r="M29" s="3"/>
      <c r="N29" s="7">
        <f t="shared" si="17"/>
        <v>-1</v>
      </c>
      <c r="O29" s="11"/>
      <c r="P29" s="8"/>
      <c r="Q29" s="3"/>
      <c r="R29" s="7">
        <f t="shared" si="18"/>
        <v>0</v>
      </c>
      <c r="S29" s="3"/>
      <c r="T29" s="8">
        <v>384</v>
      </c>
      <c r="U29" s="3"/>
      <c r="V29" s="7">
        <f t="shared" si="19"/>
        <v>2.1207630991638998E-2</v>
      </c>
      <c r="W29" s="3"/>
      <c r="X29" s="8">
        <f t="shared" si="20"/>
        <v>-384</v>
      </c>
      <c r="Y29" s="3"/>
      <c r="Z29" s="7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/>
      <c r="E30" s="3"/>
      <c r="F30" s="7">
        <f t="shared" si="14"/>
        <v>0</v>
      </c>
      <c r="G30" s="3"/>
      <c r="H30" s="8">
        <v>460.04</v>
      </c>
      <c r="I30" s="3"/>
      <c r="J30" s="7">
        <f t="shared" si="15"/>
        <v>2.540718375362918E-2</v>
      </c>
      <c r="K30" s="3"/>
      <c r="L30" s="8">
        <f t="shared" si="16"/>
        <v>-460.04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460.04</v>
      </c>
      <c r="U30" s="3"/>
      <c r="V30" s="7">
        <f t="shared" si="19"/>
        <v>2.540718375362918E-2</v>
      </c>
      <c r="W30" s="3"/>
      <c r="X30" s="8">
        <f t="shared" si="20"/>
        <v>-460.04</v>
      </c>
      <c r="Y30" s="3"/>
      <c r="Z30" s="7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283.56</v>
      </c>
      <c r="I31" s="3"/>
      <c r="J31" s="7">
        <f t="shared" si="15"/>
        <v>1.5660510010388425E-2</v>
      </c>
      <c r="K31" s="3"/>
      <c r="L31" s="8">
        <f t="shared" si="16"/>
        <v>-283.56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283.56</v>
      </c>
      <c r="U31" s="3"/>
      <c r="V31" s="7">
        <f t="shared" si="19"/>
        <v>1.5660510010388425E-2</v>
      </c>
      <c r="W31" s="3"/>
      <c r="X31" s="8">
        <f t="shared" si="20"/>
        <v>-283.56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4" si="22">IF(D$12=0,0,D32/D$12)</f>
        <v>0</v>
      </c>
      <c r="G32" s="1"/>
      <c r="H32" s="1">
        <f>SUM(OSRRefH22_1x_0)</f>
        <v>17070.34</v>
      </c>
      <c r="I32" s="1"/>
      <c r="J32" s="5">
        <f t="shared" ref="J32:J34" si="23">IF(H$12=0,0,H32/H$12)</f>
        <v>0.94276424901514289</v>
      </c>
      <c r="K32" s="1"/>
      <c r="L32" s="1">
        <f t="shared" ref="L32:L34" si="24">+D32-H32</f>
        <v>-17070.34</v>
      </c>
      <c r="M32" s="1"/>
      <c r="N32" s="5">
        <f t="shared" ref="N32:N34" si="25">IF(H32=0,0,L32/H32)</f>
        <v>-1</v>
      </c>
      <c r="O32" s="14"/>
      <c r="P32" s="1">
        <f>SUM(OSRRefP22_1x_0)</f>
        <v>0</v>
      </c>
      <c r="Q32" s="1"/>
      <c r="R32" s="5">
        <f t="shared" ref="R32:R34" si="26">IF(P$12=0,0,P32/P$12)</f>
        <v>0</v>
      </c>
      <c r="S32" s="1"/>
      <c r="T32" s="1">
        <f>SUM(OSRRefT22_1x_0)</f>
        <v>17070.34</v>
      </c>
      <c r="U32" s="1"/>
      <c r="V32" s="5">
        <f t="shared" ref="V32:V34" si="27">IF(T$12=0,0,T32/T$12)</f>
        <v>0.94276424901514289</v>
      </c>
      <c r="W32" s="1"/>
      <c r="X32" s="1">
        <f t="shared" ref="X32:X34" si="28">+P32-T32</f>
        <v>-17070.34</v>
      </c>
      <c r="Y32" s="1"/>
      <c r="Z32" s="5">
        <f t="shared" ref="Z32:Z34" si="29">IF(T32=0,0,X32/T32)</f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/>
      <c r="E33" s="3"/>
      <c r="F33" s="7">
        <f t="shared" si="22"/>
        <v>0</v>
      </c>
      <c r="G33" s="3"/>
      <c r="H33" s="8">
        <v>12259.34</v>
      </c>
      <c r="I33" s="3"/>
      <c r="J33" s="7">
        <f t="shared" si="23"/>
        <v>0.67706135135687406</v>
      </c>
      <c r="K33" s="3"/>
      <c r="L33" s="8">
        <f t="shared" si="24"/>
        <v>-12259.34</v>
      </c>
      <c r="M33" s="3"/>
      <c r="N33" s="7">
        <f t="shared" si="25"/>
        <v>-1</v>
      </c>
      <c r="O33" s="11"/>
      <c r="P33" s="8"/>
      <c r="Q33" s="3"/>
      <c r="R33" s="7">
        <f t="shared" si="26"/>
        <v>0</v>
      </c>
      <c r="S33" s="3"/>
      <c r="T33" s="8">
        <v>12259.34</v>
      </c>
      <c r="U33" s="3"/>
      <c r="V33" s="7">
        <f t="shared" si="27"/>
        <v>0.67706135135687406</v>
      </c>
      <c r="W33" s="3"/>
      <c r="X33" s="8">
        <f t="shared" si="28"/>
        <v>-12259.34</v>
      </c>
      <c r="Y33" s="3"/>
      <c r="Z33" s="7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8"/>
      <c r="E34" s="3"/>
      <c r="F34" s="7">
        <f t="shared" si="22"/>
        <v>0</v>
      </c>
      <c r="G34" s="3"/>
      <c r="H34" s="8">
        <v>4811</v>
      </c>
      <c r="I34" s="3"/>
      <c r="J34" s="7">
        <f t="shared" si="23"/>
        <v>0.26570289765826882</v>
      </c>
      <c r="K34" s="3"/>
      <c r="L34" s="8">
        <f t="shared" si="24"/>
        <v>-4811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4811</v>
      </c>
      <c r="U34" s="3"/>
      <c r="V34" s="7">
        <f t="shared" si="27"/>
        <v>0.26570289765826882</v>
      </c>
      <c r="W34" s="3"/>
      <c r="X34" s="8">
        <f t="shared" si="28"/>
        <v>-4811</v>
      </c>
      <c r="Y34" s="3"/>
      <c r="Z34" s="7">
        <f t="shared" si="29"/>
        <v>-1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3" si="30">IF(D$12=0,0,D35/D$12)</f>
        <v>0</v>
      </c>
      <c r="G35" s="1"/>
      <c r="H35" s="1">
        <f>SUM(OSRRefH22_2x_0)</f>
        <v>63.52</v>
      </c>
      <c r="I35" s="1"/>
      <c r="J35" s="5">
        <f t="shared" ref="J35:J43" si="31">IF(H$12=0,0,H35/H$12)</f>
        <v>3.5080956265336181E-3</v>
      </c>
      <c r="K35" s="1"/>
      <c r="L35" s="1">
        <f t="shared" ref="L35:L43" si="32">+D35-H35</f>
        <v>-63.52</v>
      </c>
      <c r="M35" s="1"/>
      <c r="N35" s="5">
        <f t="shared" ref="N35:N43" si="33">IF(H35=0,0,L35/H35)</f>
        <v>-1</v>
      </c>
      <c r="O35" s="14"/>
      <c r="P35" s="1">
        <f>SUM(OSRRefP22_2x_0)</f>
        <v>0</v>
      </c>
      <c r="Q35" s="1"/>
      <c r="R35" s="5">
        <f t="shared" ref="R35:R43" si="34">IF(P$12=0,0,P35/P$12)</f>
        <v>0</v>
      </c>
      <c r="S35" s="1"/>
      <c r="T35" s="1">
        <f>SUM(OSRRefT22_2x_0)</f>
        <v>63.52</v>
      </c>
      <c r="U35" s="1"/>
      <c r="V35" s="5">
        <f t="shared" ref="V35:V43" si="35">IF(T$12=0,0,T35/T$12)</f>
        <v>3.5080956265336181E-3</v>
      </c>
      <c r="W35" s="1"/>
      <c r="X35" s="1">
        <f t="shared" ref="X35:X43" si="36">+P35-T35</f>
        <v>-63.52</v>
      </c>
      <c r="Y35" s="1"/>
      <c r="Z35" s="5">
        <f t="shared" ref="Z35:Z43" si="37">IF(T35=0,0,X35/T35)</f>
        <v>-1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8"/>
      <c r="E36" s="3"/>
      <c r="F36" s="7">
        <f t="shared" si="30"/>
        <v>0</v>
      </c>
      <c r="G36" s="3"/>
      <c r="H36" s="8">
        <v>63.52</v>
      </c>
      <c r="I36" s="3"/>
      <c r="J36" s="7">
        <f t="shared" si="31"/>
        <v>3.5080956265336181E-3</v>
      </c>
      <c r="K36" s="3"/>
      <c r="L36" s="8">
        <f t="shared" si="32"/>
        <v>-63.52</v>
      </c>
      <c r="M36" s="3"/>
      <c r="N36" s="7">
        <f t="shared" si="33"/>
        <v>-1</v>
      </c>
      <c r="O36" s="11"/>
      <c r="P36" s="8"/>
      <c r="Q36" s="3"/>
      <c r="R36" s="7">
        <f t="shared" si="34"/>
        <v>0</v>
      </c>
      <c r="S36" s="3"/>
      <c r="T36" s="8">
        <v>63.52</v>
      </c>
      <c r="U36" s="3"/>
      <c r="V36" s="7">
        <f t="shared" si="35"/>
        <v>3.5080956265336181E-3</v>
      </c>
      <c r="W36" s="3"/>
      <c r="X36" s="8">
        <f t="shared" si="36"/>
        <v>-63.52</v>
      </c>
      <c r="Y36" s="3"/>
      <c r="Z36" s="7">
        <f t="shared" si="37"/>
        <v>-1</v>
      </c>
    </row>
    <row r="37" spans="1:26" s="27" customFormat="1" outlineLevel="1" collapsed="1" x14ac:dyDescent="0.25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0</v>
      </c>
      <c r="E37" s="1"/>
      <c r="F37" s="5">
        <f t="shared" si="30"/>
        <v>0</v>
      </c>
      <c r="G37" s="1"/>
      <c r="H37" s="1">
        <f>SUM(OSRRefH22_3x_0)</f>
        <v>-7.55</v>
      </c>
      <c r="I37" s="1"/>
      <c r="J37" s="5">
        <f t="shared" si="31"/>
        <v>-4.1697295309081888E-4</v>
      </c>
      <c r="K37" s="1"/>
      <c r="L37" s="1">
        <f t="shared" si="32"/>
        <v>7.55</v>
      </c>
      <c r="M37" s="1"/>
      <c r="N37" s="5">
        <f t="shared" si="33"/>
        <v>-1</v>
      </c>
      <c r="O37" s="14"/>
      <c r="P37" s="1">
        <f>SUM(OSRRefP22_3x_0)</f>
        <v>0</v>
      </c>
      <c r="Q37" s="1"/>
      <c r="R37" s="5">
        <f t="shared" si="34"/>
        <v>0</v>
      </c>
      <c r="S37" s="1"/>
      <c r="T37" s="1">
        <f>SUM(OSRRefT22_3x_0)</f>
        <v>-7.55</v>
      </c>
      <c r="U37" s="1"/>
      <c r="V37" s="5">
        <f t="shared" si="35"/>
        <v>-4.1697295309081888E-4</v>
      </c>
      <c r="W37" s="1"/>
      <c r="X37" s="1">
        <f t="shared" si="36"/>
        <v>7.55</v>
      </c>
      <c r="Y37" s="1"/>
      <c r="Z37" s="5">
        <f t="shared" si="37"/>
        <v>-1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8"/>
      <c r="E38" s="3"/>
      <c r="F38" s="7">
        <f t="shared" si="30"/>
        <v>0</v>
      </c>
      <c r="G38" s="3"/>
      <c r="H38" s="8">
        <v>-7.55</v>
      </c>
      <c r="I38" s="3"/>
      <c r="J38" s="7">
        <f t="shared" si="31"/>
        <v>-4.1697295309081888E-4</v>
      </c>
      <c r="K38" s="3"/>
      <c r="L38" s="8">
        <f t="shared" si="32"/>
        <v>7.55</v>
      </c>
      <c r="M38" s="3"/>
      <c r="N38" s="7">
        <f t="shared" si="33"/>
        <v>-1</v>
      </c>
      <c r="O38" s="11"/>
      <c r="P38" s="8"/>
      <c r="Q38" s="3"/>
      <c r="R38" s="7">
        <f t="shared" si="34"/>
        <v>0</v>
      </c>
      <c r="S38" s="3"/>
      <c r="T38" s="8">
        <v>-7.55</v>
      </c>
      <c r="U38" s="3"/>
      <c r="V38" s="7">
        <f t="shared" si="35"/>
        <v>-4.1697295309081888E-4</v>
      </c>
      <c r="W38" s="3"/>
      <c r="X38" s="8">
        <f t="shared" si="36"/>
        <v>7.55</v>
      </c>
      <c r="Y38" s="3"/>
      <c r="Z38" s="7">
        <f t="shared" si="37"/>
        <v>-1</v>
      </c>
    </row>
    <row r="39" spans="1:26" s="27" customFormat="1" outlineLevel="1" collapsed="1" x14ac:dyDescent="0.25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0</v>
      </c>
      <c r="E39" s="1"/>
      <c r="F39" s="5">
        <f t="shared" si="30"/>
        <v>0</v>
      </c>
      <c r="G39" s="1"/>
      <c r="H39" s="1">
        <f>SUM(OSRRefH22_4x_0)</f>
        <v>493.65</v>
      </c>
      <c r="I39" s="1"/>
      <c r="J39" s="5">
        <f t="shared" si="31"/>
        <v>2.7263403747454666E-2</v>
      </c>
      <c r="K39" s="1"/>
      <c r="L39" s="1">
        <f t="shared" si="32"/>
        <v>-493.65</v>
      </c>
      <c r="M39" s="1"/>
      <c r="N39" s="5">
        <f t="shared" si="33"/>
        <v>-1</v>
      </c>
      <c r="O39" s="14"/>
      <c r="P39" s="1">
        <f>SUM(OSRRefP22_4x_0)</f>
        <v>0</v>
      </c>
      <c r="Q39" s="1"/>
      <c r="R39" s="5">
        <f t="shared" si="34"/>
        <v>0</v>
      </c>
      <c r="S39" s="1"/>
      <c r="T39" s="1">
        <f>SUM(OSRRefT22_4x_0)</f>
        <v>493.65</v>
      </c>
      <c r="U39" s="1"/>
      <c r="V39" s="5">
        <f t="shared" si="35"/>
        <v>2.7263403747454666E-2</v>
      </c>
      <c r="W39" s="1"/>
      <c r="X39" s="1">
        <f t="shared" si="36"/>
        <v>-493.65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8"/>
      <c r="E40" s="3"/>
      <c r="F40" s="7">
        <f t="shared" si="30"/>
        <v>0</v>
      </c>
      <c r="G40" s="3"/>
      <c r="H40" s="8">
        <v>493.65</v>
      </c>
      <c r="I40" s="3"/>
      <c r="J40" s="7">
        <f t="shared" si="31"/>
        <v>2.7263403747454666E-2</v>
      </c>
      <c r="K40" s="3"/>
      <c r="L40" s="8">
        <f t="shared" si="32"/>
        <v>-493.65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493.65</v>
      </c>
      <c r="U40" s="3"/>
      <c r="V40" s="7">
        <f t="shared" si="35"/>
        <v>2.7263403747454666E-2</v>
      </c>
      <c r="W40" s="3"/>
      <c r="X40" s="8">
        <f t="shared" si="36"/>
        <v>-493.65</v>
      </c>
      <c r="Y40" s="3"/>
      <c r="Z40" s="7">
        <f t="shared" si="37"/>
        <v>-1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5330.05</v>
      </c>
      <c r="E41" s="1"/>
      <c r="F41" s="5">
        <f t="shared" si="30"/>
        <v>0</v>
      </c>
      <c r="G41" s="1"/>
      <c r="H41" s="1">
        <f>SUM(OSRRefH22_5x_0)</f>
        <v>5612.57</v>
      </c>
      <c r="I41" s="1"/>
      <c r="J41" s="5">
        <f t="shared" si="31"/>
        <v>0.30997217050714398</v>
      </c>
      <c r="K41" s="1"/>
      <c r="L41" s="1">
        <f t="shared" si="32"/>
        <v>-282.51999999999953</v>
      </c>
      <c r="M41" s="1"/>
      <c r="N41" s="5">
        <f t="shared" si="33"/>
        <v>-5.0337011386940307E-2</v>
      </c>
      <c r="O41" s="14"/>
      <c r="P41" s="1">
        <f>SUM(OSRRefP22_5x_0)</f>
        <v>5330.05</v>
      </c>
      <c r="Q41" s="1"/>
      <c r="R41" s="5">
        <f t="shared" si="34"/>
        <v>0</v>
      </c>
      <c r="S41" s="1"/>
      <c r="T41" s="1">
        <f>SUM(OSRRefT22_5x_0)</f>
        <v>5612.57</v>
      </c>
      <c r="U41" s="1"/>
      <c r="V41" s="5">
        <f t="shared" si="35"/>
        <v>0.30997217050714398</v>
      </c>
      <c r="W41" s="1"/>
      <c r="X41" s="1">
        <f t="shared" si="36"/>
        <v>-282.51999999999953</v>
      </c>
      <c r="Y41" s="1"/>
      <c r="Z41" s="5">
        <f t="shared" si="37"/>
        <v>-5.0337011386940307E-2</v>
      </c>
    </row>
    <row r="42" spans="1:26" s="24" customFormat="1" hidden="1" outlineLevel="2" x14ac:dyDescent="0.25">
      <c r="A42" s="29"/>
      <c r="B42" s="11" t="str">
        <f>CONCATENATE("          ", "6321", " - ", "BUILDING DEPRECIATION")</f>
        <v xml:space="preserve">          6321 - BUILDING DEPRECIATION</v>
      </c>
      <c r="C42" s="11"/>
      <c r="D42" s="8">
        <v>4626.5</v>
      </c>
      <c r="E42" s="3"/>
      <c r="F42" s="7">
        <f t="shared" si="30"/>
        <v>0</v>
      </c>
      <c r="G42" s="3"/>
      <c r="H42" s="8">
        <v>4626.5</v>
      </c>
      <c r="I42" s="3"/>
      <c r="J42" s="7">
        <f t="shared" si="31"/>
        <v>0.25551329370525477</v>
      </c>
      <c r="K42" s="3"/>
      <c r="L42" s="8">
        <f t="shared" si="32"/>
        <v>0</v>
      </c>
      <c r="M42" s="3"/>
      <c r="N42" s="7">
        <f t="shared" si="33"/>
        <v>0</v>
      </c>
      <c r="O42" s="11"/>
      <c r="P42" s="8">
        <v>4626.5</v>
      </c>
      <c r="Q42" s="3"/>
      <c r="R42" s="7">
        <f t="shared" si="34"/>
        <v>0</v>
      </c>
      <c r="S42" s="3"/>
      <c r="T42" s="8">
        <v>4626.5</v>
      </c>
      <c r="U42" s="3"/>
      <c r="V42" s="7">
        <f t="shared" si="35"/>
        <v>0.25551329370525477</v>
      </c>
      <c r="W42" s="3"/>
      <c r="X42" s="8">
        <f t="shared" si="36"/>
        <v>0</v>
      </c>
      <c r="Y42" s="3"/>
      <c r="Z42" s="7">
        <f t="shared" si="37"/>
        <v>0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8">
        <v>703.55</v>
      </c>
      <c r="E43" s="3"/>
      <c r="F43" s="7">
        <f t="shared" si="30"/>
        <v>0</v>
      </c>
      <c r="G43" s="3"/>
      <c r="H43" s="8">
        <v>986.07</v>
      </c>
      <c r="I43" s="3"/>
      <c r="J43" s="7">
        <f t="shared" si="31"/>
        <v>5.4458876801889239E-2</v>
      </c>
      <c r="K43" s="3"/>
      <c r="L43" s="8">
        <f t="shared" si="32"/>
        <v>-282.5200000000001</v>
      </c>
      <c r="M43" s="3"/>
      <c r="N43" s="7">
        <f t="shared" si="33"/>
        <v>-0.28651109961767429</v>
      </c>
      <c r="O43" s="11"/>
      <c r="P43" s="8">
        <v>703.55</v>
      </c>
      <c r="Q43" s="3"/>
      <c r="R43" s="7">
        <f t="shared" si="34"/>
        <v>0</v>
      </c>
      <c r="S43" s="3"/>
      <c r="T43" s="8">
        <v>986.07</v>
      </c>
      <c r="U43" s="3"/>
      <c r="V43" s="7">
        <f t="shared" si="35"/>
        <v>5.4458876801889239E-2</v>
      </c>
      <c r="W43" s="3"/>
      <c r="X43" s="8">
        <f t="shared" si="36"/>
        <v>-282.5200000000001</v>
      </c>
      <c r="Y43" s="3"/>
      <c r="Z43" s="7">
        <f t="shared" si="37"/>
        <v>-0.28651109961767429</v>
      </c>
    </row>
    <row r="44" spans="1:26" s="27" customFormat="1" outlineLevel="1" collapsed="1" x14ac:dyDescent="0.25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SUM(OSRRefD22_6x_0)</f>
        <v>0</v>
      </c>
      <c r="E44" s="1"/>
      <c r="F44" s="5">
        <f t="shared" ref="F44:F52" si="38">IF(D$12=0,0,D44/D$12)</f>
        <v>0</v>
      </c>
      <c r="G44" s="1"/>
      <c r="H44" s="1">
        <f>SUM(OSRRefH22_6x_0)</f>
        <v>408.65</v>
      </c>
      <c r="I44" s="1"/>
      <c r="J44" s="5">
        <f t="shared" ref="J44:J52" si="39">IF(H$12=0,0,H44/H$12)</f>
        <v>2.256900626232624E-2</v>
      </c>
      <c r="K44" s="1"/>
      <c r="L44" s="1">
        <f t="shared" ref="L44:L52" si="40">+D44-H44</f>
        <v>-408.65</v>
      </c>
      <c r="M44" s="1"/>
      <c r="N44" s="5">
        <f t="shared" ref="N44:N52" si="41">IF(H44=0,0,L44/H44)</f>
        <v>-1</v>
      </c>
      <c r="O44" s="14"/>
      <c r="P44" s="1">
        <f>SUM(OSRRefP22_6x_0)</f>
        <v>0</v>
      </c>
      <c r="Q44" s="1"/>
      <c r="R44" s="5">
        <f t="shared" ref="R44:R52" si="42">IF(P$12=0,0,P44/P$12)</f>
        <v>0</v>
      </c>
      <c r="S44" s="1"/>
      <c r="T44" s="1">
        <f>SUM(OSRRefT22_6x_0)</f>
        <v>408.65</v>
      </c>
      <c r="U44" s="1"/>
      <c r="V44" s="5">
        <f t="shared" ref="V44:V52" si="43">IF(T$12=0,0,T44/T$12)</f>
        <v>2.256900626232624E-2</v>
      </c>
      <c r="W44" s="1"/>
      <c r="X44" s="1">
        <f t="shared" ref="X44:X52" si="44">+P44-T44</f>
        <v>-408.65</v>
      </c>
      <c r="Y44" s="1"/>
      <c r="Z44" s="5">
        <f t="shared" ref="Z44:Z52" si="45">IF(T44=0,0,X44/T44)</f>
        <v>-1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8"/>
      <c r="E45" s="3"/>
      <c r="F45" s="7">
        <f t="shared" si="38"/>
        <v>0</v>
      </c>
      <c r="G45" s="3"/>
      <c r="H45" s="8">
        <v>408.65</v>
      </c>
      <c r="I45" s="3"/>
      <c r="J45" s="7">
        <f t="shared" si="39"/>
        <v>2.256900626232624E-2</v>
      </c>
      <c r="K45" s="3"/>
      <c r="L45" s="8">
        <f t="shared" si="40"/>
        <v>-408.65</v>
      </c>
      <c r="M45" s="3"/>
      <c r="N45" s="7">
        <f t="shared" si="41"/>
        <v>-1</v>
      </c>
      <c r="O45" s="11"/>
      <c r="P45" s="8"/>
      <c r="Q45" s="3"/>
      <c r="R45" s="7">
        <f t="shared" si="42"/>
        <v>0</v>
      </c>
      <c r="S45" s="3"/>
      <c r="T45" s="8">
        <v>408.65</v>
      </c>
      <c r="U45" s="3"/>
      <c r="V45" s="7">
        <f t="shared" si="43"/>
        <v>2.256900626232624E-2</v>
      </c>
      <c r="W45" s="3"/>
      <c r="X45" s="8">
        <f t="shared" si="44"/>
        <v>-408.65</v>
      </c>
      <c r="Y45" s="3"/>
      <c r="Z45" s="7">
        <f t="shared" si="45"/>
        <v>-1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SUM(OSRRefD22_7x_0)</f>
        <v>1114.55</v>
      </c>
      <c r="E46" s="1"/>
      <c r="F46" s="5">
        <f t="shared" si="38"/>
        <v>0</v>
      </c>
      <c r="G46" s="1"/>
      <c r="H46" s="1">
        <f>SUM(OSRRefH22_7x_0)</f>
        <v>1777.99</v>
      </c>
      <c r="I46" s="1"/>
      <c r="J46" s="5">
        <f t="shared" si="39"/>
        <v>9.8195197465688083E-2</v>
      </c>
      <c r="K46" s="1"/>
      <c r="L46" s="1">
        <f t="shared" si="40"/>
        <v>-663.44</v>
      </c>
      <c r="M46" s="1"/>
      <c r="N46" s="5">
        <f t="shared" si="41"/>
        <v>-0.37314045635802229</v>
      </c>
      <c r="O46" s="14"/>
      <c r="P46" s="1">
        <f>SUM(OSRRefP22_7x_0)</f>
        <v>1114.55</v>
      </c>
      <c r="Q46" s="1"/>
      <c r="R46" s="5">
        <f t="shared" si="42"/>
        <v>0</v>
      </c>
      <c r="S46" s="1"/>
      <c r="T46" s="1">
        <f>SUM(OSRRefT22_7x_0)</f>
        <v>1777.99</v>
      </c>
      <c r="U46" s="1"/>
      <c r="V46" s="5">
        <f t="shared" si="43"/>
        <v>9.8195197465688083E-2</v>
      </c>
      <c r="W46" s="1"/>
      <c r="X46" s="1">
        <f t="shared" si="44"/>
        <v>-663.44</v>
      </c>
      <c r="Y46" s="1"/>
      <c r="Z46" s="5">
        <f t="shared" si="45"/>
        <v>-0.37314045635802229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8">
        <v>1114.55</v>
      </c>
      <c r="E47" s="3"/>
      <c r="F47" s="7">
        <f t="shared" si="38"/>
        <v>0</v>
      </c>
      <c r="G47" s="3"/>
      <c r="H47" s="8">
        <v>1777.99</v>
      </c>
      <c r="I47" s="3"/>
      <c r="J47" s="7">
        <f t="shared" si="39"/>
        <v>9.8195197465688083E-2</v>
      </c>
      <c r="K47" s="3"/>
      <c r="L47" s="8">
        <f t="shared" si="40"/>
        <v>-663.44</v>
      </c>
      <c r="M47" s="3"/>
      <c r="N47" s="7">
        <f t="shared" si="41"/>
        <v>-0.37314045635802229</v>
      </c>
      <c r="O47" s="11"/>
      <c r="P47" s="8">
        <v>1114.55</v>
      </c>
      <c r="Q47" s="3"/>
      <c r="R47" s="7">
        <f t="shared" si="42"/>
        <v>0</v>
      </c>
      <c r="S47" s="3"/>
      <c r="T47" s="8">
        <v>1777.99</v>
      </c>
      <c r="U47" s="3"/>
      <c r="V47" s="7">
        <f t="shared" si="43"/>
        <v>9.8195197465688083E-2</v>
      </c>
      <c r="W47" s="3"/>
      <c r="X47" s="8">
        <f t="shared" si="44"/>
        <v>-663.44</v>
      </c>
      <c r="Y47" s="3"/>
      <c r="Z47" s="7">
        <f t="shared" si="45"/>
        <v>-0.37314045635802229</v>
      </c>
    </row>
    <row r="48" spans="1:26" s="27" customFormat="1" outlineLevel="1" collapsed="1" x14ac:dyDescent="0.25">
      <c r="A48" s="28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SUM(OSRRefD22_8x_0)</f>
        <v>0</v>
      </c>
      <c r="E48" s="1"/>
      <c r="F48" s="5">
        <f t="shared" si="38"/>
        <v>0</v>
      </c>
      <c r="G48" s="1"/>
      <c r="H48" s="1">
        <f>SUM(OSRRefH22_8x_0)</f>
        <v>1850</v>
      </c>
      <c r="I48" s="1"/>
      <c r="J48" s="5">
        <f t="shared" si="39"/>
        <v>0.10217218055867747</v>
      </c>
      <c r="K48" s="1"/>
      <c r="L48" s="1">
        <f t="shared" si="40"/>
        <v>-1850</v>
      </c>
      <c r="M48" s="1"/>
      <c r="N48" s="5">
        <f t="shared" si="41"/>
        <v>-1</v>
      </c>
      <c r="O48" s="14"/>
      <c r="P48" s="1">
        <f>SUM(OSRRefP22_8x_0)</f>
        <v>0</v>
      </c>
      <c r="Q48" s="1"/>
      <c r="R48" s="5">
        <f t="shared" si="42"/>
        <v>0</v>
      </c>
      <c r="S48" s="1"/>
      <c r="T48" s="1">
        <f>SUM(OSRRefT22_8x_0)</f>
        <v>1850</v>
      </c>
      <c r="U48" s="1"/>
      <c r="V48" s="5">
        <f t="shared" si="43"/>
        <v>0.10217218055867747</v>
      </c>
      <c r="W48" s="1"/>
      <c r="X48" s="1">
        <f t="shared" si="44"/>
        <v>-1850</v>
      </c>
      <c r="Y48" s="1"/>
      <c r="Z48" s="5">
        <f t="shared" si="45"/>
        <v>-1</v>
      </c>
    </row>
    <row r="49" spans="1:26" s="24" customFormat="1" hidden="1" outlineLevel="2" x14ac:dyDescent="0.25">
      <c r="A49" s="29"/>
      <c r="B49" s="11" t="str">
        <f>CONCATENATE("          ", "6273", " - ", "RENT")</f>
        <v xml:space="preserve">          6273 - RENT</v>
      </c>
      <c r="C49" s="11"/>
      <c r="D49" s="8"/>
      <c r="E49" s="3"/>
      <c r="F49" s="7">
        <f t="shared" si="38"/>
        <v>0</v>
      </c>
      <c r="G49" s="3"/>
      <c r="H49" s="8">
        <v>1850</v>
      </c>
      <c r="I49" s="3"/>
      <c r="J49" s="7">
        <f t="shared" si="39"/>
        <v>0.10217218055867747</v>
      </c>
      <c r="K49" s="3"/>
      <c r="L49" s="8">
        <f t="shared" si="40"/>
        <v>-1850</v>
      </c>
      <c r="M49" s="3"/>
      <c r="N49" s="7">
        <f t="shared" si="41"/>
        <v>-1</v>
      </c>
      <c r="O49" s="11"/>
      <c r="P49" s="8"/>
      <c r="Q49" s="3"/>
      <c r="R49" s="7">
        <f t="shared" si="42"/>
        <v>0</v>
      </c>
      <c r="S49" s="3"/>
      <c r="T49" s="8">
        <v>1850</v>
      </c>
      <c r="U49" s="3"/>
      <c r="V49" s="7">
        <f t="shared" si="43"/>
        <v>0.10217218055867747</v>
      </c>
      <c r="W49" s="3"/>
      <c r="X49" s="8">
        <f t="shared" si="44"/>
        <v>-1850</v>
      </c>
      <c r="Y49" s="3"/>
      <c r="Z49" s="7">
        <f t="shared" si="45"/>
        <v>-1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SUM(OSRRefD22_9x_0)</f>
        <v>0</v>
      </c>
      <c r="E50" s="1"/>
      <c r="F50" s="5">
        <f t="shared" si="38"/>
        <v>0</v>
      </c>
      <c r="G50" s="1"/>
      <c r="H50" s="1">
        <f>SUM(OSRRefH22_9x_0)</f>
        <v>2763.25</v>
      </c>
      <c r="I50" s="1"/>
      <c r="J50" s="5">
        <f t="shared" si="39"/>
        <v>0.15260933942095434</v>
      </c>
      <c r="K50" s="1"/>
      <c r="L50" s="1">
        <f t="shared" si="40"/>
        <v>-2763.25</v>
      </c>
      <c r="M50" s="1"/>
      <c r="N50" s="5">
        <f t="shared" si="41"/>
        <v>-1</v>
      </c>
      <c r="O50" s="14"/>
      <c r="P50" s="1">
        <f>SUM(OSRRefP22_9x_0)</f>
        <v>0</v>
      </c>
      <c r="Q50" s="1"/>
      <c r="R50" s="5">
        <f t="shared" si="42"/>
        <v>0</v>
      </c>
      <c r="S50" s="1"/>
      <c r="T50" s="1">
        <f>SUM(OSRRefT22_9x_0)</f>
        <v>2763.25</v>
      </c>
      <c r="U50" s="1"/>
      <c r="V50" s="5">
        <f t="shared" si="43"/>
        <v>0.15260933942095434</v>
      </c>
      <c r="W50" s="1"/>
      <c r="X50" s="1">
        <f t="shared" si="44"/>
        <v>-2763.25</v>
      </c>
      <c r="Y50" s="1"/>
      <c r="Z50" s="5">
        <f t="shared" si="45"/>
        <v>-1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8"/>
      <c r="E51" s="3"/>
      <c r="F51" s="7">
        <f t="shared" si="38"/>
        <v>0</v>
      </c>
      <c r="G51" s="3"/>
      <c r="H51" s="8">
        <v>1000</v>
      </c>
      <c r="I51" s="3"/>
      <c r="J51" s="7">
        <f t="shared" si="39"/>
        <v>5.522820570739323E-2</v>
      </c>
      <c r="K51" s="3"/>
      <c r="L51" s="8">
        <f t="shared" si="40"/>
        <v>-1000</v>
      </c>
      <c r="M51" s="3"/>
      <c r="N51" s="7">
        <f t="shared" si="41"/>
        <v>-1</v>
      </c>
      <c r="O51" s="11"/>
      <c r="P51" s="8"/>
      <c r="Q51" s="3"/>
      <c r="R51" s="7">
        <f t="shared" si="42"/>
        <v>0</v>
      </c>
      <c r="S51" s="3"/>
      <c r="T51" s="8">
        <v>1000</v>
      </c>
      <c r="U51" s="3"/>
      <c r="V51" s="7">
        <f t="shared" si="43"/>
        <v>5.522820570739323E-2</v>
      </c>
      <c r="W51" s="3"/>
      <c r="X51" s="8">
        <f t="shared" si="44"/>
        <v>-1000</v>
      </c>
      <c r="Y51" s="3"/>
      <c r="Z51" s="7">
        <f t="shared" si="45"/>
        <v>-1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8"/>
      <c r="E52" s="3"/>
      <c r="F52" s="7">
        <f t="shared" si="38"/>
        <v>0</v>
      </c>
      <c r="G52" s="3"/>
      <c r="H52" s="8">
        <v>1763.25</v>
      </c>
      <c r="I52" s="3"/>
      <c r="J52" s="7">
        <f t="shared" si="39"/>
        <v>9.7381133713561108E-2</v>
      </c>
      <c r="K52" s="3"/>
      <c r="L52" s="8">
        <f t="shared" si="40"/>
        <v>-1763.25</v>
      </c>
      <c r="M52" s="3"/>
      <c r="N52" s="7">
        <f t="shared" si="41"/>
        <v>-1</v>
      </c>
      <c r="O52" s="11"/>
      <c r="P52" s="8"/>
      <c r="Q52" s="3"/>
      <c r="R52" s="7">
        <f t="shared" si="42"/>
        <v>0</v>
      </c>
      <c r="S52" s="3"/>
      <c r="T52" s="8">
        <v>1763.25</v>
      </c>
      <c r="U52" s="3"/>
      <c r="V52" s="7">
        <f t="shared" si="43"/>
        <v>9.7381133713561108E-2</v>
      </c>
      <c r="W52" s="3"/>
      <c r="X52" s="8">
        <f t="shared" si="44"/>
        <v>-1763.25</v>
      </c>
      <c r="Y52" s="3"/>
      <c r="Z52" s="7">
        <f t="shared" si="45"/>
        <v>-1</v>
      </c>
    </row>
    <row r="53" spans="1:26" s="27" customFormat="1" outlineLevel="1" collapsed="1" x14ac:dyDescent="0.25">
      <c r="A53" s="28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SUM(OSRRefD22_10x_0)</f>
        <v>0</v>
      </c>
      <c r="E53" s="1"/>
      <c r="F53" s="5">
        <f t="shared" ref="F53:F58" si="46">IF(D$12=0,0,D53/D$12)</f>
        <v>0</v>
      </c>
      <c r="G53" s="1"/>
      <c r="H53" s="1">
        <f>SUM(OSRRefH22_10x_0)</f>
        <v>1448.56</v>
      </c>
      <c r="I53" s="1"/>
      <c r="J53" s="5">
        <f t="shared" ref="J53:J58" si="47">IF(H$12=0,0,H53/H$12)</f>
        <v>8.0001369659501526E-2</v>
      </c>
      <c r="K53" s="1"/>
      <c r="L53" s="1">
        <f t="shared" ref="L53:L58" si="48">+D53-H53</f>
        <v>-1448.56</v>
      </c>
      <c r="M53" s="1"/>
      <c r="N53" s="5">
        <f t="shared" ref="N53:N58" si="49">IF(H53=0,0,L53/H53)</f>
        <v>-1</v>
      </c>
      <c r="O53" s="14"/>
      <c r="P53" s="1">
        <f>SUM(OSRRefP22_10x_0)</f>
        <v>0</v>
      </c>
      <c r="Q53" s="1"/>
      <c r="R53" s="5">
        <f t="shared" ref="R53:R58" si="50">IF(P$12=0,0,P53/P$12)</f>
        <v>0</v>
      </c>
      <c r="S53" s="1"/>
      <c r="T53" s="1">
        <f>SUM(OSRRefT22_10x_0)</f>
        <v>1448.56</v>
      </c>
      <c r="U53" s="1"/>
      <c r="V53" s="5">
        <f t="shared" ref="V53:V58" si="51">IF(T$12=0,0,T53/T$12)</f>
        <v>8.0001369659501526E-2</v>
      </c>
      <c r="W53" s="1"/>
      <c r="X53" s="1">
        <f t="shared" ref="X53:X58" si="52">+P53-T53</f>
        <v>-1448.56</v>
      </c>
      <c r="Y53" s="1"/>
      <c r="Z53" s="5">
        <f t="shared" ref="Z53:Z58" si="53">IF(T53=0,0,X53/T53)</f>
        <v>-1</v>
      </c>
    </row>
    <row r="54" spans="1:26" s="24" customFormat="1" hidden="1" outlineLevel="2" x14ac:dyDescent="0.25">
      <c r="A54" s="29"/>
      <c r="B54" s="11" t="str">
        <f>CONCATENATE("          ", "6259", " - ", "ROYALTY &amp; COMMISSIONS")</f>
        <v xml:space="preserve">          6259 - ROYALTY &amp; COMMISSIONS</v>
      </c>
      <c r="C54" s="11"/>
      <c r="D54" s="8"/>
      <c r="E54" s="3"/>
      <c r="F54" s="7">
        <f t="shared" si="46"/>
        <v>0</v>
      </c>
      <c r="G54" s="3"/>
      <c r="H54" s="8">
        <v>1448.56</v>
      </c>
      <c r="I54" s="3"/>
      <c r="J54" s="7">
        <f t="shared" si="47"/>
        <v>8.0001369659501526E-2</v>
      </c>
      <c r="K54" s="3"/>
      <c r="L54" s="8">
        <f t="shared" si="48"/>
        <v>-1448.56</v>
      </c>
      <c r="M54" s="3"/>
      <c r="N54" s="7">
        <f t="shared" si="49"/>
        <v>-1</v>
      </c>
      <c r="O54" s="11"/>
      <c r="P54" s="8"/>
      <c r="Q54" s="3"/>
      <c r="R54" s="7">
        <f t="shared" si="50"/>
        <v>0</v>
      </c>
      <c r="S54" s="3"/>
      <c r="T54" s="8">
        <v>1448.56</v>
      </c>
      <c r="U54" s="3"/>
      <c r="V54" s="7">
        <f t="shared" si="51"/>
        <v>8.0001369659501526E-2</v>
      </c>
      <c r="W54" s="3"/>
      <c r="X54" s="8">
        <f t="shared" si="52"/>
        <v>-1448.56</v>
      </c>
      <c r="Y54" s="3"/>
      <c r="Z54" s="7">
        <f t="shared" si="53"/>
        <v>-1</v>
      </c>
    </row>
    <row r="55" spans="1:26" s="27" customFormat="1" outlineLevel="1" collapsed="1" x14ac:dyDescent="0.25">
      <c r="A55" s="28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SUM(OSRRefD22_11x_0)</f>
        <v>0</v>
      </c>
      <c r="E55" s="1"/>
      <c r="F55" s="5">
        <f t="shared" si="46"/>
        <v>0</v>
      </c>
      <c r="G55" s="1"/>
      <c r="H55" s="1">
        <f>SUM(OSRRefH22_11x_0)</f>
        <v>402.96999999999997</v>
      </c>
      <c r="I55" s="1"/>
      <c r="J55" s="5">
        <f t="shared" si="47"/>
        <v>2.2255310053908246E-2</v>
      </c>
      <c r="K55" s="1"/>
      <c r="L55" s="1">
        <f t="shared" si="48"/>
        <v>-402.96999999999997</v>
      </c>
      <c r="M55" s="1"/>
      <c r="N55" s="5">
        <f t="shared" si="49"/>
        <v>-1</v>
      </c>
      <c r="O55" s="14"/>
      <c r="P55" s="1">
        <f>SUM(OSRRefP22_11x_0)</f>
        <v>0</v>
      </c>
      <c r="Q55" s="1"/>
      <c r="R55" s="5">
        <f t="shared" si="50"/>
        <v>0</v>
      </c>
      <c r="S55" s="1"/>
      <c r="T55" s="1">
        <f>SUM(OSRRefT22_11x_0)</f>
        <v>402.96999999999997</v>
      </c>
      <c r="U55" s="1"/>
      <c r="V55" s="5">
        <f t="shared" si="51"/>
        <v>2.2255310053908246E-2</v>
      </c>
      <c r="W55" s="1"/>
      <c r="X55" s="1">
        <f t="shared" si="52"/>
        <v>-402.96999999999997</v>
      </c>
      <c r="Y55" s="1"/>
      <c r="Z55" s="5">
        <f t="shared" si="53"/>
        <v>-1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8"/>
      <c r="E56" s="3"/>
      <c r="F56" s="7">
        <f t="shared" si="46"/>
        <v>0</v>
      </c>
      <c r="G56" s="3"/>
      <c r="H56" s="8">
        <v>96.96</v>
      </c>
      <c r="I56" s="3"/>
      <c r="J56" s="7">
        <f t="shared" si="47"/>
        <v>5.354926825388847E-3</v>
      </c>
      <c r="K56" s="3"/>
      <c r="L56" s="8">
        <f t="shared" si="48"/>
        <v>-96.96</v>
      </c>
      <c r="M56" s="3"/>
      <c r="N56" s="7">
        <f t="shared" si="49"/>
        <v>-1</v>
      </c>
      <c r="O56" s="11"/>
      <c r="P56" s="8"/>
      <c r="Q56" s="3"/>
      <c r="R56" s="7">
        <f t="shared" si="50"/>
        <v>0</v>
      </c>
      <c r="S56" s="3"/>
      <c r="T56" s="8">
        <v>96.96</v>
      </c>
      <c r="U56" s="3"/>
      <c r="V56" s="7">
        <f t="shared" si="51"/>
        <v>5.354926825388847E-3</v>
      </c>
      <c r="W56" s="3"/>
      <c r="X56" s="8">
        <f t="shared" si="52"/>
        <v>-96.96</v>
      </c>
      <c r="Y56" s="3"/>
      <c r="Z56" s="7">
        <f t="shared" si="53"/>
        <v>-1</v>
      </c>
    </row>
    <row r="57" spans="1:26" s="24" customFormat="1" hidden="1" outlineLevel="2" x14ac:dyDescent="0.25">
      <c r="A57" s="29"/>
      <c r="B57" s="11" t="str">
        <f>CONCATENATE("          ", "6284", " - ", "TRASH REMOVAL EXPENSE")</f>
        <v xml:space="preserve">          6284 - TRASH REMOVAL EXPENSE</v>
      </c>
      <c r="C57" s="11"/>
      <c r="D57" s="8"/>
      <c r="E57" s="3"/>
      <c r="F57" s="7">
        <f t="shared" si="46"/>
        <v>0</v>
      </c>
      <c r="G57" s="3"/>
      <c r="H57" s="8">
        <v>94</v>
      </c>
      <c r="I57" s="3"/>
      <c r="J57" s="7">
        <f t="shared" si="47"/>
        <v>5.1914513364949635E-3</v>
      </c>
      <c r="K57" s="3"/>
      <c r="L57" s="8">
        <f t="shared" si="48"/>
        <v>-94</v>
      </c>
      <c r="M57" s="3"/>
      <c r="N57" s="7">
        <f t="shared" si="49"/>
        <v>-1</v>
      </c>
      <c r="O57" s="11"/>
      <c r="P57" s="8"/>
      <c r="Q57" s="3"/>
      <c r="R57" s="7">
        <f t="shared" si="50"/>
        <v>0</v>
      </c>
      <c r="S57" s="3"/>
      <c r="T57" s="8">
        <v>94</v>
      </c>
      <c r="U57" s="3"/>
      <c r="V57" s="7">
        <f t="shared" si="51"/>
        <v>5.1914513364949635E-3</v>
      </c>
      <c r="W57" s="3"/>
      <c r="X57" s="8">
        <f t="shared" si="52"/>
        <v>-94</v>
      </c>
      <c r="Y57" s="3"/>
      <c r="Z57" s="7">
        <f t="shared" si="53"/>
        <v>-1</v>
      </c>
    </row>
    <row r="58" spans="1:26" s="24" customFormat="1" hidden="1" outlineLevel="2" x14ac:dyDescent="0.25">
      <c r="A58" s="29"/>
      <c r="B58" s="11" t="str">
        <f>CONCATENATE("          ", "6286", " - ", "LAUNDRY EXPENSE")</f>
        <v xml:space="preserve">          6286 - LAUNDRY EXPENSE</v>
      </c>
      <c r="C58" s="11"/>
      <c r="D58" s="8"/>
      <c r="E58" s="3"/>
      <c r="F58" s="7">
        <f t="shared" si="46"/>
        <v>0</v>
      </c>
      <c r="G58" s="3"/>
      <c r="H58" s="8">
        <v>212.01</v>
      </c>
      <c r="I58" s="3"/>
      <c r="J58" s="7">
        <f t="shared" si="47"/>
        <v>1.1708931892024438E-2</v>
      </c>
      <c r="K58" s="3"/>
      <c r="L58" s="8">
        <f t="shared" si="48"/>
        <v>-212.01</v>
      </c>
      <c r="M58" s="3"/>
      <c r="N58" s="7">
        <f t="shared" si="49"/>
        <v>-1</v>
      </c>
      <c r="O58" s="11"/>
      <c r="P58" s="8"/>
      <c r="Q58" s="3"/>
      <c r="R58" s="7">
        <f t="shared" si="50"/>
        <v>0</v>
      </c>
      <c r="S58" s="3"/>
      <c r="T58" s="8">
        <v>212.01</v>
      </c>
      <c r="U58" s="3"/>
      <c r="V58" s="7">
        <f t="shared" si="51"/>
        <v>1.1708931892024438E-2</v>
      </c>
      <c r="W58" s="3"/>
      <c r="X58" s="8">
        <f t="shared" si="52"/>
        <v>-212.01</v>
      </c>
      <c r="Y58" s="3"/>
      <c r="Z58" s="7">
        <f t="shared" si="53"/>
        <v>-1</v>
      </c>
    </row>
    <row r="59" spans="1:26" s="27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SUM(OSRRefD22_12x_0)</f>
        <v>0</v>
      </c>
      <c r="E59" s="1"/>
      <c r="F59" s="5">
        <f t="shared" ref="F59:F64" si="54">IF(D$12=0,0,D59/D$12)</f>
        <v>0</v>
      </c>
      <c r="G59" s="1"/>
      <c r="H59" s="1">
        <f>SUM(OSRRefH22_12x_0)</f>
        <v>3507.7300000000005</v>
      </c>
      <c r="I59" s="1"/>
      <c r="J59" s="5">
        <f t="shared" ref="J59:J64" si="55">IF(H$12=0,0,H59/H$12)</f>
        <v>0.19372563400599446</v>
      </c>
      <c r="K59" s="1"/>
      <c r="L59" s="1">
        <f t="shared" ref="L59:L64" si="56">+D59-H59</f>
        <v>-3507.7300000000005</v>
      </c>
      <c r="M59" s="1"/>
      <c r="N59" s="5">
        <f t="shared" ref="N59:N64" si="57">IF(H59=0,0,L59/H59)</f>
        <v>-1</v>
      </c>
      <c r="O59" s="14"/>
      <c r="P59" s="1">
        <f>SUM(OSRRefP22_12x_0)</f>
        <v>0</v>
      </c>
      <c r="Q59" s="1"/>
      <c r="R59" s="5">
        <f t="shared" ref="R59:R64" si="58">IF(P$12=0,0,P59/P$12)</f>
        <v>0</v>
      </c>
      <c r="S59" s="1"/>
      <c r="T59" s="1">
        <f>SUM(OSRRefT22_12x_0)</f>
        <v>3507.7300000000005</v>
      </c>
      <c r="U59" s="1"/>
      <c r="V59" s="5">
        <f t="shared" ref="V59:V64" si="59">IF(T$12=0,0,T59/T$12)</f>
        <v>0.19372563400599446</v>
      </c>
      <c r="W59" s="1"/>
      <c r="X59" s="1">
        <f t="shared" ref="X59:X64" si="60">+P59-T59</f>
        <v>-3507.7300000000005</v>
      </c>
      <c r="Y59" s="1"/>
      <c r="Z59" s="5">
        <f t="shared" ref="Z59:Z64" si="61">IF(T59=0,0,X59/T59)</f>
        <v>-1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8"/>
      <c r="E60" s="3"/>
      <c r="F60" s="7">
        <f t="shared" si="54"/>
        <v>0</v>
      </c>
      <c r="G60" s="3"/>
      <c r="H60" s="8">
        <v>141.34</v>
      </c>
      <c r="I60" s="3"/>
      <c r="J60" s="7">
        <f t="shared" si="55"/>
        <v>7.8059545946829586E-3</v>
      </c>
      <c r="K60" s="3"/>
      <c r="L60" s="8">
        <f t="shared" si="56"/>
        <v>-141.34</v>
      </c>
      <c r="M60" s="3"/>
      <c r="N60" s="7">
        <f t="shared" si="57"/>
        <v>-1</v>
      </c>
      <c r="O60" s="11"/>
      <c r="P60" s="8"/>
      <c r="Q60" s="3"/>
      <c r="R60" s="7">
        <f t="shared" si="58"/>
        <v>0</v>
      </c>
      <c r="S60" s="3"/>
      <c r="T60" s="8">
        <v>141.34</v>
      </c>
      <c r="U60" s="3"/>
      <c r="V60" s="7">
        <f t="shared" si="59"/>
        <v>7.8059545946829586E-3</v>
      </c>
      <c r="W60" s="3"/>
      <c r="X60" s="8">
        <f t="shared" si="60"/>
        <v>-141.34</v>
      </c>
      <c r="Y60" s="3"/>
      <c r="Z60" s="7">
        <f t="shared" si="61"/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8"/>
      <c r="E61" s="3"/>
      <c r="F61" s="7">
        <f t="shared" si="54"/>
        <v>0</v>
      </c>
      <c r="G61" s="3"/>
      <c r="H61" s="8">
        <v>2140.3000000000002</v>
      </c>
      <c r="I61" s="3"/>
      <c r="J61" s="7">
        <f t="shared" si="55"/>
        <v>0.11820492867553374</v>
      </c>
      <c r="K61" s="3"/>
      <c r="L61" s="8">
        <f t="shared" si="56"/>
        <v>-2140.3000000000002</v>
      </c>
      <c r="M61" s="3"/>
      <c r="N61" s="7">
        <f t="shared" si="57"/>
        <v>-1</v>
      </c>
      <c r="O61" s="11"/>
      <c r="P61" s="8"/>
      <c r="Q61" s="3"/>
      <c r="R61" s="7">
        <f t="shared" si="58"/>
        <v>0</v>
      </c>
      <c r="S61" s="3"/>
      <c r="T61" s="8">
        <v>2140.3000000000002</v>
      </c>
      <c r="U61" s="3"/>
      <c r="V61" s="7">
        <f t="shared" si="59"/>
        <v>0.11820492867553374</v>
      </c>
      <c r="W61" s="3"/>
      <c r="X61" s="8">
        <f t="shared" si="60"/>
        <v>-2140.3000000000002</v>
      </c>
      <c r="Y61" s="3"/>
      <c r="Z61" s="7">
        <f t="shared" si="61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8"/>
      <c r="E62" s="3"/>
      <c r="F62" s="7">
        <f t="shared" si="54"/>
        <v>0</v>
      </c>
      <c r="G62" s="3"/>
      <c r="H62" s="8">
        <v>123.87</v>
      </c>
      <c r="I62" s="3"/>
      <c r="J62" s="7">
        <f t="shared" si="55"/>
        <v>6.8411178409747992E-3</v>
      </c>
      <c r="K62" s="3"/>
      <c r="L62" s="8">
        <f t="shared" si="56"/>
        <v>-123.87</v>
      </c>
      <c r="M62" s="3"/>
      <c r="N62" s="7">
        <f t="shared" si="57"/>
        <v>-1</v>
      </c>
      <c r="O62" s="11"/>
      <c r="P62" s="8"/>
      <c r="Q62" s="3"/>
      <c r="R62" s="7">
        <f t="shared" si="58"/>
        <v>0</v>
      </c>
      <c r="S62" s="3"/>
      <c r="T62" s="8">
        <v>123.87</v>
      </c>
      <c r="U62" s="3"/>
      <c r="V62" s="7">
        <f t="shared" si="59"/>
        <v>6.8411178409747992E-3</v>
      </c>
      <c r="W62" s="3"/>
      <c r="X62" s="8">
        <f t="shared" si="60"/>
        <v>-123.87</v>
      </c>
      <c r="Y62" s="3"/>
      <c r="Z62" s="7">
        <f t="shared" si="61"/>
        <v>-1</v>
      </c>
    </row>
    <row r="63" spans="1:26" s="24" customFormat="1" hidden="1" outlineLevel="2" x14ac:dyDescent="0.25">
      <c r="A63" s="29"/>
      <c r="B63" s="11" t="str">
        <f>CONCATENATE("          ", "6243", " - ", "PAPER SUPPLIES")</f>
        <v xml:space="preserve">          6243 - PAPER SUPPLIES</v>
      </c>
      <c r="C63" s="11"/>
      <c r="D63" s="8"/>
      <c r="E63" s="3"/>
      <c r="F63" s="7">
        <f t="shared" si="54"/>
        <v>0</v>
      </c>
      <c r="G63" s="3"/>
      <c r="H63" s="8">
        <v>1079.21</v>
      </c>
      <c r="I63" s="3"/>
      <c r="J63" s="7">
        <f t="shared" si="55"/>
        <v>5.9602831881475846E-2</v>
      </c>
      <c r="K63" s="3"/>
      <c r="L63" s="8">
        <f t="shared" si="56"/>
        <v>-1079.21</v>
      </c>
      <c r="M63" s="3"/>
      <c r="N63" s="7">
        <f t="shared" si="57"/>
        <v>-1</v>
      </c>
      <c r="O63" s="11"/>
      <c r="P63" s="8"/>
      <c r="Q63" s="3"/>
      <c r="R63" s="7">
        <f t="shared" si="58"/>
        <v>0</v>
      </c>
      <c r="S63" s="3"/>
      <c r="T63" s="8">
        <v>1079.21</v>
      </c>
      <c r="U63" s="3"/>
      <c r="V63" s="7">
        <f t="shared" si="59"/>
        <v>5.9602831881475846E-2</v>
      </c>
      <c r="W63" s="3"/>
      <c r="X63" s="8">
        <f t="shared" si="60"/>
        <v>-1079.21</v>
      </c>
      <c r="Y63" s="3"/>
      <c r="Z63" s="7">
        <f t="shared" si="61"/>
        <v>-1</v>
      </c>
    </row>
    <row r="64" spans="1:26" s="24" customFormat="1" hidden="1" outlineLevel="2" x14ac:dyDescent="0.25">
      <c r="A64" s="29"/>
      <c r="B64" s="11" t="str">
        <f>CONCATENATE("          ", "6245", " - ", "PRINTING")</f>
        <v xml:space="preserve">          6245 - PRINTING</v>
      </c>
      <c r="C64" s="11"/>
      <c r="D64" s="8"/>
      <c r="E64" s="3"/>
      <c r="F64" s="7">
        <f t="shared" si="54"/>
        <v>0</v>
      </c>
      <c r="G64" s="3"/>
      <c r="H64" s="8">
        <v>23.01</v>
      </c>
      <c r="I64" s="3"/>
      <c r="J64" s="7">
        <f t="shared" si="55"/>
        <v>1.2708010133271183E-3</v>
      </c>
      <c r="K64" s="3"/>
      <c r="L64" s="8">
        <f t="shared" si="56"/>
        <v>-23.01</v>
      </c>
      <c r="M64" s="3"/>
      <c r="N64" s="7">
        <f t="shared" si="57"/>
        <v>-1</v>
      </c>
      <c r="O64" s="11"/>
      <c r="P64" s="8"/>
      <c r="Q64" s="3"/>
      <c r="R64" s="7">
        <f t="shared" si="58"/>
        <v>0</v>
      </c>
      <c r="S64" s="3"/>
      <c r="T64" s="8">
        <v>23.01</v>
      </c>
      <c r="U64" s="3"/>
      <c r="V64" s="7">
        <f t="shared" si="59"/>
        <v>1.2708010133271183E-3</v>
      </c>
      <c r="W64" s="3"/>
      <c r="X64" s="8">
        <f t="shared" si="60"/>
        <v>-23.01</v>
      </c>
      <c r="Y64" s="3"/>
      <c r="Z64" s="7">
        <f t="shared" si="61"/>
        <v>-1</v>
      </c>
    </row>
    <row r="65" spans="1:26" s="27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SUM(OSRRefD22_13x_0)</f>
        <v>23</v>
      </c>
      <c r="E65" s="1"/>
      <c r="F65" s="5">
        <f t="shared" ref="F65:F70" si="62">IF(D$12=0,0,D65/D$12)</f>
        <v>0</v>
      </c>
      <c r="G65" s="1"/>
      <c r="H65" s="1">
        <f>SUM(OSRRefH22_13x_0)</f>
        <v>78.05</v>
      </c>
      <c r="I65" s="1"/>
      <c r="J65" s="5">
        <f t="shared" ref="J65:J70" si="63">IF(H$12=0,0,H65/H$12)</f>
        <v>4.3105614554620414E-3</v>
      </c>
      <c r="K65" s="1"/>
      <c r="L65" s="1">
        <f t="shared" ref="L65:L70" si="64">+D65-H65</f>
        <v>-55.05</v>
      </c>
      <c r="M65" s="1"/>
      <c r="N65" s="5">
        <f t="shared" ref="N65:N70" si="65">IF(H65=0,0,L65/H65)</f>
        <v>-0.70531710442024342</v>
      </c>
      <c r="O65" s="14"/>
      <c r="P65" s="1">
        <f>SUM(OSRRefP22_13x_0)</f>
        <v>23</v>
      </c>
      <c r="Q65" s="1"/>
      <c r="R65" s="5">
        <f t="shared" ref="R65:R70" si="66">IF(P$12=0,0,P65/P$12)</f>
        <v>0</v>
      </c>
      <c r="S65" s="1"/>
      <c r="T65" s="1">
        <f>SUM(OSRRefT22_13x_0)</f>
        <v>78.05</v>
      </c>
      <c r="U65" s="1"/>
      <c r="V65" s="5">
        <f t="shared" ref="V65:V70" si="67">IF(T$12=0,0,T65/T$12)</f>
        <v>4.3105614554620414E-3</v>
      </c>
      <c r="W65" s="1"/>
      <c r="X65" s="1">
        <f t="shared" ref="X65:X70" si="68">+P65-T65</f>
        <v>-55.05</v>
      </c>
      <c r="Y65" s="1"/>
      <c r="Z65" s="5">
        <f t="shared" ref="Z65:Z70" si="69">IF(T65=0,0,X65/T65)</f>
        <v>-0.70531710442024342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8">
        <v>23</v>
      </c>
      <c r="E66" s="3"/>
      <c r="F66" s="7">
        <f t="shared" si="62"/>
        <v>0</v>
      </c>
      <c r="G66" s="3"/>
      <c r="H66" s="8">
        <v>78.05</v>
      </c>
      <c r="I66" s="3"/>
      <c r="J66" s="7">
        <f t="shared" si="63"/>
        <v>4.3105614554620414E-3</v>
      </c>
      <c r="K66" s="3"/>
      <c r="L66" s="8">
        <f t="shared" si="64"/>
        <v>-55.05</v>
      </c>
      <c r="M66" s="3"/>
      <c r="N66" s="7">
        <f t="shared" si="65"/>
        <v>-0.70531710442024342</v>
      </c>
      <c r="O66" s="11"/>
      <c r="P66" s="8">
        <v>23</v>
      </c>
      <c r="Q66" s="3"/>
      <c r="R66" s="7">
        <f t="shared" si="66"/>
        <v>0</v>
      </c>
      <c r="S66" s="3"/>
      <c r="T66" s="8">
        <v>78.05</v>
      </c>
      <c r="U66" s="3"/>
      <c r="V66" s="7">
        <f t="shared" si="67"/>
        <v>4.3105614554620414E-3</v>
      </c>
      <c r="W66" s="3"/>
      <c r="X66" s="8">
        <f t="shared" si="68"/>
        <v>-55.05</v>
      </c>
      <c r="Y66" s="3"/>
      <c r="Z66" s="7">
        <f t="shared" si="69"/>
        <v>-0.70531710442024342</v>
      </c>
    </row>
    <row r="67" spans="1:26" s="27" customFormat="1" outlineLevel="1" collapsed="1" x14ac:dyDescent="0.25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SUM(OSRRefD22_14x_0)</f>
        <v>0</v>
      </c>
      <c r="E67" s="1"/>
      <c r="F67" s="5">
        <f t="shared" si="62"/>
        <v>0</v>
      </c>
      <c r="G67" s="1"/>
      <c r="H67" s="1">
        <f>SUM(OSRRefH22_14x_0)</f>
        <v>237.95</v>
      </c>
      <c r="I67" s="1"/>
      <c r="J67" s="5">
        <f t="shared" si="63"/>
        <v>1.3141551548074218E-2</v>
      </c>
      <c r="K67" s="1"/>
      <c r="L67" s="1">
        <f t="shared" si="64"/>
        <v>-237.95</v>
      </c>
      <c r="M67" s="1"/>
      <c r="N67" s="5">
        <f t="shared" si="65"/>
        <v>-1</v>
      </c>
      <c r="O67" s="14"/>
      <c r="P67" s="1">
        <f>SUM(OSRRefP22_14x_0)</f>
        <v>0</v>
      </c>
      <c r="Q67" s="1"/>
      <c r="R67" s="5">
        <f t="shared" si="66"/>
        <v>0</v>
      </c>
      <c r="S67" s="1"/>
      <c r="T67" s="1">
        <f>SUM(OSRRefT22_14x_0)</f>
        <v>237.95</v>
      </c>
      <c r="U67" s="1"/>
      <c r="V67" s="5">
        <f t="shared" si="67"/>
        <v>1.3141551548074218E-2</v>
      </c>
      <c r="W67" s="1"/>
      <c r="X67" s="1">
        <f t="shared" si="68"/>
        <v>-237.95</v>
      </c>
      <c r="Y67" s="1"/>
      <c r="Z67" s="5">
        <f t="shared" si="69"/>
        <v>-1</v>
      </c>
    </row>
    <row r="68" spans="1:26" s="24" customFormat="1" hidden="1" outlineLevel="2" x14ac:dyDescent="0.25">
      <c r="A68" s="29"/>
      <c r="B68" s="11" t="str">
        <f>CONCATENATE("          ", "6376", " - ", "TRAINING")</f>
        <v xml:space="preserve">          6376 - TRAINING</v>
      </c>
      <c r="C68" s="11"/>
      <c r="D68" s="8"/>
      <c r="E68" s="3"/>
      <c r="F68" s="7">
        <f t="shared" si="62"/>
        <v>0</v>
      </c>
      <c r="G68" s="3"/>
      <c r="H68" s="8">
        <v>237.95</v>
      </c>
      <c r="I68" s="3"/>
      <c r="J68" s="7">
        <f t="shared" si="63"/>
        <v>1.3141551548074218E-2</v>
      </c>
      <c r="K68" s="3"/>
      <c r="L68" s="8">
        <f t="shared" si="64"/>
        <v>-237.95</v>
      </c>
      <c r="M68" s="3"/>
      <c r="N68" s="7">
        <f t="shared" si="65"/>
        <v>-1</v>
      </c>
      <c r="O68" s="11"/>
      <c r="P68" s="8"/>
      <c r="Q68" s="3"/>
      <c r="R68" s="7">
        <f t="shared" si="66"/>
        <v>0</v>
      </c>
      <c r="S68" s="3"/>
      <c r="T68" s="8">
        <v>237.95</v>
      </c>
      <c r="U68" s="3"/>
      <c r="V68" s="7">
        <f t="shared" si="67"/>
        <v>1.3141551548074218E-2</v>
      </c>
      <c r="W68" s="3"/>
      <c r="X68" s="8">
        <f t="shared" si="68"/>
        <v>-237.95</v>
      </c>
      <c r="Y68" s="3"/>
      <c r="Z68" s="7">
        <f t="shared" si="69"/>
        <v>-1</v>
      </c>
    </row>
    <row r="69" spans="1:26" s="27" customFormat="1" outlineLevel="1" collapsed="1" x14ac:dyDescent="0.25">
      <c r="A69" s="28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SUM(OSRRefD22_15x_0)</f>
        <v>0</v>
      </c>
      <c r="E69" s="1"/>
      <c r="F69" s="5">
        <f t="shared" si="62"/>
        <v>0</v>
      </c>
      <c r="G69" s="1"/>
      <c r="H69" s="1">
        <f>SUM(OSRRefH22_15x_0)</f>
        <v>306</v>
      </c>
      <c r="I69" s="1"/>
      <c r="J69" s="5">
        <f t="shared" si="63"/>
        <v>1.6899830946462326E-2</v>
      </c>
      <c r="K69" s="1"/>
      <c r="L69" s="1">
        <f t="shared" si="64"/>
        <v>-306</v>
      </c>
      <c r="M69" s="1"/>
      <c r="N69" s="5">
        <f t="shared" si="65"/>
        <v>-1</v>
      </c>
      <c r="O69" s="14"/>
      <c r="P69" s="1">
        <f>SUM(OSRRefP22_15x_0)</f>
        <v>0</v>
      </c>
      <c r="Q69" s="1"/>
      <c r="R69" s="5">
        <f t="shared" si="66"/>
        <v>0</v>
      </c>
      <c r="S69" s="1"/>
      <c r="T69" s="1">
        <f>SUM(OSRRefT22_15x_0)</f>
        <v>306</v>
      </c>
      <c r="U69" s="1"/>
      <c r="V69" s="5">
        <f t="shared" si="67"/>
        <v>1.6899830946462326E-2</v>
      </c>
      <c r="W69" s="1"/>
      <c r="X69" s="1">
        <f t="shared" si="68"/>
        <v>-306</v>
      </c>
      <c r="Y69" s="1"/>
      <c r="Z69" s="5">
        <f t="shared" si="69"/>
        <v>-1</v>
      </c>
    </row>
    <row r="70" spans="1:26" s="24" customFormat="1" hidden="1" outlineLevel="2" x14ac:dyDescent="0.25">
      <c r="A70" s="29"/>
      <c r="B70" s="11" t="str">
        <f>CONCATENATE("          ", "6274", " - ", "UTILITIES")</f>
        <v xml:space="preserve">          6274 - UTILITIES</v>
      </c>
      <c r="C70" s="11"/>
      <c r="D70" s="8"/>
      <c r="E70" s="3"/>
      <c r="F70" s="7">
        <f t="shared" si="62"/>
        <v>0</v>
      </c>
      <c r="G70" s="3"/>
      <c r="H70" s="8">
        <v>306</v>
      </c>
      <c r="I70" s="3"/>
      <c r="J70" s="7">
        <f t="shared" si="63"/>
        <v>1.6899830946462326E-2</v>
      </c>
      <c r="K70" s="3"/>
      <c r="L70" s="8">
        <f t="shared" si="64"/>
        <v>-306</v>
      </c>
      <c r="M70" s="3"/>
      <c r="N70" s="7">
        <f t="shared" si="65"/>
        <v>-1</v>
      </c>
      <c r="O70" s="11"/>
      <c r="P70" s="8"/>
      <c r="Q70" s="3"/>
      <c r="R70" s="7">
        <f t="shared" si="66"/>
        <v>0</v>
      </c>
      <c r="S70" s="3"/>
      <c r="T70" s="8">
        <v>306</v>
      </c>
      <c r="U70" s="3"/>
      <c r="V70" s="7">
        <f t="shared" si="67"/>
        <v>1.6899830946462326E-2</v>
      </c>
      <c r="W70" s="3"/>
      <c r="X70" s="8">
        <f t="shared" si="68"/>
        <v>-306</v>
      </c>
      <c r="Y70" s="3"/>
      <c r="Z70" s="7">
        <f t="shared" si="69"/>
        <v>-1</v>
      </c>
    </row>
    <row r="71" spans="1:26" s="61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5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10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x14ac:dyDescent="0.25">
      <c r="A74" s="10"/>
      <c r="B74" s="26" t="s">
        <v>3</v>
      </c>
      <c r="C74" s="26"/>
      <c r="D74" s="19">
        <f>+D20-D22+D72</f>
        <v>-6467.6</v>
      </c>
      <c r="E74" s="13"/>
      <c r="F74" s="20">
        <f>IF(D$12=0,0,D74/D$12)</f>
        <v>0</v>
      </c>
      <c r="G74" s="13"/>
      <c r="H74" s="19">
        <f>+H20-H22+H72</f>
        <v>-32977.450000000004</v>
      </c>
      <c r="I74" s="13"/>
      <c r="J74" s="20">
        <f>IF(H$12=0,0,H74/H$12)</f>
        <v>-1.821285392305275</v>
      </c>
      <c r="K74" s="16"/>
      <c r="L74" s="19">
        <f>+D74-H74</f>
        <v>26509.850000000006</v>
      </c>
      <c r="M74" s="16"/>
      <c r="N74" s="20">
        <f>IF(H74=0,0,L74/H74)</f>
        <v>-0.80387810458358677</v>
      </c>
      <c r="O74" s="25"/>
      <c r="P74" s="19">
        <f>+P20-P22+P72</f>
        <v>-6467.6</v>
      </c>
      <c r="Q74" s="13"/>
      <c r="R74" s="20">
        <f>IF(P$12=0,0,P74/P$12)</f>
        <v>0</v>
      </c>
      <c r="S74" s="13"/>
      <c r="T74" s="19">
        <f>+T20-T22+T72</f>
        <v>-32977.450000000004</v>
      </c>
      <c r="U74" s="13"/>
      <c r="V74" s="20">
        <f>IF(T$12=0,0,T74/T$12)</f>
        <v>-1.821285392305275</v>
      </c>
      <c r="W74" s="16"/>
      <c r="X74" s="19">
        <f>+P74-T74</f>
        <v>26509.850000000006</v>
      </c>
      <c r="Y74" s="16"/>
      <c r="Z74" s="20">
        <f>IF(T74=0,0,X74/T74)</f>
        <v>-0.80387810458358677</v>
      </c>
    </row>
    <row r="75" spans="1:26" x14ac:dyDescent="0.25">
      <c r="A75" s="9"/>
      <c r="B75" s="10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x14ac:dyDescent="0.25">
      <c r="A76" s="51"/>
      <c r="B76" s="10" t="s">
        <v>13</v>
      </c>
      <c r="C76" s="10"/>
      <c r="D76" s="4"/>
      <c r="E76" s="4"/>
      <c r="F76" s="12">
        <f>IF(D$12=0,0,D76/D$12)</f>
        <v>0</v>
      </c>
      <c r="G76" s="4"/>
      <c r="H76" s="4">
        <v>3764.91</v>
      </c>
      <c r="I76" s="4"/>
      <c r="J76" s="12">
        <f>IF(H$12=0,0,H76/H$12)</f>
        <v>0.20792922394982183</v>
      </c>
      <c r="K76" s="4"/>
      <c r="L76" s="4">
        <f>+D76-H76</f>
        <v>-3764.91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3764.91</v>
      </c>
      <c r="U76" s="4"/>
      <c r="V76" s="12">
        <f>IF(T$12=0,0,T76/T$12)</f>
        <v>0.20792922394982183</v>
      </c>
      <c r="W76" s="4"/>
      <c r="X76" s="4">
        <f>+P76-T76</f>
        <v>-3764.91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10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ht="15.75" thickBot="1" x14ac:dyDescent="0.3">
      <c r="A78" s="10"/>
      <c r="B78" s="26" t="s">
        <v>4</v>
      </c>
      <c r="C78" s="26"/>
      <c r="D78" s="35">
        <f>+D74-D76</f>
        <v>-6467.6</v>
      </c>
      <c r="E78" s="13"/>
      <c r="F78" s="30">
        <f>IF(D$12=0,0,D78/D$12)</f>
        <v>0</v>
      </c>
      <c r="G78" s="13"/>
      <c r="H78" s="35">
        <f>+H74-H76</f>
        <v>-36742.36</v>
      </c>
      <c r="I78" s="13"/>
      <c r="J78" s="30">
        <f>IF(H$12=0,0,H78/H$12)</f>
        <v>-2.0292146162550968</v>
      </c>
      <c r="K78" s="16"/>
      <c r="L78" s="35">
        <f>D78-H78</f>
        <v>30274.760000000002</v>
      </c>
      <c r="M78" s="16"/>
      <c r="N78" s="30">
        <f>IF(H78=0,0,L78/H78)</f>
        <v>-0.82397429016535684</v>
      </c>
      <c r="O78" s="25"/>
      <c r="P78" s="35">
        <f>+P74-P76</f>
        <v>-6467.6</v>
      </c>
      <c r="Q78" s="13"/>
      <c r="R78" s="30">
        <f>IF(P$12=0,0,P78/P$12)</f>
        <v>0</v>
      </c>
      <c r="S78" s="13"/>
      <c r="T78" s="35">
        <f>+T74-T76</f>
        <v>-36742.36</v>
      </c>
      <c r="U78" s="13"/>
      <c r="V78" s="30">
        <f>IF(T$12=0,0,T78/T$12)</f>
        <v>-2.0292146162550968</v>
      </c>
      <c r="W78" s="16"/>
      <c r="X78" s="35">
        <f>P78-T78</f>
        <v>30274.760000000002</v>
      </c>
      <c r="Y78" s="16"/>
      <c r="Z78" s="30">
        <f>IF(T78=0,0,X78/T78)</f>
        <v>-0.82397429016535684</v>
      </c>
    </row>
    <row r="79" spans="1:26" ht="15.75" thickTop="1" x14ac:dyDescent="0.25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x14ac:dyDescent="0.25">
      <c r="A80" s="9"/>
      <c r="B80" s="9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ht="15.75" thickBot="1" x14ac:dyDescent="0.3">
      <c r="A81" s="10"/>
      <c r="B81" s="26" t="s">
        <v>5</v>
      </c>
      <c r="C81" s="26"/>
      <c r="D81" s="31">
        <f>SUM(D78:D80)</f>
        <v>-6467.6</v>
      </c>
      <c r="E81" s="13"/>
      <c r="F81" s="32">
        <f>IF(D$12=0,0,D81/D$12)</f>
        <v>0</v>
      </c>
      <c r="G81" s="13"/>
      <c r="H81" s="31">
        <f>SUM(H78:H80)</f>
        <v>-36742.36</v>
      </c>
      <c r="I81" s="13"/>
      <c r="J81" s="32">
        <f>IF(H$12=0,0,H81/H$12)</f>
        <v>-2.0292146162550968</v>
      </c>
      <c r="K81" s="16"/>
      <c r="L81" s="31">
        <f>+D81-H81</f>
        <v>30274.760000000002</v>
      </c>
      <c r="M81" s="16"/>
      <c r="N81" s="32">
        <f>IF(H81=0,0,L81/H81)</f>
        <v>-0.82397429016535684</v>
      </c>
      <c r="O81" s="25"/>
      <c r="P81" s="31">
        <f>SUM(P78:P80)</f>
        <v>-6467.6</v>
      </c>
      <c r="Q81" s="13"/>
      <c r="R81" s="32">
        <f>IF(P$12=0,0,P81/P$12)</f>
        <v>0</v>
      </c>
      <c r="S81" s="13"/>
      <c r="T81" s="31">
        <f>SUM(T78:T80)</f>
        <v>-36742.36</v>
      </c>
      <c r="U81" s="13"/>
      <c r="V81" s="32">
        <f>IF(T$12=0,0,T81/T$12)</f>
        <v>-2.0292146162550968</v>
      </c>
      <c r="W81" s="16"/>
      <c r="X81" s="31">
        <f>+P81-T81</f>
        <v>30274.760000000002</v>
      </c>
      <c r="Y81" s="16"/>
      <c r="Z81" s="32">
        <f>IF(T81=0,0,X81/T81)</f>
        <v>-0.82397429016535684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9">
        <v>44109.4145283912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2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6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25">
      <c r="A14" s="10"/>
      <c r="B14" s="25" t="s">
        <v>8</v>
      </c>
      <c r="C14" s="10"/>
      <c r="D14" s="4">
        <f>SUM(OSRRefD16x_0)</f>
        <v>0</v>
      </c>
      <c r="E14" s="4"/>
      <c r="F14" s="12">
        <f t="shared" ref="F14:F16" si="0">IF(D$12=0,0,D14/D$12)</f>
        <v>0</v>
      </c>
      <c r="G14" s="4"/>
      <c r="H14" s="4">
        <f>SUM(OSRRefH16x_0)</f>
        <v>0.27999999999997272</v>
      </c>
      <c r="I14" s="4"/>
      <c r="J14" s="12">
        <f t="shared" ref="J14:J16" si="1">IF(H$12=0,0,H14/H$12)</f>
        <v>0</v>
      </c>
      <c r="K14" s="4"/>
      <c r="L14" s="4">
        <f t="shared" ref="L14:L16" si="2">+D14-H14</f>
        <v>-0.27999999999997272</v>
      </c>
      <c r="M14" s="4"/>
      <c r="N14" s="12">
        <f t="shared" ref="N14:N16" si="3">IF(H14=0,0,L14/H14)</f>
        <v>-1</v>
      </c>
      <c r="O14" s="10"/>
      <c r="P14" s="4">
        <f>SUM(OSRRefP16x_0)</f>
        <v>0</v>
      </c>
      <c r="Q14" s="4"/>
      <c r="R14" s="12">
        <f t="shared" ref="R14:R16" si="4">IF(P$12=0,0,P14/P$12)</f>
        <v>0</v>
      </c>
      <c r="S14" s="4"/>
      <c r="T14" s="4">
        <f>SUM(OSRRefT16x_0)</f>
        <v>0.27999999999997272</v>
      </c>
      <c r="U14" s="4"/>
      <c r="V14" s="12">
        <f t="shared" ref="V14:V16" si="5">IF(T$12=0,0,T14/T$12)</f>
        <v>0</v>
      </c>
      <c r="W14" s="4"/>
      <c r="X14" s="4">
        <f t="shared" ref="X14:X16" si="6">+P14-T14</f>
        <v>-0.27999999999997272</v>
      </c>
      <c r="Y14" s="4"/>
      <c r="Z14" s="12">
        <f t="shared" ref="Z14:Z16" si="7">IF(T14=0,0,X14/T14)</f>
        <v>-1</v>
      </c>
    </row>
    <row r="15" spans="1:26" s="24" customFormat="1" hidden="1" outlineLevel="1" x14ac:dyDescent="0.25">
      <c r="A15" s="50"/>
      <c r="B15" s="11" t="str">
        <f>CONCATENATE("          ", "5053", " - ", "PURCHASES @ COST-FOOD")</f>
        <v xml:space="preserve">          5053 - PURCHASES @ COST-FOOD</v>
      </c>
      <c r="C15" s="11"/>
      <c r="D15" s="3"/>
      <c r="E15" s="3"/>
      <c r="F15" s="22">
        <f t="shared" si="0"/>
        <v>0</v>
      </c>
      <c r="G15" s="3"/>
      <c r="H15" s="3">
        <v>311.27999999999997</v>
      </c>
      <c r="I15" s="3"/>
      <c r="J15" s="22">
        <f t="shared" si="1"/>
        <v>0</v>
      </c>
      <c r="K15" s="3"/>
      <c r="L15" s="3">
        <f t="shared" si="2"/>
        <v>-311.27999999999997</v>
      </c>
      <c r="M15" s="3"/>
      <c r="N15" s="22">
        <f t="shared" si="3"/>
        <v>-1</v>
      </c>
      <c r="O15" s="11"/>
      <c r="P15" s="3"/>
      <c r="Q15" s="3"/>
      <c r="R15" s="22">
        <f t="shared" si="4"/>
        <v>0</v>
      </c>
      <c r="S15" s="3"/>
      <c r="T15" s="3">
        <v>311.27999999999997</v>
      </c>
      <c r="U15" s="3"/>
      <c r="V15" s="22">
        <f t="shared" si="5"/>
        <v>0</v>
      </c>
      <c r="W15" s="3"/>
      <c r="X15" s="3">
        <f t="shared" si="6"/>
        <v>-311.27999999999997</v>
      </c>
      <c r="Y15" s="3"/>
      <c r="Z15" s="22">
        <f t="shared" si="7"/>
        <v>-1</v>
      </c>
    </row>
    <row r="16" spans="1:26" s="24" customFormat="1" hidden="1" outlineLevel="1" x14ac:dyDescent="0.25">
      <c r="A16" s="50"/>
      <c r="B16" s="11" t="str">
        <f>CONCATENATE("          ", "5059", " - ", "PURCHASES @ COST-FOOD")</f>
        <v xml:space="preserve">          5059 - PURCHASES @ COST-FOOD</v>
      </c>
      <c r="C16" s="11"/>
      <c r="D16" s="3"/>
      <c r="E16" s="3"/>
      <c r="F16" s="22">
        <f t="shared" si="0"/>
        <v>0</v>
      </c>
      <c r="G16" s="3"/>
      <c r="H16" s="3">
        <v>-311</v>
      </c>
      <c r="I16" s="3"/>
      <c r="J16" s="22">
        <f t="shared" si="1"/>
        <v>0</v>
      </c>
      <c r="K16" s="3"/>
      <c r="L16" s="3">
        <f t="shared" si="2"/>
        <v>311</v>
      </c>
      <c r="M16" s="3"/>
      <c r="N16" s="22">
        <f t="shared" si="3"/>
        <v>-1</v>
      </c>
      <c r="O16" s="11"/>
      <c r="P16" s="3"/>
      <c r="Q16" s="3"/>
      <c r="R16" s="22">
        <f t="shared" si="4"/>
        <v>0</v>
      </c>
      <c r="S16" s="3"/>
      <c r="T16" s="3">
        <v>-311</v>
      </c>
      <c r="U16" s="3"/>
      <c r="V16" s="22">
        <f t="shared" si="5"/>
        <v>0</v>
      </c>
      <c r="W16" s="3"/>
      <c r="X16" s="3">
        <f t="shared" si="6"/>
        <v>311</v>
      </c>
      <c r="Y16" s="3"/>
      <c r="Z16" s="22">
        <f t="shared" si="7"/>
        <v>-1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>
        <f>D12-D14</f>
        <v>0</v>
      </c>
      <c r="E18" s="13"/>
      <c r="F18" s="20">
        <f>IF(D$12=0,0,D18/D$12)</f>
        <v>0</v>
      </c>
      <c r="G18" s="13"/>
      <c r="H18" s="19">
        <f>H12-H14</f>
        <v>-0.27999999999997272</v>
      </c>
      <c r="I18" s="13"/>
      <c r="J18" s="20">
        <f>IF(H$12=0,0,H18/H$12)</f>
        <v>0</v>
      </c>
      <c r="K18" s="16"/>
      <c r="L18" s="19">
        <f>+D18-H18</f>
        <v>0.27999999999997272</v>
      </c>
      <c r="M18" s="16"/>
      <c r="N18" s="20">
        <f>IF(H18=0,0,L18/H18)</f>
        <v>-1</v>
      </c>
      <c r="O18" s="25"/>
      <c r="P18" s="19">
        <f>P12-P14</f>
        <v>0</v>
      </c>
      <c r="Q18" s="13"/>
      <c r="R18" s="20">
        <f>IF(P$12=0,0,P18/P$12)</f>
        <v>0</v>
      </c>
      <c r="S18" s="13"/>
      <c r="T18" s="19">
        <f>T12-T14</f>
        <v>-0.27999999999997272</v>
      </c>
      <c r="U18" s="13"/>
      <c r="V18" s="20">
        <f>IF(T$12=0,0,T18/T$12)</f>
        <v>0</v>
      </c>
      <c r="W18" s="16"/>
      <c r="X18" s="19">
        <f>+P18-T18</f>
        <v>0.27999999999997272</v>
      </c>
      <c r="Y18" s="16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>
        <f>SUM(OSRRefD22x_0)</f>
        <v>880.36999999999989</v>
      </c>
      <c r="E20" s="21"/>
      <c r="F20" s="34">
        <f t="shared" ref="F20:F29" si="8">IF(D$12=0,0,D20/D$12)</f>
        <v>0</v>
      </c>
      <c r="G20" s="21"/>
      <c r="H20" s="21">
        <f>SUM(OSRRefH22x_0)</f>
        <v>11530.279999999999</v>
      </c>
      <c r="I20" s="21"/>
      <c r="J20" s="34">
        <f t="shared" ref="J20:J29" si="9">IF(H$12=0,0,H20/H$12)</f>
        <v>0</v>
      </c>
      <c r="K20" s="4"/>
      <c r="L20" s="21">
        <f t="shared" ref="L20:L29" si="10">+D20-H20</f>
        <v>-10649.91</v>
      </c>
      <c r="M20" s="4"/>
      <c r="N20" s="34">
        <f t="shared" ref="N20:N29" si="11">IF(H20=0,0,L20/H20)</f>
        <v>-0.9236471273897946</v>
      </c>
      <c r="O20" s="10"/>
      <c r="P20" s="21">
        <f>SUM(OSRRefP22x_0)</f>
        <v>880.36999999999989</v>
      </c>
      <c r="Q20" s="21"/>
      <c r="R20" s="34">
        <f t="shared" ref="R20:R29" si="12">IF(P$12=0,0,P20/P$12)</f>
        <v>0</v>
      </c>
      <c r="S20" s="21"/>
      <c r="T20" s="21">
        <f>SUM(OSRRefT22x_0)</f>
        <v>11530.279999999999</v>
      </c>
      <c r="U20" s="21"/>
      <c r="V20" s="34">
        <f t="shared" ref="V20:V29" si="13">IF(T$12=0,0,T20/T$12)</f>
        <v>0</v>
      </c>
      <c r="W20" s="4"/>
      <c r="X20" s="21">
        <f t="shared" ref="X20:X29" si="14">+P20-T20</f>
        <v>-10649.91</v>
      </c>
      <c r="Y20" s="4"/>
      <c r="Z20" s="34">
        <f t="shared" ref="Z20:Z29" si="15">IF(T20=0,0,X20/T20)</f>
        <v>-0.9236471273897946</v>
      </c>
    </row>
    <row r="21" spans="1:26" s="27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660.8</v>
      </c>
      <c r="E21" s="1"/>
      <c r="F21" s="5">
        <f t="shared" si="8"/>
        <v>0</v>
      </c>
      <c r="G21" s="1"/>
      <c r="H21" s="1">
        <f>SUM(OSRRefH22_0x_0)</f>
        <v>1707.3799999999999</v>
      </c>
      <c r="I21" s="1"/>
      <c r="J21" s="5">
        <f t="shared" si="9"/>
        <v>0</v>
      </c>
      <c r="K21" s="1"/>
      <c r="L21" s="1">
        <f t="shared" si="10"/>
        <v>-1046.58</v>
      </c>
      <c r="M21" s="1"/>
      <c r="N21" s="5">
        <f t="shared" si="11"/>
        <v>-0.61297426466281668</v>
      </c>
      <c r="O21" s="14"/>
      <c r="P21" s="1">
        <f>SUM(OSRRefP22_0x_0)</f>
        <v>660.8</v>
      </c>
      <c r="Q21" s="1"/>
      <c r="R21" s="5">
        <f t="shared" si="12"/>
        <v>0</v>
      </c>
      <c r="S21" s="1"/>
      <c r="T21" s="1">
        <f>SUM(OSRRefT22_0x_0)</f>
        <v>1707.3799999999999</v>
      </c>
      <c r="U21" s="1"/>
      <c r="V21" s="5">
        <f t="shared" si="13"/>
        <v>0</v>
      </c>
      <c r="W21" s="1"/>
      <c r="X21" s="1">
        <f t="shared" si="14"/>
        <v>-1046.58</v>
      </c>
      <c r="Y21" s="1"/>
      <c r="Z21" s="5">
        <f t="shared" si="15"/>
        <v>-0.61297426466281668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8"/>
      <c r="E22" s="3"/>
      <c r="F22" s="7">
        <f t="shared" si="8"/>
        <v>0</v>
      </c>
      <c r="G22" s="3"/>
      <c r="H22" s="8">
        <v>368.24</v>
      </c>
      <c r="I22" s="3"/>
      <c r="J22" s="7">
        <f t="shared" si="9"/>
        <v>0</v>
      </c>
      <c r="K22" s="3"/>
      <c r="L22" s="8">
        <f t="shared" si="10"/>
        <v>-368.24</v>
      </c>
      <c r="M22" s="3"/>
      <c r="N22" s="7">
        <f t="shared" si="11"/>
        <v>-1</v>
      </c>
      <c r="O22" s="11"/>
      <c r="P22" s="8"/>
      <c r="Q22" s="3"/>
      <c r="R22" s="7">
        <f t="shared" si="12"/>
        <v>0</v>
      </c>
      <c r="S22" s="3"/>
      <c r="T22" s="8">
        <v>368.24</v>
      </c>
      <c r="U22" s="3"/>
      <c r="V22" s="7">
        <f t="shared" si="13"/>
        <v>0</v>
      </c>
      <c r="W22" s="3"/>
      <c r="X22" s="8">
        <f t="shared" si="14"/>
        <v>-368.24</v>
      </c>
      <c r="Y22" s="3"/>
      <c r="Z22" s="7">
        <f t="shared" si="15"/>
        <v>-1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8"/>
      <c r="E23" s="3"/>
      <c r="F23" s="7">
        <f t="shared" si="8"/>
        <v>0</v>
      </c>
      <c r="G23" s="3"/>
      <c r="H23" s="8">
        <v>250.39</v>
      </c>
      <c r="I23" s="3"/>
      <c r="J23" s="7">
        <f t="shared" si="9"/>
        <v>0</v>
      </c>
      <c r="K23" s="3"/>
      <c r="L23" s="8">
        <f t="shared" si="10"/>
        <v>-250.39</v>
      </c>
      <c r="M23" s="3"/>
      <c r="N23" s="7">
        <f t="shared" si="11"/>
        <v>-1</v>
      </c>
      <c r="O23" s="11"/>
      <c r="P23" s="8"/>
      <c r="Q23" s="3"/>
      <c r="R23" s="7">
        <f t="shared" si="12"/>
        <v>0</v>
      </c>
      <c r="S23" s="3"/>
      <c r="T23" s="8">
        <v>250.39</v>
      </c>
      <c r="U23" s="3"/>
      <c r="V23" s="7">
        <f t="shared" si="13"/>
        <v>0</v>
      </c>
      <c r="W23" s="3"/>
      <c r="X23" s="8">
        <f t="shared" si="14"/>
        <v>-250.39</v>
      </c>
      <c r="Y23" s="3"/>
      <c r="Z23" s="7">
        <f t="shared" si="15"/>
        <v>-1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8">
        <v>660.8</v>
      </c>
      <c r="E24" s="3"/>
      <c r="F24" s="7">
        <f t="shared" si="8"/>
        <v>0</v>
      </c>
      <c r="G24" s="3"/>
      <c r="H24" s="8">
        <v>34.97</v>
      </c>
      <c r="I24" s="3"/>
      <c r="J24" s="7">
        <f t="shared" si="9"/>
        <v>0</v>
      </c>
      <c r="K24" s="3"/>
      <c r="L24" s="8">
        <f t="shared" si="10"/>
        <v>625.82999999999993</v>
      </c>
      <c r="M24" s="3"/>
      <c r="N24" s="7">
        <f t="shared" si="11"/>
        <v>17.896196740062909</v>
      </c>
      <c r="O24" s="11"/>
      <c r="P24" s="8">
        <v>660.8</v>
      </c>
      <c r="Q24" s="3"/>
      <c r="R24" s="7">
        <f t="shared" si="12"/>
        <v>0</v>
      </c>
      <c r="S24" s="3"/>
      <c r="T24" s="8">
        <v>34.97</v>
      </c>
      <c r="U24" s="3"/>
      <c r="V24" s="7">
        <f t="shared" si="13"/>
        <v>0</v>
      </c>
      <c r="W24" s="3"/>
      <c r="X24" s="8">
        <f t="shared" si="14"/>
        <v>625.82999999999993</v>
      </c>
      <c r="Y24" s="3"/>
      <c r="Z24" s="7">
        <f t="shared" si="15"/>
        <v>17.896196740062909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8"/>
      <c r="E25" s="3"/>
      <c r="F25" s="7">
        <f t="shared" si="8"/>
        <v>0</v>
      </c>
      <c r="G25" s="3"/>
      <c r="H25" s="8">
        <v>16.78</v>
      </c>
      <c r="I25" s="3"/>
      <c r="J25" s="7">
        <f t="shared" si="9"/>
        <v>0</v>
      </c>
      <c r="K25" s="3"/>
      <c r="L25" s="8">
        <f t="shared" si="10"/>
        <v>-16.78</v>
      </c>
      <c r="M25" s="3"/>
      <c r="N25" s="7">
        <f t="shared" si="11"/>
        <v>-1</v>
      </c>
      <c r="O25" s="11"/>
      <c r="P25" s="8"/>
      <c r="Q25" s="3"/>
      <c r="R25" s="7">
        <f t="shared" si="12"/>
        <v>0</v>
      </c>
      <c r="S25" s="3"/>
      <c r="T25" s="8">
        <v>16.78</v>
      </c>
      <c r="U25" s="3"/>
      <c r="V25" s="7">
        <f t="shared" si="13"/>
        <v>0</v>
      </c>
      <c r="W25" s="3"/>
      <c r="X25" s="8">
        <f t="shared" si="14"/>
        <v>-16.78</v>
      </c>
      <c r="Y25" s="3"/>
      <c r="Z25" s="7">
        <f t="shared" si="15"/>
        <v>-1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8"/>
      <c r="E26" s="3"/>
      <c r="F26" s="7">
        <f t="shared" si="8"/>
        <v>0</v>
      </c>
      <c r="G26" s="3"/>
      <c r="H26" s="8">
        <v>315.45</v>
      </c>
      <c r="I26" s="3"/>
      <c r="J26" s="7">
        <f t="shared" si="9"/>
        <v>0</v>
      </c>
      <c r="K26" s="3"/>
      <c r="L26" s="8">
        <f t="shared" si="10"/>
        <v>-315.45</v>
      </c>
      <c r="M26" s="3"/>
      <c r="N26" s="7">
        <f t="shared" si="11"/>
        <v>-1</v>
      </c>
      <c r="O26" s="11"/>
      <c r="P26" s="8"/>
      <c r="Q26" s="3"/>
      <c r="R26" s="7">
        <f t="shared" si="12"/>
        <v>0</v>
      </c>
      <c r="S26" s="3"/>
      <c r="T26" s="8">
        <v>315.45</v>
      </c>
      <c r="U26" s="3"/>
      <c r="V26" s="7">
        <f t="shared" si="13"/>
        <v>0</v>
      </c>
      <c r="W26" s="3"/>
      <c r="X26" s="8">
        <f t="shared" si="14"/>
        <v>-315.45</v>
      </c>
      <c r="Y26" s="3"/>
      <c r="Z26" s="7">
        <f t="shared" si="15"/>
        <v>-1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8"/>
      <c r="E27" s="3"/>
      <c r="F27" s="7">
        <f t="shared" si="8"/>
        <v>0</v>
      </c>
      <c r="G27" s="3"/>
      <c r="H27" s="8">
        <v>243.83</v>
      </c>
      <c r="I27" s="3"/>
      <c r="J27" s="7">
        <f t="shared" si="9"/>
        <v>0</v>
      </c>
      <c r="K27" s="3"/>
      <c r="L27" s="8">
        <f t="shared" si="10"/>
        <v>-243.83</v>
      </c>
      <c r="M27" s="3"/>
      <c r="N27" s="7">
        <f t="shared" si="11"/>
        <v>-1</v>
      </c>
      <c r="O27" s="11"/>
      <c r="P27" s="8"/>
      <c r="Q27" s="3"/>
      <c r="R27" s="7">
        <f t="shared" si="12"/>
        <v>0</v>
      </c>
      <c r="S27" s="3"/>
      <c r="T27" s="8">
        <v>243.83</v>
      </c>
      <c r="U27" s="3"/>
      <c r="V27" s="7">
        <f t="shared" si="13"/>
        <v>0</v>
      </c>
      <c r="W27" s="3"/>
      <c r="X27" s="8">
        <f t="shared" si="14"/>
        <v>-243.83</v>
      </c>
      <c r="Y27" s="3"/>
      <c r="Z27" s="7">
        <f t="shared" si="15"/>
        <v>-1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8"/>
      <c r="E28" s="3"/>
      <c r="F28" s="7">
        <f t="shared" si="8"/>
        <v>0</v>
      </c>
      <c r="G28" s="3"/>
      <c r="H28" s="8">
        <v>330.13</v>
      </c>
      <c r="I28" s="3"/>
      <c r="J28" s="7">
        <f t="shared" si="9"/>
        <v>0</v>
      </c>
      <c r="K28" s="3"/>
      <c r="L28" s="8">
        <f t="shared" si="10"/>
        <v>-330.13</v>
      </c>
      <c r="M28" s="3"/>
      <c r="N28" s="7">
        <f t="shared" si="11"/>
        <v>-1</v>
      </c>
      <c r="O28" s="11"/>
      <c r="P28" s="8"/>
      <c r="Q28" s="3"/>
      <c r="R28" s="7">
        <f t="shared" si="12"/>
        <v>0</v>
      </c>
      <c r="S28" s="3"/>
      <c r="T28" s="8">
        <v>330.13</v>
      </c>
      <c r="U28" s="3"/>
      <c r="V28" s="7">
        <f t="shared" si="13"/>
        <v>0</v>
      </c>
      <c r="W28" s="3"/>
      <c r="X28" s="8">
        <f t="shared" si="14"/>
        <v>-330.13</v>
      </c>
      <c r="Y28" s="3"/>
      <c r="Z28" s="7">
        <f t="shared" si="15"/>
        <v>-1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8"/>
      <c r="E29" s="3"/>
      <c r="F29" s="7">
        <f t="shared" si="8"/>
        <v>0</v>
      </c>
      <c r="G29" s="3"/>
      <c r="H29" s="8">
        <v>147.59</v>
      </c>
      <c r="I29" s="3"/>
      <c r="J29" s="7">
        <f t="shared" si="9"/>
        <v>0</v>
      </c>
      <c r="K29" s="3"/>
      <c r="L29" s="8">
        <f t="shared" si="10"/>
        <v>-147.59</v>
      </c>
      <c r="M29" s="3"/>
      <c r="N29" s="7">
        <f t="shared" si="11"/>
        <v>-1</v>
      </c>
      <c r="O29" s="11"/>
      <c r="P29" s="8"/>
      <c r="Q29" s="3"/>
      <c r="R29" s="7">
        <f t="shared" si="12"/>
        <v>0</v>
      </c>
      <c r="S29" s="3"/>
      <c r="T29" s="8">
        <v>147.59</v>
      </c>
      <c r="U29" s="3"/>
      <c r="V29" s="7">
        <f t="shared" si="13"/>
        <v>0</v>
      </c>
      <c r="W29" s="3"/>
      <c r="X29" s="8">
        <f t="shared" si="14"/>
        <v>-147.59</v>
      </c>
      <c r="Y29" s="3"/>
      <c r="Z29" s="7">
        <f t="shared" si="15"/>
        <v>-1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33" si="16">IF(D$12=0,0,D30/D$12)</f>
        <v>0</v>
      </c>
      <c r="G30" s="1"/>
      <c r="H30" s="1">
        <f>SUM(OSRRefH22_1x_0)</f>
        <v>4803.54</v>
      </c>
      <c r="I30" s="1"/>
      <c r="J30" s="5">
        <f t="shared" ref="J30:J33" si="17">IF(H$12=0,0,H30/H$12)</f>
        <v>0</v>
      </c>
      <c r="K30" s="1"/>
      <c r="L30" s="1">
        <f t="shared" ref="L30:L33" si="18">+D30-H30</f>
        <v>-4803.54</v>
      </c>
      <c r="M30" s="1"/>
      <c r="N30" s="5">
        <f t="shared" ref="N30:N33" si="19">IF(H30=0,0,L30/H30)</f>
        <v>-1</v>
      </c>
      <c r="O30" s="14"/>
      <c r="P30" s="1">
        <f>SUM(OSRRefP22_1x_0)</f>
        <v>0</v>
      </c>
      <c r="Q30" s="1"/>
      <c r="R30" s="5">
        <f t="shared" ref="R30:R33" si="20">IF(P$12=0,0,P30/P$12)</f>
        <v>0</v>
      </c>
      <c r="S30" s="1"/>
      <c r="T30" s="1">
        <f>SUM(OSRRefT22_1x_0)</f>
        <v>4803.54</v>
      </c>
      <c r="U30" s="1"/>
      <c r="V30" s="5">
        <f t="shared" ref="V30:V33" si="21">IF(T$12=0,0,T30/T$12)</f>
        <v>0</v>
      </c>
      <c r="W30" s="1"/>
      <c r="X30" s="1">
        <f t="shared" ref="X30:X33" si="22">+P30-T30</f>
        <v>-4803.54</v>
      </c>
      <c r="Y30" s="1"/>
      <c r="Z30" s="5">
        <f t="shared" ref="Z30:Z33" si="23">IF(T30=0,0,X30/T30)</f>
        <v>-1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8"/>
      <c r="E31" s="3"/>
      <c r="F31" s="7">
        <f t="shared" si="16"/>
        <v>0</v>
      </c>
      <c r="G31" s="3"/>
      <c r="H31" s="8">
        <v>4419.54</v>
      </c>
      <c r="I31" s="3"/>
      <c r="J31" s="7">
        <f t="shared" si="17"/>
        <v>0</v>
      </c>
      <c r="K31" s="3"/>
      <c r="L31" s="8">
        <f t="shared" si="18"/>
        <v>-4419.54</v>
      </c>
      <c r="M31" s="3"/>
      <c r="N31" s="7">
        <f t="shared" si="19"/>
        <v>-1</v>
      </c>
      <c r="O31" s="11"/>
      <c r="P31" s="8"/>
      <c r="Q31" s="3"/>
      <c r="R31" s="7">
        <f t="shared" si="20"/>
        <v>0</v>
      </c>
      <c r="S31" s="3"/>
      <c r="T31" s="8">
        <v>4419.54</v>
      </c>
      <c r="U31" s="3"/>
      <c r="V31" s="7">
        <f t="shared" si="21"/>
        <v>0</v>
      </c>
      <c r="W31" s="3"/>
      <c r="X31" s="8">
        <f t="shared" si="22"/>
        <v>-4419.54</v>
      </c>
      <c r="Y31" s="3"/>
      <c r="Z31" s="7">
        <f t="shared" si="23"/>
        <v>-1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8"/>
      <c r="E32" s="3"/>
      <c r="F32" s="7">
        <f t="shared" si="16"/>
        <v>0</v>
      </c>
      <c r="G32" s="3"/>
      <c r="H32" s="8">
        <v>168</v>
      </c>
      <c r="I32" s="3"/>
      <c r="J32" s="7">
        <f t="shared" si="17"/>
        <v>0</v>
      </c>
      <c r="K32" s="3"/>
      <c r="L32" s="8">
        <f t="shared" si="18"/>
        <v>-168</v>
      </c>
      <c r="M32" s="3"/>
      <c r="N32" s="7">
        <f t="shared" si="19"/>
        <v>-1</v>
      </c>
      <c r="O32" s="11"/>
      <c r="P32" s="8"/>
      <c r="Q32" s="3"/>
      <c r="R32" s="7">
        <f t="shared" si="20"/>
        <v>0</v>
      </c>
      <c r="S32" s="3"/>
      <c r="T32" s="8">
        <v>168</v>
      </c>
      <c r="U32" s="3"/>
      <c r="V32" s="7">
        <f t="shared" si="21"/>
        <v>0</v>
      </c>
      <c r="W32" s="3"/>
      <c r="X32" s="8">
        <f t="shared" si="22"/>
        <v>-168</v>
      </c>
      <c r="Y32" s="3"/>
      <c r="Z32" s="7">
        <f t="shared" si="23"/>
        <v>-1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8"/>
      <c r="E33" s="3"/>
      <c r="F33" s="7">
        <f t="shared" si="16"/>
        <v>0</v>
      </c>
      <c r="G33" s="3"/>
      <c r="H33" s="8">
        <v>216</v>
      </c>
      <c r="I33" s="3"/>
      <c r="J33" s="7">
        <f t="shared" si="17"/>
        <v>0</v>
      </c>
      <c r="K33" s="3"/>
      <c r="L33" s="8">
        <f t="shared" si="18"/>
        <v>-216</v>
      </c>
      <c r="M33" s="3"/>
      <c r="N33" s="7">
        <f t="shared" si="19"/>
        <v>-1</v>
      </c>
      <c r="O33" s="11"/>
      <c r="P33" s="8"/>
      <c r="Q33" s="3"/>
      <c r="R33" s="7">
        <f t="shared" si="20"/>
        <v>0</v>
      </c>
      <c r="S33" s="3"/>
      <c r="T33" s="8">
        <v>216</v>
      </c>
      <c r="U33" s="3"/>
      <c r="V33" s="7">
        <f t="shared" si="21"/>
        <v>0</v>
      </c>
      <c r="W33" s="3"/>
      <c r="X33" s="8">
        <f t="shared" si="22"/>
        <v>-216</v>
      </c>
      <c r="Y33" s="3"/>
      <c r="Z33" s="7">
        <f t="shared" si="23"/>
        <v>-1</v>
      </c>
    </row>
    <row r="34" spans="1:26" s="27" customFormat="1" outlineLevel="1" collapsed="1" x14ac:dyDescent="0.25">
      <c r="A34" s="28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6" si="24">IF(D$12=0,0,D34/D$12)</f>
        <v>0</v>
      </c>
      <c r="G34" s="1"/>
      <c r="H34" s="1">
        <f>SUM(OSRRefH22_2x_0)</f>
        <v>89</v>
      </c>
      <c r="I34" s="1"/>
      <c r="J34" s="5">
        <f t="shared" ref="J34:J46" si="25">IF(H$12=0,0,H34/H$12)</f>
        <v>0</v>
      </c>
      <c r="K34" s="1"/>
      <c r="L34" s="1">
        <f t="shared" ref="L34:L46" si="26">+D34-H34</f>
        <v>-89</v>
      </c>
      <c r="M34" s="1"/>
      <c r="N34" s="5">
        <f t="shared" ref="N34:N46" si="27">IF(H34=0,0,L34/H34)</f>
        <v>-1</v>
      </c>
      <c r="O34" s="14"/>
      <c r="P34" s="1">
        <f>SUM(OSRRefP22_2x_0)</f>
        <v>0</v>
      </c>
      <c r="Q34" s="1"/>
      <c r="R34" s="5">
        <f t="shared" ref="R34:R46" si="28">IF(P$12=0,0,P34/P$12)</f>
        <v>0</v>
      </c>
      <c r="S34" s="1"/>
      <c r="T34" s="1">
        <f>SUM(OSRRefT22_2x_0)</f>
        <v>89</v>
      </c>
      <c r="U34" s="1"/>
      <c r="V34" s="5">
        <f t="shared" ref="V34:V46" si="29">IF(T$12=0,0,T34/T$12)</f>
        <v>0</v>
      </c>
      <c r="W34" s="1"/>
      <c r="X34" s="1">
        <f t="shared" ref="X34:X46" si="30">+P34-T34</f>
        <v>-89</v>
      </c>
      <c r="Y34" s="1"/>
      <c r="Z34" s="5">
        <f t="shared" ref="Z34:Z46" si="31">IF(T34=0,0,X34/T34)</f>
        <v>-1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8"/>
      <c r="E35" s="3"/>
      <c r="F35" s="7">
        <f t="shared" si="24"/>
        <v>0</v>
      </c>
      <c r="G35" s="3"/>
      <c r="H35" s="8">
        <v>89</v>
      </c>
      <c r="I35" s="3"/>
      <c r="J35" s="7">
        <f t="shared" si="25"/>
        <v>0</v>
      </c>
      <c r="K35" s="3"/>
      <c r="L35" s="8">
        <f t="shared" si="26"/>
        <v>-89</v>
      </c>
      <c r="M35" s="3"/>
      <c r="N35" s="7">
        <f t="shared" si="27"/>
        <v>-1</v>
      </c>
      <c r="O35" s="11"/>
      <c r="P35" s="8"/>
      <c r="Q35" s="3"/>
      <c r="R35" s="7">
        <f t="shared" si="28"/>
        <v>0</v>
      </c>
      <c r="S35" s="3"/>
      <c r="T35" s="8">
        <v>89</v>
      </c>
      <c r="U35" s="3"/>
      <c r="V35" s="7">
        <f t="shared" si="29"/>
        <v>0</v>
      </c>
      <c r="W35" s="3"/>
      <c r="X35" s="8">
        <f t="shared" si="30"/>
        <v>-89</v>
      </c>
      <c r="Y35" s="3"/>
      <c r="Z35" s="7">
        <f t="shared" si="31"/>
        <v>-1</v>
      </c>
    </row>
    <row r="36" spans="1:26" s="27" customFormat="1" outlineLevel="1" collapsed="1" x14ac:dyDescent="0.25">
      <c r="A36" s="28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119.55</v>
      </c>
      <c r="E36" s="1"/>
      <c r="F36" s="5">
        <f t="shared" si="24"/>
        <v>0</v>
      </c>
      <c r="G36" s="1"/>
      <c r="H36" s="1">
        <f>SUM(OSRRefH22_3x_0)</f>
        <v>2775.32</v>
      </c>
      <c r="I36" s="1"/>
      <c r="J36" s="5">
        <f t="shared" si="25"/>
        <v>0</v>
      </c>
      <c r="K36" s="1"/>
      <c r="L36" s="1">
        <f t="shared" si="26"/>
        <v>-2655.77</v>
      </c>
      <c r="M36" s="1"/>
      <c r="N36" s="5">
        <f t="shared" si="27"/>
        <v>-0.95692388625455793</v>
      </c>
      <c r="O36" s="14"/>
      <c r="P36" s="1">
        <f>SUM(OSRRefP22_3x_0)</f>
        <v>119.55</v>
      </c>
      <c r="Q36" s="1"/>
      <c r="R36" s="5">
        <f t="shared" si="28"/>
        <v>0</v>
      </c>
      <c r="S36" s="1"/>
      <c r="T36" s="1">
        <f>SUM(OSRRefT22_3x_0)</f>
        <v>2775.32</v>
      </c>
      <c r="U36" s="1"/>
      <c r="V36" s="5">
        <f t="shared" si="29"/>
        <v>0</v>
      </c>
      <c r="W36" s="1"/>
      <c r="X36" s="1">
        <f t="shared" si="30"/>
        <v>-2655.77</v>
      </c>
      <c r="Y36" s="1"/>
      <c r="Z36" s="5">
        <f t="shared" si="31"/>
        <v>-0.95692388625455793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8">
        <v>119.55</v>
      </c>
      <c r="E37" s="3"/>
      <c r="F37" s="7">
        <f t="shared" si="24"/>
        <v>0</v>
      </c>
      <c r="G37" s="3"/>
      <c r="H37" s="8">
        <v>2775.32</v>
      </c>
      <c r="I37" s="3"/>
      <c r="J37" s="7">
        <f t="shared" si="25"/>
        <v>0</v>
      </c>
      <c r="K37" s="3"/>
      <c r="L37" s="8">
        <f t="shared" si="26"/>
        <v>-2655.77</v>
      </c>
      <c r="M37" s="3"/>
      <c r="N37" s="7">
        <f t="shared" si="27"/>
        <v>-0.95692388625455793</v>
      </c>
      <c r="O37" s="11"/>
      <c r="P37" s="8">
        <v>119.55</v>
      </c>
      <c r="Q37" s="3"/>
      <c r="R37" s="7">
        <f t="shared" si="28"/>
        <v>0</v>
      </c>
      <c r="S37" s="3"/>
      <c r="T37" s="8">
        <v>2775.32</v>
      </c>
      <c r="U37" s="3"/>
      <c r="V37" s="7">
        <f t="shared" si="29"/>
        <v>0</v>
      </c>
      <c r="W37" s="3"/>
      <c r="X37" s="8">
        <f t="shared" si="30"/>
        <v>-2655.77</v>
      </c>
      <c r="Y37" s="3"/>
      <c r="Z37" s="7">
        <f t="shared" si="31"/>
        <v>-0.95692388625455793</v>
      </c>
    </row>
    <row r="38" spans="1:26" s="27" customFormat="1" outlineLevel="1" collapsed="1" x14ac:dyDescent="0.25">
      <c r="A38" s="28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SUM(OSRRefD22_4x_0)</f>
        <v>64.02</v>
      </c>
      <c r="E38" s="1"/>
      <c r="F38" s="5">
        <f t="shared" si="24"/>
        <v>0</v>
      </c>
      <c r="G38" s="1"/>
      <c r="H38" s="1">
        <f>SUM(OSRRefH22_4x_0)</f>
        <v>0</v>
      </c>
      <c r="I38" s="1"/>
      <c r="J38" s="5">
        <f t="shared" si="25"/>
        <v>0</v>
      </c>
      <c r="K38" s="1"/>
      <c r="L38" s="1">
        <f t="shared" si="26"/>
        <v>64.02</v>
      </c>
      <c r="M38" s="1"/>
      <c r="N38" s="5">
        <f t="shared" si="27"/>
        <v>0</v>
      </c>
      <c r="O38" s="14"/>
      <c r="P38" s="1">
        <f>SUM(OSRRefP22_4x_0)</f>
        <v>64.02</v>
      </c>
      <c r="Q38" s="1"/>
      <c r="R38" s="5">
        <f t="shared" si="28"/>
        <v>0</v>
      </c>
      <c r="S38" s="1"/>
      <c r="T38" s="1">
        <f>SUM(OSRRefT22_4x_0)</f>
        <v>0</v>
      </c>
      <c r="U38" s="1"/>
      <c r="V38" s="5">
        <f t="shared" si="29"/>
        <v>0</v>
      </c>
      <c r="W38" s="1"/>
      <c r="X38" s="1">
        <f t="shared" si="30"/>
        <v>64.02</v>
      </c>
      <c r="Y38" s="1"/>
      <c r="Z38" s="5">
        <f t="shared" si="31"/>
        <v>0</v>
      </c>
    </row>
    <row r="39" spans="1:26" s="24" customFormat="1" hidden="1" outlineLevel="2" x14ac:dyDescent="0.25">
      <c r="A39" s="29"/>
      <c r="B39" s="11" t="str">
        <f>CONCATENATE("          ", "6351", " - ", "EQUIPMENT RENTAL")</f>
        <v xml:space="preserve">          6351 - EQUIPMENT RENTAL</v>
      </c>
      <c r="C39" s="11"/>
      <c r="D39" s="8">
        <v>64.02</v>
      </c>
      <c r="E39" s="3"/>
      <c r="F39" s="7">
        <f t="shared" si="24"/>
        <v>0</v>
      </c>
      <c r="G39" s="3"/>
      <c r="H39" s="8"/>
      <c r="I39" s="3"/>
      <c r="J39" s="7">
        <f t="shared" si="25"/>
        <v>0</v>
      </c>
      <c r="K39" s="3"/>
      <c r="L39" s="8">
        <f t="shared" si="26"/>
        <v>64.02</v>
      </c>
      <c r="M39" s="3"/>
      <c r="N39" s="7">
        <f t="shared" si="27"/>
        <v>0</v>
      </c>
      <c r="O39" s="11"/>
      <c r="P39" s="8">
        <v>64.02</v>
      </c>
      <c r="Q39" s="3"/>
      <c r="R39" s="7">
        <f t="shared" si="28"/>
        <v>0</v>
      </c>
      <c r="S39" s="3"/>
      <c r="T39" s="8"/>
      <c r="U39" s="3"/>
      <c r="V39" s="7">
        <f t="shared" si="29"/>
        <v>0</v>
      </c>
      <c r="W39" s="3"/>
      <c r="X39" s="8">
        <f t="shared" si="30"/>
        <v>64.02</v>
      </c>
      <c r="Y39" s="3"/>
      <c r="Z39" s="7">
        <f t="shared" si="31"/>
        <v>0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SUM(OSRRefD22_5x_0)</f>
        <v>0</v>
      </c>
      <c r="E40" s="1"/>
      <c r="F40" s="5">
        <f t="shared" si="24"/>
        <v>0</v>
      </c>
      <c r="G40" s="1"/>
      <c r="H40" s="1">
        <f>SUM(OSRRefH22_5x_0)</f>
        <v>749.55</v>
      </c>
      <c r="I40" s="1"/>
      <c r="J40" s="5">
        <f t="shared" si="25"/>
        <v>0</v>
      </c>
      <c r="K40" s="1"/>
      <c r="L40" s="1">
        <f t="shared" si="26"/>
        <v>-749.55</v>
      </c>
      <c r="M40" s="1"/>
      <c r="N40" s="5">
        <f t="shared" si="27"/>
        <v>-1</v>
      </c>
      <c r="O40" s="14"/>
      <c r="P40" s="1">
        <f>SUM(OSRRefP22_5x_0)</f>
        <v>0</v>
      </c>
      <c r="Q40" s="1"/>
      <c r="R40" s="5">
        <f t="shared" si="28"/>
        <v>0</v>
      </c>
      <c r="S40" s="1"/>
      <c r="T40" s="1">
        <f>SUM(OSRRefT22_5x_0)</f>
        <v>749.55</v>
      </c>
      <c r="U40" s="1"/>
      <c r="V40" s="5">
        <f t="shared" si="29"/>
        <v>0</v>
      </c>
      <c r="W40" s="1"/>
      <c r="X40" s="1">
        <f t="shared" si="30"/>
        <v>-749.55</v>
      </c>
      <c r="Y40" s="1"/>
      <c r="Z40" s="5">
        <f t="shared" si="31"/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8"/>
      <c r="E41" s="3"/>
      <c r="F41" s="7">
        <f t="shared" si="24"/>
        <v>0</v>
      </c>
      <c r="G41" s="3"/>
      <c r="H41" s="8">
        <v>749.55</v>
      </c>
      <c r="I41" s="3"/>
      <c r="J41" s="7">
        <f t="shared" si="25"/>
        <v>0</v>
      </c>
      <c r="K41" s="3"/>
      <c r="L41" s="8">
        <f t="shared" si="26"/>
        <v>-749.55</v>
      </c>
      <c r="M41" s="3"/>
      <c r="N41" s="7">
        <f t="shared" si="27"/>
        <v>-1</v>
      </c>
      <c r="O41" s="11"/>
      <c r="P41" s="8"/>
      <c r="Q41" s="3"/>
      <c r="R41" s="7">
        <f t="shared" si="28"/>
        <v>0</v>
      </c>
      <c r="S41" s="3"/>
      <c r="T41" s="8">
        <v>749.55</v>
      </c>
      <c r="U41" s="3"/>
      <c r="V41" s="7">
        <f t="shared" si="29"/>
        <v>0</v>
      </c>
      <c r="W41" s="3"/>
      <c r="X41" s="8">
        <f t="shared" si="30"/>
        <v>-749.55</v>
      </c>
      <c r="Y41" s="3"/>
      <c r="Z41" s="7">
        <f t="shared" si="31"/>
        <v>-1</v>
      </c>
    </row>
    <row r="42" spans="1:26" s="27" customFormat="1" outlineLevel="1" collapsed="1" x14ac:dyDescent="0.25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286.27999999999997</v>
      </c>
      <c r="I42" s="1"/>
      <c r="J42" s="5">
        <f t="shared" si="25"/>
        <v>0</v>
      </c>
      <c r="K42" s="1"/>
      <c r="L42" s="1">
        <f t="shared" si="26"/>
        <v>-286.27999999999997</v>
      </c>
      <c r="M42" s="1"/>
      <c r="N42" s="5">
        <f t="shared" si="27"/>
        <v>-1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286.27999999999997</v>
      </c>
      <c r="U42" s="1"/>
      <c r="V42" s="5">
        <f t="shared" si="29"/>
        <v>0</v>
      </c>
      <c r="W42" s="1"/>
      <c r="X42" s="1">
        <f t="shared" si="30"/>
        <v>-286.27999999999997</v>
      </c>
      <c r="Y42" s="1"/>
      <c r="Z42" s="5">
        <f t="shared" si="31"/>
        <v>-1</v>
      </c>
    </row>
    <row r="43" spans="1:26" s="24" customFormat="1" hidden="1" outlineLevel="2" x14ac:dyDescent="0.25">
      <c r="A43" s="29"/>
      <c r="B43" s="11" t="str">
        <f>CONCATENATE("          ", "6375", " - ", "OUTSIDE REPAIRS &amp; MAINTENANCE")</f>
        <v xml:space="preserve">          6375 - OUTSIDE REPAIRS &amp; MAINTENANCE</v>
      </c>
      <c r="C43" s="11"/>
      <c r="D43" s="8"/>
      <c r="E43" s="3"/>
      <c r="F43" s="7">
        <f t="shared" si="24"/>
        <v>0</v>
      </c>
      <c r="G43" s="3"/>
      <c r="H43" s="8">
        <v>286.27999999999997</v>
      </c>
      <c r="I43" s="3"/>
      <c r="J43" s="7">
        <f t="shared" si="25"/>
        <v>0</v>
      </c>
      <c r="K43" s="3"/>
      <c r="L43" s="8">
        <f t="shared" si="26"/>
        <v>-286.27999999999997</v>
      </c>
      <c r="M43" s="3"/>
      <c r="N43" s="7">
        <f t="shared" si="27"/>
        <v>-1</v>
      </c>
      <c r="O43" s="11"/>
      <c r="P43" s="8"/>
      <c r="Q43" s="3"/>
      <c r="R43" s="7">
        <f t="shared" si="28"/>
        <v>0</v>
      </c>
      <c r="S43" s="3"/>
      <c r="T43" s="8">
        <v>286.27999999999997</v>
      </c>
      <c r="U43" s="3"/>
      <c r="V43" s="7">
        <f t="shared" si="29"/>
        <v>0</v>
      </c>
      <c r="W43" s="3"/>
      <c r="X43" s="8">
        <f t="shared" si="30"/>
        <v>-286.27999999999997</v>
      </c>
      <c r="Y43" s="3"/>
      <c r="Z43" s="7">
        <f t="shared" si="31"/>
        <v>-1</v>
      </c>
    </row>
    <row r="44" spans="1:26" s="27" customFormat="1" outlineLevel="1" collapsed="1" x14ac:dyDescent="0.25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SUM(OSRRefD22_7x_0)</f>
        <v>0</v>
      </c>
      <c r="E44" s="1"/>
      <c r="F44" s="5">
        <f t="shared" si="24"/>
        <v>0</v>
      </c>
      <c r="G44" s="1"/>
      <c r="H44" s="1">
        <f>SUM(OSRRefH22_7x_0)</f>
        <v>934.26</v>
      </c>
      <c r="I44" s="1"/>
      <c r="J44" s="5">
        <f t="shared" si="25"/>
        <v>0</v>
      </c>
      <c r="K44" s="1"/>
      <c r="L44" s="1">
        <f t="shared" si="26"/>
        <v>-934.26</v>
      </c>
      <c r="M44" s="1"/>
      <c r="N44" s="5">
        <f t="shared" si="27"/>
        <v>-1</v>
      </c>
      <c r="O44" s="14"/>
      <c r="P44" s="1">
        <f>SUM(OSRRefP22_7x_0)</f>
        <v>0</v>
      </c>
      <c r="Q44" s="1"/>
      <c r="R44" s="5">
        <f t="shared" si="28"/>
        <v>0</v>
      </c>
      <c r="S44" s="1"/>
      <c r="T44" s="1">
        <f>SUM(OSRRefT22_7x_0)</f>
        <v>934.26</v>
      </c>
      <c r="U44" s="1"/>
      <c r="V44" s="5">
        <f t="shared" si="29"/>
        <v>0</v>
      </c>
      <c r="W44" s="1"/>
      <c r="X44" s="1">
        <f t="shared" si="30"/>
        <v>-934.26</v>
      </c>
      <c r="Y44" s="1"/>
      <c r="Z44" s="5">
        <f t="shared" si="31"/>
        <v>-1</v>
      </c>
    </row>
    <row r="45" spans="1:26" s="24" customFormat="1" hidden="1" outlineLevel="2" x14ac:dyDescent="0.25">
      <c r="A45" s="29"/>
      <c r="B45" s="11" t="str">
        <f>CONCATENATE("          ", "6239", " - ", "KITCHEN SUPPLIES")</f>
        <v xml:space="preserve">          6239 - KITCHEN SUPPLIES</v>
      </c>
      <c r="C45" s="11"/>
      <c r="D45" s="8"/>
      <c r="E45" s="3"/>
      <c r="F45" s="7">
        <f t="shared" si="24"/>
        <v>0</v>
      </c>
      <c r="G45" s="3"/>
      <c r="H45" s="8">
        <v>587.63</v>
      </c>
      <c r="I45" s="3"/>
      <c r="J45" s="7">
        <f t="shared" si="25"/>
        <v>0</v>
      </c>
      <c r="K45" s="3"/>
      <c r="L45" s="8">
        <f t="shared" si="26"/>
        <v>-587.63</v>
      </c>
      <c r="M45" s="3"/>
      <c r="N45" s="7">
        <f t="shared" si="27"/>
        <v>-1</v>
      </c>
      <c r="O45" s="11"/>
      <c r="P45" s="8"/>
      <c r="Q45" s="3"/>
      <c r="R45" s="7">
        <f t="shared" si="28"/>
        <v>0</v>
      </c>
      <c r="S45" s="3"/>
      <c r="T45" s="8">
        <v>587.63</v>
      </c>
      <c r="U45" s="3"/>
      <c r="V45" s="7">
        <f t="shared" si="29"/>
        <v>0</v>
      </c>
      <c r="W45" s="3"/>
      <c r="X45" s="8">
        <f t="shared" si="30"/>
        <v>-587.63</v>
      </c>
      <c r="Y45" s="3"/>
      <c r="Z45" s="7">
        <f t="shared" si="31"/>
        <v>-1</v>
      </c>
    </row>
    <row r="46" spans="1:26" s="24" customFormat="1" hidden="1" outlineLevel="2" x14ac:dyDescent="0.25">
      <c r="A46" s="29"/>
      <c r="B46" s="11" t="str">
        <f>CONCATENATE("          ", "6248", " - ", "UNIFORMS")</f>
        <v xml:space="preserve">          6248 - UNIFORMS</v>
      </c>
      <c r="C46" s="11"/>
      <c r="D46" s="8"/>
      <c r="E46" s="3"/>
      <c r="F46" s="7">
        <f t="shared" si="24"/>
        <v>0</v>
      </c>
      <c r="G46" s="3"/>
      <c r="H46" s="8">
        <v>346.63</v>
      </c>
      <c r="I46" s="3"/>
      <c r="J46" s="7">
        <f t="shared" si="25"/>
        <v>0</v>
      </c>
      <c r="K46" s="3"/>
      <c r="L46" s="8">
        <f t="shared" si="26"/>
        <v>-346.63</v>
      </c>
      <c r="M46" s="3"/>
      <c r="N46" s="7">
        <f t="shared" si="27"/>
        <v>-1</v>
      </c>
      <c r="O46" s="11"/>
      <c r="P46" s="8"/>
      <c r="Q46" s="3"/>
      <c r="R46" s="7">
        <f t="shared" si="28"/>
        <v>0</v>
      </c>
      <c r="S46" s="3"/>
      <c r="T46" s="8">
        <v>346.63</v>
      </c>
      <c r="U46" s="3"/>
      <c r="V46" s="7">
        <f t="shared" si="29"/>
        <v>0</v>
      </c>
      <c r="W46" s="3"/>
      <c r="X46" s="8">
        <f t="shared" si="30"/>
        <v>-346.63</v>
      </c>
      <c r="Y46" s="3"/>
      <c r="Z46" s="7">
        <f t="shared" si="31"/>
        <v>-1</v>
      </c>
    </row>
    <row r="47" spans="1:26" s="27" customFormat="1" outlineLevel="1" collapsed="1" x14ac:dyDescent="0.25">
      <c r="A47" s="28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SUM(OSRRefD22_8x_0)</f>
        <v>36</v>
      </c>
      <c r="E47" s="1"/>
      <c r="F47" s="5">
        <f t="shared" ref="F47:F50" si="32">IF(D$12=0,0,D47/D$12)</f>
        <v>0</v>
      </c>
      <c r="G47" s="1"/>
      <c r="H47" s="1">
        <f>SUM(OSRRefH22_8x_0)</f>
        <v>32</v>
      </c>
      <c r="I47" s="1"/>
      <c r="J47" s="5">
        <f t="shared" ref="J47:J50" si="33">IF(H$12=0,0,H47/H$12)</f>
        <v>0</v>
      </c>
      <c r="K47" s="1"/>
      <c r="L47" s="1">
        <f t="shared" ref="L47:L50" si="34">+D47-H47</f>
        <v>4</v>
      </c>
      <c r="M47" s="1"/>
      <c r="N47" s="5">
        <f t="shared" ref="N47:N50" si="35">IF(H47=0,0,L47/H47)</f>
        <v>0.125</v>
      </c>
      <c r="O47" s="14"/>
      <c r="P47" s="1">
        <f>SUM(OSRRefP22_8x_0)</f>
        <v>36</v>
      </c>
      <c r="Q47" s="1"/>
      <c r="R47" s="5">
        <f t="shared" ref="R47:R50" si="36">IF(P$12=0,0,P47/P$12)</f>
        <v>0</v>
      </c>
      <c r="S47" s="1"/>
      <c r="T47" s="1">
        <f>SUM(OSRRefT22_8x_0)</f>
        <v>32</v>
      </c>
      <c r="U47" s="1"/>
      <c r="V47" s="5">
        <f t="shared" ref="V47:V50" si="37">IF(T$12=0,0,T47/T$12)</f>
        <v>0</v>
      </c>
      <c r="W47" s="1"/>
      <c r="X47" s="1">
        <f t="shared" ref="X47:X50" si="38">+P47-T47</f>
        <v>4</v>
      </c>
      <c r="Y47" s="1"/>
      <c r="Z47" s="5">
        <f t="shared" ref="Z47:Z50" si="39">IF(T47=0,0,X47/T47)</f>
        <v>0.125</v>
      </c>
    </row>
    <row r="48" spans="1:26" s="24" customFormat="1" hidden="1" outlineLevel="2" x14ac:dyDescent="0.25">
      <c r="A48" s="29"/>
      <c r="B48" s="11" t="str">
        <f>CONCATENATE("          ", "6309", " - ", "TELEPHONE")</f>
        <v xml:space="preserve">          6309 - TELEPHONE</v>
      </c>
      <c r="C48" s="11"/>
      <c r="D48" s="8">
        <v>36</v>
      </c>
      <c r="E48" s="3"/>
      <c r="F48" s="7">
        <f t="shared" si="32"/>
        <v>0</v>
      </c>
      <c r="G48" s="3"/>
      <c r="H48" s="8">
        <v>32</v>
      </c>
      <c r="I48" s="3"/>
      <c r="J48" s="7">
        <f t="shared" si="33"/>
        <v>0</v>
      </c>
      <c r="K48" s="3"/>
      <c r="L48" s="8">
        <f t="shared" si="34"/>
        <v>4</v>
      </c>
      <c r="M48" s="3"/>
      <c r="N48" s="7">
        <f t="shared" si="35"/>
        <v>0.125</v>
      </c>
      <c r="O48" s="11"/>
      <c r="P48" s="8">
        <v>36</v>
      </c>
      <c r="Q48" s="3"/>
      <c r="R48" s="7">
        <f t="shared" si="36"/>
        <v>0</v>
      </c>
      <c r="S48" s="3"/>
      <c r="T48" s="8">
        <v>32</v>
      </c>
      <c r="U48" s="3"/>
      <c r="V48" s="7">
        <f t="shared" si="37"/>
        <v>0</v>
      </c>
      <c r="W48" s="3"/>
      <c r="X48" s="8">
        <f t="shared" si="38"/>
        <v>4</v>
      </c>
      <c r="Y48" s="3"/>
      <c r="Z48" s="7">
        <f t="shared" si="39"/>
        <v>0.125</v>
      </c>
    </row>
    <row r="49" spans="1:26" s="27" customFormat="1" outlineLevel="1" collapsed="1" x14ac:dyDescent="0.25">
      <c r="A49" s="28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SUM(OSRRefD22_9x_0)</f>
        <v>0</v>
      </c>
      <c r="E49" s="1"/>
      <c r="F49" s="5">
        <f t="shared" si="32"/>
        <v>0</v>
      </c>
      <c r="G49" s="1"/>
      <c r="H49" s="1">
        <f>SUM(OSRRefH22_9x_0)</f>
        <v>152.94999999999999</v>
      </c>
      <c r="I49" s="1"/>
      <c r="J49" s="5">
        <f t="shared" si="33"/>
        <v>0</v>
      </c>
      <c r="K49" s="1"/>
      <c r="L49" s="1">
        <f t="shared" si="34"/>
        <v>-152.94999999999999</v>
      </c>
      <c r="M49" s="1"/>
      <c r="N49" s="5">
        <f t="shared" si="35"/>
        <v>-1</v>
      </c>
      <c r="O49" s="14"/>
      <c r="P49" s="1">
        <f>SUM(OSRRefP22_9x_0)</f>
        <v>0</v>
      </c>
      <c r="Q49" s="1"/>
      <c r="R49" s="5">
        <f t="shared" si="36"/>
        <v>0</v>
      </c>
      <c r="S49" s="1"/>
      <c r="T49" s="1">
        <f>SUM(OSRRefT22_9x_0)</f>
        <v>152.94999999999999</v>
      </c>
      <c r="U49" s="1"/>
      <c r="V49" s="5">
        <f t="shared" si="37"/>
        <v>0</v>
      </c>
      <c r="W49" s="1"/>
      <c r="X49" s="1">
        <f t="shared" si="38"/>
        <v>-152.94999999999999</v>
      </c>
      <c r="Y49" s="1"/>
      <c r="Z49" s="5">
        <f t="shared" si="39"/>
        <v>-1</v>
      </c>
    </row>
    <row r="50" spans="1:26" s="24" customFormat="1" hidden="1" outlineLevel="2" x14ac:dyDescent="0.25">
      <c r="A50" s="29"/>
      <c r="B50" s="11" t="str">
        <f>CONCATENATE("          ", "6376", " - ", "TRAINING")</f>
        <v xml:space="preserve">          6376 - TRAINING</v>
      </c>
      <c r="C50" s="11"/>
      <c r="D50" s="8"/>
      <c r="E50" s="3"/>
      <c r="F50" s="7">
        <f t="shared" si="32"/>
        <v>0</v>
      </c>
      <c r="G50" s="3"/>
      <c r="H50" s="8">
        <v>152.94999999999999</v>
      </c>
      <c r="I50" s="3"/>
      <c r="J50" s="7">
        <f t="shared" si="33"/>
        <v>0</v>
      </c>
      <c r="K50" s="3"/>
      <c r="L50" s="8">
        <f t="shared" si="34"/>
        <v>-152.94999999999999</v>
      </c>
      <c r="M50" s="3"/>
      <c r="N50" s="7">
        <f t="shared" si="35"/>
        <v>-1</v>
      </c>
      <c r="O50" s="11"/>
      <c r="P50" s="8"/>
      <c r="Q50" s="3"/>
      <c r="R50" s="7">
        <f t="shared" si="36"/>
        <v>0</v>
      </c>
      <c r="S50" s="3"/>
      <c r="T50" s="8">
        <v>152.94999999999999</v>
      </c>
      <c r="U50" s="3"/>
      <c r="V50" s="7">
        <f t="shared" si="37"/>
        <v>0</v>
      </c>
      <c r="W50" s="3"/>
      <c r="X50" s="8">
        <f t="shared" si="38"/>
        <v>-152.94999999999999</v>
      </c>
      <c r="Y50" s="3"/>
      <c r="Z50" s="7">
        <f t="shared" si="39"/>
        <v>-1</v>
      </c>
    </row>
    <row r="51" spans="1:26" s="61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5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x14ac:dyDescent="0.25">
      <c r="A54" s="10"/>
      <c r="B54" s="26" t="s">
        <v>3</v>
      </c>
      <c r="C54" s="26"/>
      <c r="D54" s="19">
        <f>+D18-D20+D52</f>
        <v>-880.36999999999989</v>
      </c>
      <c r="E54" s="13"/>
      <c r="F54" s="20">
        <f>IF(D$12=0,0,D54/D$12)</f>
        <v>0</v>
      </c>
      <c r="G54" s="13"/>
      <c r="H54" s="19">
        <f>+H18-H20+H52</f>
        <v>-11530.56</v>
      </c>
      <c r="I54" s="13"/>
      <c r="J54" s="20">
        <f>IF(H$12=0,0,H54/H$12)</f>
        <v>0</v>
      </c>
      <c r="K54" s="16"/>
      <c r="L54" s="19">
        <f>+D54-H54</f>
        <v>10650.189999999999</v>
      </c>
      <c r="M54" s="16"/>
      <c r="N54" s="20">
        <f>IF(H54=0,0,L54/H54)</f>
        <v>-0.92364898148919039</v>
      </c>
      <c r="O54" s="25"/>
      <c r="P54" s="19">
        <f>+P18-P20+P52</f>
        <v>-880.36999999999989</v>
      </c>
      <c r="Q54" s="13"/>
      <c r="R54" s="20">
        <f>IF(P$12=0,0,P54/P$12)</f>
        <v>0</v>
      </c>
      <c r="S54" s="13"/>
      <c r="T54" s="19">
        <f>+T18-T20+T52</f>
        <v>-11530.56</v>
      </c>
      <c r="U54" s="13"/>
      <c r="V54" s="20">
        <f>IF(T$12=0,0,T54/T$12)</f>
        <v>0</v>
      </c>
      <c r="W54" s="16"/>
      <c r="X54" s="19">
        <f>+P54-T54</f>
        <v>10650.189999999999</v>
      </c>
      <c r="Y54" s="16"/>
      <c r="Z54" s="20">
        <f>IF(T54=0,0,X54/T54)</f>
        <v>-0.92364898148919039</v>
      </c>
    </row>
    <row r="55" spans="1:26" x14ac:dyDescent="0.25">
      <c r="A55" s="9"/>
      <c r="B55" s="10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3" customFormat="1" x14ac:dyDescent="0.25">
      <c r="A56" s="51"/>
      <c r="B56" s="10" t="s">
        <v>13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ht="15.75" thickBot="1" x14ac:dyDescent="0.3">
      <c r="A58" s="10"/>
      <c r="B58" s="26" t="s">
        <v>4</v>
      </c>
      <c r="C58" s="26"/>
      <c r="D58" s="35">
        <f>+D54-D56</f>
        <v>-880.36999999999989</v>
      </c>
      <c r="E58" s="13"/>
      <c r="F58" s="30">
        <f>IF(D$12=0,0,D58/D$12)</f>
        <v>0</v>
      </c>
      <c r="G58" s="13"/>
      <c r="H58" s="35">
        <f>+H54-H56</f>
        <v>-11530.56</v>
      </c>
      <c r="I58" s="13"/>
      <c r="J58" s="30">
        <f>IF(H$12=0,0,H58/H$12)</f>
        <v>0</v>
      </c>
      <c r="K58" s="16"/>
      <c r="L58" s="35">
        <f>D58-H58</f>
        <v>10650.189999999999</v>
      </c>
      <c r="M58" s="16"/>
      <c r="N58" s="30">
        <f>IF(H58=0,0,L58/H58)</f>
        <v>-0.92364898148919039</v>
      </c>
      <c r="O58" s="25"/>
      <c r="P58" s="35">
        <f>+P54-P56</f>
        <v>-880.36999999999989</v>
      </c>
      <c r="Q58" s="13"/>
      <c r="R58" s="30">
        <f>IF(P$12=0,0,P58/P$12)</f>
        <v>0</v>
      </c>
      <c r="S58" s="13"/>
      <c r="T58" s="35">
        <f>+T54-T56</f>
        <v>-11530.56</v>
      </c>
      <c r="U58" s="13"/>
      <c r="V58" s="30">
        <f>IF(T$12=0,0,T58/T$12)</f>
        <v>0</v>
      </c>
      <c r="W58" s="16"/>
      <c r="X58" s="35">
        <f>P58-T58</f>
        <v>10650.189999999999</v>
      </c>
      <c r="Y58" s="16"/>
      <c r="Z58" s="30">
        <f>IF(T58=0,0,X58/T58)</f>
        <v>-0.92364898148919039</v>
      </c>
    </row>
    <row r="59" spans="1:26" ht="15.75" thickTop="1" x14ac:dyDescent="0.25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x14ac:dyDescent="0.25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ht="15.75" thickBot="1" x14ac:dyDescent="0.3">
      <c r="A61" s="10"/>
      <c r="B61" s="26" t="s">
        <v>5</v>
      </c>
      <c r="C61" s="26"/>
      <c r="D61" s="31">
        <f>SUM(D58:D60)</f>
        <v>-880.36999999999989</v>
      </c>
      <c r="E61" s="13"/>
      <c r="F61" s="32">
        <f>IF(D$12=0,0,D61/D$12)</f>
        <v>0</v>
      </c>
      <c r="G61" s="13"/>
      <c r="H61" s="31">
        <f>SUM(H58:H60)</f>
        <v>-11530.56</v>
      </c>
      <c r="I61" s="13"/>
      <c r="J61" s="32">
        <f>IF(H$12=0,0,H61/H$12)</f>
        <v>0</v>
      </c>
      <c r="K61" s="16"/>
      <c r="L61" s="31">
        <f>+D61-H61</f>
        <v>10650.189999999999</v>
      </c>
      <c r="M61" s="16"/>
      <c r="N61" s="32">
        <f>IF(H61=0,0,L61/H61)</f>
        <v>-0.92364898148919039</v>
      </c>
      <c r="O61" s="25"/>
      <c r="P61" s="31">
        <f>SUM(P58:P60)</f>
        <v>-880.36999999999989</v>
      </c>
      <c r="Q61" s="13"/>
      <c r="R61" s="32">
        <f>IF(P$12=0,0,P61/P$12)</f>
        <v>0</v>
      </c>
      <c r="S61" s="13"/>
      <c r="T61" s="31">
        <f>SUM(T58:T60)</f>
        <v>-11530.56</v>
      </c>
      <c r="U61" s="13"/>
      <c r="V61" s="32">
        <f>IF(T$12=0,0,T61/T$12)</f>
        <v>0</v>
      </c>
      <c r="W61" s="16"/>
      <c r="X61" s="31">
        <f>+P61-T61</f>
        <v>10650.189999999999</v>
      </c>
      <c r="Y61" s="16"/>
      <c r="Z61" s="32">
        <f>IF(T61=0,0,X61/T61)</f>
        <v>-0.92364898148919039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9">
        <v>44109.414553159724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62" t="s">
        <v>313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56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30652.21</v>
      </c>
      <c r="E18" s="21"/>
      <c r="F18" s="34">
        <f t="shared" ref="F18:F28" si="0">IF(D$12=0,0,D18/D$12)</f>
        <v>0</v>
      </c>
      <c r="G18" s="21"/>
      <c r="H18" s="21">
        <f>SUM(OSRRefH22x_0)</f>
        <v>96371.979999999981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-65719.76999999999</v>
      </c>
      <c r="M18" s="4"/>
      <c r="N18" s="34">
        <f t="shared" ref="N18:N28" si="3">IF(H18=0,0,L18/H18)</f>
        <v>-0.68193856762100358</v>
      </c>
      <c r="O18" s="10"/>
      <c r="P18" s="21">
        <f>SUM(OSRRefP22x_0)</f>
        <v>30652.21</v>
      </c>
      <c r="Q18" s="21"/>
      <c r="R18" s="34">
        <f t="shared" ref="R18:R28" si="4">IF(P$12=0,0,P18/P$12)</f>
        <v>0</v>
      </c>
      <c r="S18" s="21"/>
      <c r="T18" s="21">
        <f>SUM(OSRRefT22x_0)</f>
        <v>96371.979999999981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-65719.76999999999</v>
      </c>
      <c r="Y18" s="4"/>
      <c r="Z18" s="34">
        <f t="shared" ref="Z18:Z28" si="7">IF(T18=0,0,X18/T18)</f>
        <v>-0.68193856762100358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5378.3899999999994</v>
      </c>
      <c r="E19" s="1"/>
      <c r="F19" s="5">
        <f t="shared" si="0"/>
        <v>0</v>
      </c>
      <c r="G19" s="1"/>
      <c r="H19" s="1">
        <f>SUM(OSRRefH22_0x_0)</f>
        <v>12069.58</v>
      </c>
      <c r="I19" s="1"/>
      <c r="J19" s="5">
        <f t="shared" si="1"/>
        <v>0</v>
      </c>
      <c r="K19" s="1"/>
      <c r="L19" s="1">
        <f t="shared" si="2"/>
        <v>-6691.1900000000005</v>
      </c>
      <c r="M19" s="1"/>
      <c r="N19" s="5">
        <f t="shared" si="3"/>
        <v>-0.55438465961533046</v>
      </c>
      <c r="O19" s="14"/>
      <c r="P19" s="1">
        <f>SUM(OSRRefP22_0x_0)</f>
        <v>5378.3899999999994</v>
      </c>
      <c r="Q19" s="1"/>
      <c r="R19" s="5">
        <f t="shared" si="4"/>
        <v>0</v>
      </c>
      <c r="S19" s="1"/>
      <c r="T19" s="1">
        <f>SUM(OSRRefT22_0x_0)</f>
        <v>12069.58</v>
      </c>
      <c r="U19" s="1"/>
      <c r="V19" s="5">
        <f t="shared" si="5"/>
        <v>0</v>
      </c>
      <c r="W19" s="1"/>
      <c r="X19" s="1">
        <f t="shared" si="6"/>
        <v>-6691.1900000000005</v>
      </c>
      <c r="Y19" s="1"/>
      <c r="Z19" s="5">
        <f t="shared" si="7"/>
        <v>-0.55438465961533046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1005.92</v>
      </c>
      <c r="E20" s="3"/>
      <c r="F20" s="7">
        <f t="shared" si="0"/>
        <v>0</v>
      </c>
      <c r="G20" s="3"/>
      <c r="H20" s="8">
        <v>2128.23</v>
      </c>
      <c r="I20" s="3"/>
      <c r="J20" s="7">
        <f t="shared" si="1"/>
        <v>0</v>
      </c>
      <c r="K20" s="3"/>
      <c r="L20" s="8">
        <f t="shared" si="2"/>
        <v>-1122.31</v>
      </c>
      <c r="M20" s="3"/>
      <c r="N20" s="7">
        <f t="shared" si="3"/>
        <v>-0.52734431898807932</v>
      </c>
      <c r="O20" s="11"/>
      <c r="P20" s="8">
        <v>1005.92</v>
      </c>
      <c r="Q20" s="3"/>
      <c r="R20" s="7">
        <f t="shared" si="4"/>
        <v>0</v>
      </c>
      <c r="S20" s="3"/>
      <c r="T20" s="8">
        <v>2128.23</v>
      </c>
      <c r="U20" s="3"/>
      <c r="V20" s="7">
        <f t="shared" si="5"/>
        <v>0</v>
      </c>
      <c r="W20" s="3"/>
      <c r="X20" s="8">
        <f t="shared" si="6"/>
        <v>-1122.31</v>
      </c>
      <c r="Y20" s="3"/>
      <c r="Z20" s="7">
        <f t="shared" si="7"/>
        <v>-0.52734431898807932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125.76</v>
      </c>
      <c r="E21" s="3"/>
      <c r="F21" s="7">
        <f t="shared" si="0"/>
        <v>0</v>
      </c>
      <c r="G21" s="3"/>
      <c r="H21" s="8">
        <v>700.56</v>
      </c>
      <c r="I21" s="3"/>
      <c r="J21" s="7">
        <f t="shared" si="1"/>
        <v>0</v>
      </c>
      <c r="K21" s="3"/>
      <c r="L21" s="8">
        <f t="shared" si="2"/>
        <v>-574.79999999999995</v>
      </c>
      <c r="M21" s="3"/>
      <c r="N21" s="7">
        <f t="shared" si="3"/>
        <v>-0.82048646796848235</v>
      </c>
      <c r="O21" s="11"/>
      <c r="P21" s="8">
        <v>125.76</v>
      </c>
      <c r="Q21" s="3"/>
      <c r="R21" s="7">
        <f t="shared" si="4"/>
        <v>0</v>
      </c>
      <c r="S21" s="3"/>
      <c r="T21" s="8">
        <v>700.56</v>
      </c>
      <c r="U21" s="3"/>
      <c r="V21" s="7">
        <f t="shared" si="5"/>
        <v>0</v>
      </c>
      <c r="W21" s="3"/>
      <c r="X21" s="8">
        <f t="shared" si="6"/>
        <v>-574.79999999999995</v>
      </c>
      <c r="Y21" s="3"/>
      <c r="Z21" s="7">
        <f t="shared" si="7"/>
        <v>-0.82048646796848235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816.72</v>
      </c>
      <c r="E22" s="3"/>
      <c r="F22" s="7">
        <f t="shared" si="0"/>
        <v>0</v>
      </c>
      <c r="G22" s="3"/>
      <c r="H22" s="8">
        <v>3654.92</v>
      </c>
      <c r="I22" s="3"/>
      <c r="J22" s="7">
        <f t="shared" si="1"/>
        <v>0</v>
      </c>
      <c r="K22" s="3"/>
      <c r="L22" s="8">
        <f t="shared" si="2"/>
        <v>-2838.2</v>
      </c>
      <c r="M22" s="3"/>
      <c r="N22" s="7">
        <f t="shared" si="3"/>
        <v>-0.77654230461952645</v>
      </c>
      <c r="O22" s="11"/>
      <c r="P22" s="8">
        <v>816.72</v>
      </c>
      <c r="Q22" s="3"/>
      <c r="R22" s="7">
        <f t="shared" si="4"/>
        <v>0</v>
      </c>
      <c r="S22" s="3"/>
      <c r="T22" s="8">
        <v>3654.92</v>
      </c>
      <c r="U22" s="3"/>
      <c r="V22" s="7">
        <f t="shared" si="5"/>
        <v>0</v>
      </c>
      <c r="W22" s="3"/>
      <c r="X22" s="8">
        <f t="shared" si="6"/>
        <v>-2838.2</v>
      </c>
      <c r="Y22" s="3"/>
      <c r="Z22" s="7">
        <f t="shared" si="7"/>
        <v>-0.77654230461952645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34.19</v>
      </c>
      <c r="E23" s="3"/>
      <c r="F23" s="7">
        <f t="shared" si="0"/>
        <v>0</v>
      </c>
      <c r="G23" s="3"/>
      <c r="H23" s="8">
        <v>59.4</v>
      </c>
      <c r="I23" s="3"/>
      <c r="J23" s="7">
        <f t="shared" si="1"/>
        <v>0</v>
      </c>
      <c r="K23" s="3"/>
      <c r="L23" s="8">
        <f t="shared" si="2"/>
        <v>-25.21</v>
      </c>
      <c r="M23" s="3"/>
      <c r="N23" s="7">
        <f t="shared" si="3"/>
        <v>-0.42441077441077446</v>
      </c>
      <c r="O23" s="11"/>
      <c r="P23" s="8">
        <v>34.19</v>
      </c>
      <c r="Q23" s="3"/>
      <c r="R23" s="7">
        <f t="shared" si="4"/>
        <v>0</v>
      </c>
      <c r="S23" s="3"/>
      <c r="T23" s="8">
        <v>59.4</v>
      </c>
      <c r="U23" s="3"/>
      <c r="V23" s="7">
        <f t="shared" si="5"/>
        <v>0</v>
      </c>
      <c r="W23" s="3"/>
      <c r="X23" s="8">
        <f t="shared" si="6"/>
        <v>-25.21</v>
      </c>
      <c r="Y23" s="3"/>
      <c r="Z23" s="7">
        <f t="shared" si="7"/>
        <v>-0.42441077441077446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1542.62</v>
      </c>
      <c r="E24" s="3"/>
      <c r="F24" s="7">
        <f t="shared" si="0"/>
        <v>0</v>
      </c>
      <c r="G24" s="3"/>
      <c r="H24" s="8">
        <v>1169.0899999999999</v>
      </c>
      <c r="I24" s="3"/>
      <c r="J24" s="7">
        <f t="shared" si="1"/>
        <v>0</v>
      </c>
      <c r="K24" s="3"/>
      <c r="L24" s="8">
        <f t="shared" si="2"/>
        <v>373.53</v>
      </c>
      <c r="M24" s="3"/>
      <c r="N24" s="7">
        <f t="shared" si="3"/>
        <v>0.31950491407847131</v>
      </c>
      <c r="O24" s="11"/>
      <c r="P24" s="8">
        <v>1542.62</v>
      </c>
      <c r="Q24" s="3"/>
      <c r="R24" s="7">
        <f t="shared" si="4"/>
        <v>0</v>
      </c>
      <c r="S24" s="3"/>
      <c r="T24" s="8">
        <v>1169.0899999999999</v>
      </c>
      <c r="U24" s="3"/>
      <c r="V24" s="7">
        <f t="shared" si="5"/>
        <v>0</v>
      </c>
      <c r="W24" s="3"/>
      <c r="X24" s="8">
        <f t="shared" si="6"/>
        <v>373.53</v>
      </c>
      <c r="Y24" s="3"/>
      <c r="Z24" s="7">
        <f t="shared" si="7"/>
        <v>0.31950491407847131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8"/>
      <c r="E25" s="3"/>
      <c r="F25" s="7">
        <f t="shared" si="0"/>
        <v>0</v>
      </c>
      <c r="G25" s="3"/>
      <c r="H25" s="8">
        <v>56</v>
      </c>
      <c r="I25" s="3"/>
      <c r="J25" s="7">
        <f t="shared" si="1"/>
        <v>0</v>
      </c>
      <c r="K25" s="3"/>
      <c r="L25" s="8">
        <f t="shared" si="2"/>
        <v>-56</v>
      </c>
      <c r="M25" s="3"/>
      <c r="N25" s="7">
        <f t="shared" si="3"/>
        <v>-1</v>
      </c>
      <c r="O25" s="11"/>
      <c r="P25" s="8"/>
      <c r="Q25" s="3"/>
      <c r="R25" s="7">
        <f t="shared" si="4"/>
        <v>0</v>
      </c>
      <c r="S25" s="3"/>
      <c r="T25" s="8">
        <v>56</v>
      </c>
      <c r="U25" s="3"/>
      <c r="V25" s="7">
        <f t="shared" si="5"/>
        <v>0</v>
      </c>
      <c r="W25" s="3"/>
      <c r="X25" s="8">
        <f t="shared" si="6"/>
        <v>-56</v>
      </c>
      <c r="Y25" s="3"/>
      <c r="Z25" s="7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8">
        <v>1214.6600000000001</v>
      </c>
      <c r="E26" s="3"/>
      <c r="F26" s="7">
        <f t="shared" si="0"/>
        <v>0</v>
      </c>
      <c r="G26" s="3"/>
      <c r="H26" s="8">
        <v>2090.27</v>
      </c>
      <c r="I26" s="3"/>
      <c r="J26" s="7">
        <f t="shared" si="1"/>
        <v>0</v>
      </c>
      <c r="K26" s="3"/>
      <c r="L26" s="8">
        <f t="shared" si="2"/>
        <v>-875.6099999999999</v>
      </c>
      <c r="M26" s="3"/>
      <c r="N26" s="7">
        <f t="shared" si="3"/>
        <v>-0.41889803709568618</v>
      </c>
      <c r="O26" s="11"/>
      <c r="P26" s="8">
        <v>1214.6600000000001</v>
      </c>
      <c r="Q26" s="3"/>
      <c r="R26" s="7">
        <f t="shared" si="4"/>
        <v>0</v>
      </c>
      <c r="S26" s="3"/>
      <c r="T26" s="8">
        <v>2090.27</v>
      </c>
      <c r="U26" s="3"/>
      <c r="V26" s="7">
        <f t="shared" si="5"/>
        <v>0</v>
      </c>
      <c r="W26" s="3"/>
      <c r="X26" s="8">
        <f t="shared" si="6"/>
        <v>-875.6099999999999</v>
      </c>
      <c r="Y26" s="3"/>
      <c r="Z26" s="7">
        <f t="shared" si="7"/>
        <v>-0.41889803709568618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8">
        <v>606.52</v>
      </c>
      <c r="E27" s="3"/>
      <c r="F27" s="7">
        <f t="shared" si="0"/>
        <v>0</v>
      </c>
      <c r="G27" s="3"/>
      <c r="H27" s="8">
        <v>1962.53</v>
      </c>
      <c r="I27" s="3"/>
      <c r="J27" s="7">
        <f t="shared" si="1"/>
        <v>0</v>
      </c>
      <c r="K27" s="3"/>
      <c r="L27" s="8">
        <f t="shared" si="2"/>
        <v>-1356.01</v>
      </c>
      <c r="M27" s="3"/>
      <c r="N27" s="7">
        <f t="shared" si="3"/>
        <v>-0.69094994726195269</v>
      </c>
      <c r="O27" s="11"/>
      <c r="P27" s="8">
        <v>606.52</v>
      </c>
      <c r="Q27" s="3"/>
      <c r="R27" s="7">
        <f t="shared" si="4"/>
        <v>0</v>
      </c>
      <c r="S27" s="3"/>
      <c r="T27" s="8">
        <v>1962.53</v>
      </c>
      <c r="U27" s="3"/>
      <c r="V27" s="7">
        <f t="shared" si="5"/>
        <v>0</v>
      </c>
      <c r="W27" s="3"/>
      <c r="X27" s="8">
        <f t="shared" si="6"/>
        <v>-1356.01</v>
      </c>
      <c r="Y27" s="3"/>
      <c r="Z27" s="7">
        <f t="shared" si="7"/>
        <v>-0.69094994726195269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8">
        <v>32</v>
      </c>
      <c r="E28" s="3"/>
      <c r="F28" s="7">
        <f t="shared" si="0"/>
        <v>0</v>
      </c>
      <c r="G28" s="3"/>
      <c r="H28" s="8">
        <v>248.58</v>
      </c>
      <c r="I28" s="3"/>
      <c r="J28" s="7">
        <f t="shared" si="1"/>
        <v>0</v>
      </c>
      <c r="K28" s="3"/>
      <c r="L28" s="8">
        <f t="shared" si="2"/>
        <v>-216.58</v>
      </c>
      <c r="M28" s="3"/>
      <c r="N28" s="7">
        <f t="shared" si="3"/>
        <v>-0.87126880682275321</v>
      </c>
      <c r="O28" s="11"/>
      <c r="P28" s="8">
        <v>32</v>
      </c>
      <c r="Q28" s="3"/>
      <c r="R28" s="7">
        <f t="shared" si="4"/>
        <v>0</v>
      </c>
      <c r="S28" s="3"/>
      <c r="T28" s="8">
        <v>248.58</v>
      </c>
      <c r="U28" s="3"/>
      <c r="V28" s="7">
        <f t="shared" si="5"/>
        <v>0</v>
      </c>
      <c r="W28" s="3"/>
      <c r="X28" s="8">
        <f t="shared" si="6"/>
        <v>-216.58</v>
      </c>
      <c r="Y28" s="3"/>
      <c r="Z28" s="7">
        <f t="shared" si="7"/>
        <v>-0.87126880682275321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13287.33</v>
      </c>
      <c r="E29" s="1"/>
      <c r="F29" s="5">
        <f t="shared" ref="F29:F35" si="8">IF(D$12=0,0,D29/D$12)</f>
        <v>0</v>
      </c>
      <c r="G29" s="1"/>
      <c r="H29" s="1">
        <f>SUM(OSRRefH22_1x_0)</f>
        <v>31487.39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-18200.059999999998</v>
      </c>
      <c r="M29" s="1"/>
      <c r="N29" s="5">
        <f t="shared" ref="N29:N35" si="11">IF(H29=0,0,L29/H29)</f>
        <v>-0.5780110704634458</v>
      </c>
      <c r="O29" s="14"/>
      <c r="P29" s="1">
        <f>SUM(OSRRefP22_1x_0)</f>
        <v>13287.33</v>
      </c>
      <c r="Q29" s="1"/>
      <c r="R29" s="5">
        <f t="shared" ref="R29:R35" si="12">IF(P$12=0,0,P29/P$12)</f>
        <v>0</v>
      </c>
      <c r="S29" s="1"/>
      <c r="T29" s="1">
        <f>SUM(OSRRefT22_1x_0)</f>
        <v>31487.39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-18200.059999999998</v>
      </c>
      <c r="Y29" s="1"/>
      <c r="Z29" s="5">
        <f t="shared" ref="Z29:Z35" si="15">IF(T29=0,0,X29/T29)</f>
        <v>-0.5780110704634458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11207.33</v>
      </c>
      <c r="E30" s="3"/>
      <c r="F30" s="7">
        <f t="shared" si="8"/>
        <v>0</v>
      </c>
      <c r="G30" s="3"/>
      <c r="H30" s="8">
        <v>10135.49</v>
      </c>
      <c r="I30" s="3"/>
      <c r="J30" s="7">
        <f t="shared" si="9"/>
        <v>0</v>
      </c>
      <c r="K30" s="3"/>
      <c r="L30" s="8">
        <f t="shared" si="10"/>
        <v>1071.8400000000001</v>
      </c>
      <c r="M30" s="3"/>
      <c r="N30" s="7">
        <f t="shared" si="11"/>
        <v>0.10575117729877886</v>
      </c>
      <c r="O30" s="11"/>
      <c r="P30" s="8">
        <v>11207.33</v>
      </c>
      <c r="Q30" s="3"/>
      <c r="R30" s="7">
        <f t="shared" si="12"/>
        <v>0</v>
      </c>
      <c r="S30" s="3"/>
      <c r="T30" s="8">
        <v>10135.49</v>
      </c>
      <c r="U30" s="3"/>
      <c r="V30" s="7">
        <f t="shared" si="13"/>
        <v>0</v>
      </c>
      <c r="W30" s="3"/>
      <c r="X30" s="8">
        <f t="shared" si="14"/>
        <v>1071.8400000000001</v>
      </c>
      <c r="Y30" s="3"/>
      <c r="Z30" s="7">
        <f t="shared" si="15"/>
        <v>0.10575117729877886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8">
        <v>2080</v>
      </c>
      <c r="E31" s="3"/>
      <c r="F31" s="7">
        <f t="shared" si="8"/>
        <v>0</v>
      </c>
      <c r="G31" s="3"/>
      <c r="H31" s="8">
        <v>4217.24</v>
      </c>
      <c r="I31" s="3"/>
      <c r="J31" s="7">
        <f t="shared" si="9"/>
        <v>0</v>
      </c>
      <c r="K31" s="3"/>
      <c r="L31" s="8">
        <f t="shared" si="10"/>
        <v>-2137.2399999999998</v>
      </c>
      <c r="M31" s="3"/>
      <c r="N31" s="7">
        <f t="shared" si="11"/>
        <v>-0.50678642903889748</v>
      </c>
      <c r="O31" s="11"/>
      <c r="P31" s="8">
        <v>2080</v>
      </c>
      <c r="Q31" s="3"/>
      <c r="R31" s="7">
        <f t="shared" si="12"/>
        <v>0</v>
      </c>
      <c r="S31" s="3"/>
      <c r="T31" s="8">
        <v>4217.24</v>
      </c>
      <c r="U31" s="3"/>
      <c r="V31" s="7">
        <f t="shared" si="13"/>
        <v>0</v>
      </c>
      <c r="W31" s="3"/>
      <c r="X31" s="8">
        <f t="shared" si="14"/>
        <v>-2137.2399999999998</v>
      </c>
      <c r="Y31" s="3"/>
      <c r="Z31" s="7">
        <f t="shared" si="15"/>
        <v>-0.50678642903889748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8"/>
      <c r="E32" s="3"/>
      <c r="F32" s="7">
        <f t="shared" si="8"/>
        <v>0</v>
      </c>
      <c r="G32" s="3"/>
      <c r="H32" s="8">
        <v>2191.84</v>
      </c>
      <c r="I32" s="3"/>
      <c r="J32" s="7">
        <f t="shared" si="9"/>
        <v>0</v>
      </c>
      <c r="K32" s="3"/>
      <c r="L32" s="8">
        <f t="shared" si="10"/>
        <v>-2191.84</v>
      </c>
      <c r="M32" s="3"/>
      <c r="N32" s="7">
        <f t="shared" si="11"/>
        <v>-1</v>
      </c>
      <c r="O32" s="11"/>
      <c r="P32" s="8"/>
      <c r="Q32" s="3"/>
      <c r="R32" s="7">
        <f t="shared" si="12"/>
        <v>0</v>
      </c>
      <c r="S32" s="3"/>
      <c r="T32" s="8">
        <v>2191.84</v>
      </c>
      <c r="U32" s="3"/>
      <c r="V32" s="7">
        <f t="shared" si="13"/>
        <v>0</v>
      </c>
      <c r="W32" s="3"/>
      <c r="X32" s="8">
        <f t="shared" si="14"/>
        <v>-2191.84</v>
      </c>
      <c r="Y32" s="3"/>
      <c r="Z32" s="7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8"/>
      <c r="E33" s="3"/>
      <c r="F33" s="7">
        <f t="shared" si="8"/>
        <v>0</v>
      </c>
      <c r="G33" s="3"/>
      <c r="H33" s="8">
        <v>8422.5</v>
      </c>
      <c r="I33" s="3"/>
      <c r="J33" s="7">
        <f t="shared" si="9"/>
        <v>0</v>
      </c>
      <c r="K33" s="3"/>
      <c r="L33" s="8">
        <f t="shared" si="10"/>
        <v>-8422.5</v>
      </c>
      <c r="M33" s="3"/>
      <c r="N33" s="7">
        <f t="shared" si="11"/>
        <v>-1</v>
      </c>
      <c r="O33" s="11"/>
      <c r="P33" s="8"/>
      <c r="Q33" s="3"/>
      <c r="R33" s="7">
        <f t="shared" si="12"/>
        <v>0</v>
      </c>
      <c r="S33" s="3"/>
      <c r="T33" s="8">
        <v>8422.5</v>
      </c>
      <c r="U33" s="3"/>
      <c r="V33" s="7">
        <f t="shared" si="13"/>
        <v>0</v>
      </c>
      <c r="W33" s="3"/>
      <c r="X33" s="8">
        <f t="shared" si="14"/>
        <v>-8422.5</v>
      </c>
      <c r="Y33" s="3"/>
      <c r="Z33" s="7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8"/>
      <c r="E34" s="3"/>
      <c r="F34" s="7">
        <f t="shared" si="8"/>
        <v>0</v>
      </c>
      <c r="G34" s="3"/>
      <c r="H34" s="8">
        <v>872.63</v>
      </c>
      <c r="I34" s="3"/>
      <c r="J34" s="7">
        <f t="shared" si="9"/>
        <v>0</v>
      </c>
      <c r="K34" s="3"/>
      <c r="L34" s="8">
        <f t="shared" si="10"/>
        <v>-872.63</v>
      </c>
      <c r="M34" s="3"/>
      <c r="N34" s="7">
        <f t="shared" si="11"/>
        <v>-1</v>
      </c>
      <c r="O34" s="11"/>
      <c r="P34" s="8"/>
      <c r="Q34" s="3"/>
      <c r="R34" s="7">
        <f t="shared" si="12"/>
        <v>0</v>
      </c>
      <c r="S34" s="3"/>
      <c r="T34" s="8">
        <v>872.63</v>
      </c>
      <c r="U34" s="3"/>
      <c r="V34" s="7">
        <f t="shared" si="13"/>
        <v>0</v>
      </c>
      <c r="W34" s="3"/>
      <c r="X34" s="8">
        <f t="shared" si="14"/>
        <v>-872.63</v>
      </c>
      <c r="Y34" s="3"/>
      <c r="Z34" s="7">
        <f t="shared" si="15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8"/>
      <c r="E35" s="3"/>
      <c r="F35" s="7">
        <f t="shared" si="8"/>
        <v>0</v>
      </c>
      <c r="G35" s="3"/>
      <c r="H35" s="8">
        <v>5647.69</v>
      </c>
      <c r="I35" s="3"/>
      <c r="J35" s="7">
        <f t="shared" si="9"/>
        <v>0</v>
      </c>
      <c r="K35" s="3"/>
      <c r="L35" s="8">
        <f t="shared" si="10"/>
        <v>-5647.69</v>
      </c>
      <c r="M35" s="3"/>
      <c r="N35" s="7">
        <f t="shared" si="11"/>
        <v>-1</v>
      </c>
      <c r="O35" s="11"/>
      <c r="P35" s="8"/>
      <c r="Q35" s="3"/>
      <c r="R35" s="7">
        <f t="shared" si="12"/>
        <v>0</v>
      </c>
      <c r="S35" s="3"/>
      <c r="T35" s="8">
        <v>5647.69</v>
      </c>
      <c r="U35" s="3"/>
      <c r="V35" s="7">
        <f t="shared" si="13"/>
        <v>0</v>
      </c>
      <c r="W35" s="3"/>
      <c r="X35" s="8">
        <f t="shared" si="14"/>
        <v>-5647.69</v>
      </c>
      <c r="Y35" s="3"/>
      <c r="Z35" s="7">
        <f t="shared" si="15"/>
        <v>-1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12.5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-12.5</v>
      </c>
      <c r="M36" s="1"/>
      <c r="N36" s="5">
        <f t="shared" ref="N36:N43" si="19">IF(H36=0,0,L36/H36)</f>
        <v>-1</v>
      </c>
      <c r="O36" s="14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12.5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-12.5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8"/>
      <c r="E37" s="3"/>
      <c r="F37" s="7">
        <f t="shared" si="16"/>
        <v>0</v>
      </c>
      <c r="G37" s="3"/>
      <c r="H37" s="8">
        <v>12.5</v>
      </c>
      <c r="I37" s="3"/>
      <c r="J37" s="7">
        <f t="shared" si="17"/>
        <v>0</v>
      </c>
      <c r="K37" s="3"/>
      <c r="L37" s="8">
        <f t="shared" si="18"/>
        <v>-12.5</v>
      </c>
      <c r="M37" s="3"/>
      <c r="N37" s="7">
        <f t="shared" si="19"/>
        <v>-1</v>
      </c>
      <c r="O37" s="11"/>
      <c r="P37" s="8"/>
      <c r="Q37" s="3"/>
      <c r="R37" s="7">
        <f t="shared" si="20"/>
        <v>0</v>
      </c>
      <c r="S37" s="3"/>
      <c r="T37" s="8">
        <v>12.5</v>
      </c>
      <c r="U37" s="3"/>
      <c r="V37" s="7">
        <f t="shared" si="21"/>
        <v>0</v>
      </c>
      <c r="W37" s="3"/>
      <c r="X37" s="8">
        <f t="shared" si="22"/>
        <v>-12.5</v>
      </c>
      <c r="Y37" s="3"/>
      <c r="Z37" s="7">
        <f t="shared" si="23"/>
        <v>-1</v>
      </c>
    </row>
    <row r="38" spans="1:26" s="27" customFormat="1" outlineLevel="1" collapsed="1" x14ac:dyDescent="0.25">
      <c r="A38" s="28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282.82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282.82</v>
      </c>
      <c r="M38" s="1"/>
      <c r="N38" s="5">
        <f t="shared" si="19"/>
        <v>0</v>
      </c>
      <c r="O38" s="14"/>
      <c r="P38" s="1">
        <f>SUM(OSRRefP22_3x_0)</f>
        <v>282.82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282.82</v>
      </c>
      <c r="Y38" s="1"/>
      <c r="Z38" s="5">
        <f t="shared" si="23"/>
        <v>0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8">
        <v>282.82</v>
      </c>
      <c r="E39" s="3"/>
      <c r="F39" s="7">
        <f t="shared" si="16"/>
        <v>0</v>
      </c>
      <c r="G39" s="3"/>
      <c r="H39" s="8"/>
      <c r="I39" s="3"/>
      <c r="J39" s="7">
        <f t="shared" si="17"/>
        <v>0</v>
      </c>
      <c r="K39" s="3"/>
      <c r="L39" s="8">
        <f t="shared" si="18"/>
        <v>282.82</v>
      </c>
      <c r="M39" s="3"/>
      <c r="N39" s="7">
        <f t="shared" si="19"/>
        <v>0</v>
      </c>
      <c r="O39" s="11"/>
      <c r="P39" s="8">
        <v>282.82</v>
      </c>
      <c r="Q39" s="3"/>
      <c r="R39" s="7">
        <f t="shared" si="20"/>
        <v>0</v>
      </c>
      <c r="S39" s="3"/>
      <c r="T39" s="8"/>
      <c r="U39" s="3"/>
      <c r="V39" s="7">
        <f t="shared" si="21"/>
        <v>0</v>
      </c>
      <c r="W39" s="3"/>
      <c r="X39" s="8">
        <f t="shared" si="22"/>
        <v>282.82</v>
      </c>
      <c r="Y39" s="3"/>
      <c r="Z39" s="7">
        <f t="shared" si="23"/>
        <v>0</v>
      </c>
    </row>
    <row r="40" spans="1:26" s="27" customFormat="1" outlineLevel="1" collapsed="1" x14ac:dyDescent="0.25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SUM(OSRRefD22_4x_0)</f>
        <v>7041.26</v>
      </c>
      <c r="E40" s="1"/>
      <c r="F40" s="5">
        <f t="shared" si="16"/>
        <v>0</v>
      </c>
      <c r="G40" s="1"/>
      <c r="H40" s="1">
        <f>SUM(OSRRefH22_4x_0)</f>
        <v>6821.6399999999994</v>
      </c>
      <c r="I40" s="1"/>
      <c r="J40" s="5">
        <f t="shared" si="17"/>
        <v>0</v>
      </c>
      <c r="K40" s="1"/>
      <c r="L40" s="1">
        <f t="shared" si="18"/>
        <v>219.6200000000008</v>
      </c>
      <c r="M40" s="1"/>
      <c r="N40" s="5">
        <f t="shared" si="19"/>
        <v>3.2194604230067966E-2</v>
      </c>
      <c r="O40" s="14"/>
      <c r="P40" s="1">
        <f>SUM(OSRRefP22_4x_0)</f>
        <v>7041.26</v>
      </c>
      <c r="Q40" s="1"/>
      <c r="R40" s="5">
        <f t="shared" si="20"/>
        <v>0</v>
      </c>
      <c r="S40" s="1"/>
      <c r="T40" s="1">
        <f>SUM(OSRRefT22_4x_0)</f>
        <v>6821.6399999999994</v>
      </c>
      <c r="U40" s="1"/>
      <c r="V40" s="5">
        <f t="shared" si="21"/>
        <v>0</v>
      </c>
      <c r="W40" s="1"/>
      <c r="X40" s="1">
        <f t="shared" si="22"/>
        <v>219.6200000000008</v>
      </c>
      <c r="Y40" s="1"/>
      <c r="Z40" s="5">
        <f t="shared" si="23"/>
        <v>3.2194604230067966E-2</v>
      </c>
    </row>
    <row r="41" spans="1:26" s="24" customFormat="1" hidden="1" outlineLevel="2" x14ac:dyDescent="0.25">
      <c r="A41" s="29"/>
      <c r="B41" s="11" t="str">
        <f>CONCATENATE("          ", "6321", " - ", "BUILDING DEPRECIATION")</f>
        <v xml:space="preserve">          6321 - BUILDING DEPRECIATION</v>
      </c>
      <c r="C41" s="11"/>
      <c r="D41" s="8">
        <v>2084.08</v>
      </c>
      <c r="E41" s="3"/>
      <c r="F41" s="7">
        <f t="shared" si="16"/>
        <v>0</v>
      </c>
      <c r="G41" s="3"/>
      <c r="H41" s="8">
        <v>2266.9499999999998</v>
      </c>
      <c r="I41" s="3"/>
      <c r="J41" s="7">
        <f t="shared" si="17"/>
        <v>0</v>
      </c>
      <c r="K41" s="3"/>
      <c r="L41" s="8">
        <f t="shared" si="18"/>
        <v>-182.86999999999989</v>
      </c>
      <c r="M41" s="3"/>
      <c r="N41" s="7">
        <f t="shared" si="19"/>
        <v>-8.0667857694258771E-2</v>
      </c>
      <c r="O41" s="11"/>
      <c r="P41" s="8">
        <v>2084.08</v>
      </c>
      <c r="Q41" s="3"/>
      <c r="R41" s="7">
        <f t="shared" si="20"/>
        <v>0</v>
      </c>
      <c r="S41" s="3"/>
      <c r="T41" s="8">
        <v>2266.9499999999998</v>
      </c>
      <c r="U41" s="3"/>
      <c r="V41" s="7">
        <f t="shared" si="21"/>
        <v>0</v>
      </c>
      <c r="W41" s="3"/>
      <c r="X41" s="8">
        <f t="shared" si="22"/>
        <v>-182.86999999999989</v>
      </c>
      <c r="Y41" s="3"/>
      <c r="Z41" s="7">
        <f t="shared" si="23"/>
        <v>-8.0667857694258771E-2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8">
        <v>4957.18</v>
      </c>
      <c r="E42" s="3"/>
      <c r="F42" s="7">
        <f t="shared" si="16"/>
        <v>0</v>
      </c>
      <c r="G42" s="3"/>
      <c r="H42" s="8">
        <v>4130.4399999999996</v>
      </c>
      <c r="I42" s="3"/>
      <c r="J42" s="7">
        <f t="shared" si="17"/>
        <v>0</v>
      </c>
      <c r="K42" s="3"/>
      <c r="L42" s="8">
        <f t="shared" si="18"/>
        <v>826.74000000000069</v>
      </c>
      <c r="M42" s="3"/>
      <c r="N42" s="7">
        <f t="shared" si="19"/>
        <v>0.20015785243218659</v>
      </c>
      <c r="O42" s="11"/>
      <c r="P42" s="8">
        <v>4957.18</v>
      </c>
      <c r="Q42" s="3"/>
      <c r="R42" s="7">
        <f t="shared" si="20"/>
        <v>0</v>
      </c>
      <c r="S42" s="3"/>
      <c r="T42" s="8">
        <v>4130.4399999999996</v>
      </c>
      <c r="U42" s="3"/>
      <c r="V42" s="7">
        <f t="shared" si="21"/>
        <v>0</v>
      </c>
      <c r="W42" s="3"/>
      <c r="X42" s="8">
        <f t="shared" si="22"/>
        <v>826.74000000000069</v>
      </c>
      <c r="Y42" s="3"/>
      <c r="Z42" s="7">
        <f t="shared" si="23"/>
        <v>0.20015785243218659</v>
      </c>
    </row>
    <row r="43" spans="1:26" s="24" customFormat="1" hidden="1" outlineLevel="2" x14ac:dyDescent="0.25">
      <c r="A43" s="29"/>
      <c r="B43" s="11" t="str">
        <f>CONCATENATE("          ", "6326", " - ", "VEHICLES DEPRECIATION EXPENSE")</f>
        <v xml:space="preserve">          6326 - VEHICLES DEPRECIATION EXPENSE</v>
      </c>
      <c r="C43" s="11"/>
      <c r="D43" s="8"/>
      <c r="E43" s="3"/>
      <c r="F43" s="7">
        <f t="shared" si="16"/>
        <v>0</v>
      </c>
      <c r="G43" s="3"/>
      <c r="H43" s="8">
        <v>424.25</v>
      </c>
      <c r="I43" s="3"/>
      <c r="J43" s="7">
        <f t="shared" si="17"/>
        <v>0</v>
      </c>
      <c r="K43" s="3"/>
      <c r="L43" s="8">
        <f t="shared" si="18"/>
        <v>-424.25</v>
      </c>
      <c r="M43" s="3"/>
      <c r="N43" s="7">
        <f t="shared" si="19"/>
        <v>-1</v>
      </c>
      <c r="O43" s="11"/>
      <c r="P43" s="8"/>
      <c r="Q43" s="3"/>
      <c r="R43" s="7">
        <f t="shared" si="20"/>
        <v>0</v>
      </c>
      <c r="S43" s="3"/>
      <c r="T43" s="8">
        <v>424.25</v>
      </c>
      <c r="U43" s="3"/>
      <c r="V43" s="7">
        <f t="shared" si="21"/>
        <v>0</v>
      </c>
      <c r="W43" s="3"/>
      <c r="X43" s="8">
        <f t="shared" si="22"/>
        <v>-424.25</v>
      </c>
      <c r="Y43" s="3"/>
      <c r="Z43" s="7">
        <f t="shared" si="23"/>
        <v>-1</v>
      </c>
    </row>
    <row r="44" spans="1:26" s="27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SUM(OSRRefD22_5x_0)</f>
        <v>0</v>
      </c>
      <c r="E44" s="1"/>
      <c r="F44" s="5">
        <f t="shared" ref="F44:F52" si="24">IF(D$12=0,0,D44/D$12)</f>
        <v>0</v>
      </c>
      <c r="G44" s="1"/>
      <c r="H44" s="1">
        <f>SUM(OSRRefH22_5x_0)</f>
        <v>45.86</v>
      </c>
      <c r="I44" s="1"/>
      <c r="J44" s="5">
        <f t="shared" ref="J44:J52" si="25">IF(H$12=0,0,H44/H$12)</f>
        <v>0</v>
      </c>
      <c r="K44" s="1"/>
      <c r="L44" s="1">
        <f t="shared" ref="L44:L52" si="26">+D44-H44</f>
        <v>-45.86</v>
      </c>
      <c r="M44" s="1"/>
      <c r="N44" s="5">
        <f t="shared" ref="N44:N52" si="27">IF(H44=0,0,L44/H44)</f>
        <v>-1</v>
      </c>
      <c r="O44" s="14"/>
      <c r="P44" s="1">
        <f>SUM(OSRRefP22_5x_0)</f>
        <v>0</v>
      </c>
      <c r="Q44" s="1"/>
      <c r="R44" s="5">
        <f t="shared" ref="R44:R52" si="28">IF(P$12=0,0,P44/P$12)</f>
        <v>0</v>
      </c>
      <c r="S44" s="1"/>
      <c r="T44" s="1">
        <f>SUM(OSRRefT22_5x_0)</f>
        <v>45.86</v>
      </c>
      <c r="U44" s="1"/>
      <c r="V44" s="5">
        <f t="shared" ref="V44:V52" si="29">IF(T$12=0,0,T44/T$12)</f>
        <v>0</v>
      </c>
      <c r="W44" s="1"/>
      <c r="X44" s="1">
        <f t="shared" ref="X44:X52" si="30">+P44-T44</f>
        <v>-45.86</v>
      </c>
      <c r="Y44" s="1"/>
      <c r="Z44" s="5">
        <f t="shared" ref="Z44:Z52" si="31">IF(T44=0,0,X44/T44)</f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8"/>
      <c r="E45" s="3"/>
      <c r="F45" s="7">
        <f t="shared" si="24"/>
        <v>0</v>
      </c>
      <c r="G45" s="3"/>
      <c r="H45" s="8">
        <v>45.86</v>
      </c>
      <c r="I45" s="3"/>
      <c r="J45" s="7">
        <f t="shared" si="25"/>
        <v>0</v>
      </c>
      <c r="K45" s="3"/>
      <c r="L45" s="8">
        <f t="shared" si="26"/>
        <v>-45.86</v>
      </c>
      <c r="M45" s="3"/>
      <c r="N45" s="7">
        <f t="shared" si="27"/>
        <v>-1</v>
      </c>
      <c r="O45" s="11"/>
      <c r="P45" s="8"/>
      <c r="Q45" s="3"/>
      <c r="R45" s="7">
        <f t="shared" si="28"/>
        <v>0</v>
      </c>
      <c r="S45" s="3"/>
      <c r="T45" s="8">
        <v>45.86</v>
      </c>
      <c r="U45" s="3"/>
      <c r="V45" s="7">
        <f t="shared" si="29"/>
        <v>0</v>
      </c>
      <c r="W45" s="3"/>
      <c r="X45" s="8">
        <f t="shared" si="30"/>
        <v>-45.86</v>
      </c>
      <c r="Y45" s="3"/>
      <c r="Z45" s="7">
        <f t="shared" si="31"/>
        <v>-1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419.36</v>
      </c>
      <c r="E46" s="1"/>
      <c r="F46" s="5">
        <f t="shared" si="24"/>
        <v>0</v>
      </c>
      <c r="G46" s="1"/>
      <c r="H46" s="1">
        <f>SUM(OSRRefH22_6x_0)</f>
        <v>863.98</v>
      </c>
      <c r="I46" s="1"/>
      <c r="J46" s="5">
        <f t="shared" si="25"/>
        <v>0</v>
      </c>
      <c r="K46" s="1"/>
      <c r="L46" s="1">
        <f t="shared" si="26"/>
        <v>-444.62</v>
      </c>
      <c r="M46" s="1"/>
      <c r="N46" s="5">
        <f t="shared" si="27"/>
        <v>-0.51461839394430431</v>
      </c>
      <c r="O46" s="14"/>
      <c r="P46" s="1">
        <f>SUM(OSRRefP22_6x_0)</f>
        <v>419.36</v>
      </c>
      <c r="Q46" s="1"/>
      <c r="R46" s="5">
        <f t="shared" si="28"/>
        <v>0</v>
      </c>
      <c r="S46" s="1"/>
      <c r="T46" s="1">
        <f>SUM(OSRRefT22_6x_0)</f>
        <v>863.98</v>
      </c>
      <c r="U46" s="1"/>
      <c r="V46" s="5">
        <f t="shared" si="29"/>
        <v>0</v>
      </c>
      <c r="W46" s="1"/>
      <c r="X46" s="1">
        <f t="shared" si="30"/>
        <v>-444.62</v>
      </c>
      <c r="Y46" s="1"/>
      <c r="Z46" s="5">
        <f t="shared" si="31"/>
        <v>-0.51461839394430431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8">
        <v>419.36</v>
      </c>
      <c r="E47" s="3"/>
      <c r="F47" s="7">
        <f t="shared" si="24"/>
        <v>0</v>
      </c>
      <c r="G47" s="3"/>
      <c r="H47" s="8">
        <v>863.98</v>
      </c>
      <c r="I47" s="3"/>
      <c r="J47" s="7">
        <f t="shared" si="25"/>
        <v>0</v>
      </c>
      <c r="K47" s="3"/>
      <c r="L47" s="8">
        <f t="shared" si="26"/>
        <v>-444.62</v>
      </c>
      <c r="M47" s="3"/>
      <c r="N47" s="7">
        <f t="shared" si="27"/>
        <v>-0.51461839394430431</v>
      </c>
      <c r="O47" s="11"/>
      <c r="P47" s="8">
        <v>419.36</v>
      </c>
      <c r="Q47" s="3"/>
      <c r="R47" s="7">
        <f t="shared" si="28"/>
        <v>0</v>
      </c>
      <c r="S47" s="3"/>
      <c r="T47" s="8">
        <v>863.98</v>
      </c>
      <c r="U47" s="3"/>
      <c r="V47" s="7">
        <f t="shared" si="29"/>
        <v>0</v>
      </c>
      <c r="W47" s="3"/>
      <c r="X47" s="8">
        <f t="shared" si="30"/>
        <v>-444.62</v>
      </c>
      <c r="Y47" s="3"/>
      <c r="Z47" s="7">
        <f t="shared" si="31"/>
        <v>-0.51461839394430431</v>
      </c>
    </row>
    <row r="48" spans="1:26" s="27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SUM(OSRRefD22_7x_0)</f>
        <v>3598.85</v>
      </c>
      <c r="E48" s="1"/>
      <c r="F48" s="5">
        <f t="shared" si="24"/>
        <v>0</v>
      </c>
      <c r="G48" s="1"/>
      <c r="H48" s="1">
        <f>SUM(OSRRefH22_7x_0)</f>
        <v>3598.85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SUM(OSRRefP22_7x_0)</f>
        <v>3598.85</v>
      </c>
      <c r="Q48" s="1"/>
      <c r="R48" s="5">
        <f t="shared" si="28"/>
        <v>0</v>
      </c>
      <c r="S48" s="1"/>
      <c r="T48" s="1">
        <f>SUM(OSRRefT22_7x_0)</f>
        <v>3598.85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8">
        <v>3598.85</v>
      </c>
      <c r="E49" s="3"/>
      <c r="F49" s="7">
        <f t="shared" si="24"/>
        <v>0</v>
      </c>
      <c r="G49" s="3"/>
      <c r="H49" s="8">
        <v>3598.85</v>
      </c>
      <c r="I49" s="3"/>
      <c r="J49" s="7">
        <f t="shared" si="25"/>
        <v>0</v>
      </c>
      <c r="K49" s="3"/>
      <c r="L49" s="8">
        <f t="shared" si="26"/>
        <v>0</v>
      </c>
      <c r="M49" s="3"/>
      <c r="N49" s="7">
        <f t="shared" si="27"/>
        <v>0</v>
      </c>
      <c r="O49" s="11"/>
      <c r="P49" s="8">
        <v>3598.85</v>
      </c>
      <c r="Q49" s="3"/>
      <c r="R49" s="7">
        <f t="shared" si="28"/>
        <v>0</v>
      </c>
      <c r="S49" s="3"/>
      <c r="T49" s="8">
        <v>3598.85</v>
      </c>
      <c r="U49" s="3"/>
      <c r="V49" s="7">
        <f t="shared" si="29"/>
        <v>0</v>
      </c>
      <c r="W49" s="3"/>
      <c r="X49" s="8">
        <f t="shared" si="30"/>
        <v>0</v>
      </c>
      <c r="Y49" s="3"/>
      <c r="Z49" s="7">
        <f t="shared" si="31"/>
        <v>0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38.51</v>
      </c>
      <c r="E50" s="1"/>
      <c r="F50" s="5">
        <f t="shared" si="24"/>
        <v>0</v>
      </c>
      <c r="G50" s="1"/>
      <c r="H50" s="1">
        <f>SUM(OSRRefH22_8x_0)</f>
        <v>11906.73</v>
      </c>
      <c r="I50" s="1"/>
      <c r="J50" s="5">
        <f t="shared" si="25"/>
        <v>0</v>
      </c>
      <c r="K50" s="1"/>
      <c r="L50" s="1">
        <f t="shared" si="26"/>
        <v>-11868.22</v>
      </c>
      <c r="M50" s="1"/>
      <c r="N50" s="5">
        <f t="shared" si="27"/>
        <v>-0.99676569469535292</v>
      </c>
      <c r="O50" s="14"/>
      <c r="P50" s="1">
        <f>SUM(OSRRefP22_8x_0)</f>
        <v>38.51</v>
      </c>
      <c r="Q50" s="1"/>
      <c r="R50" s="5">
        <f t="shared" si="28"/>
        <v>0</v>
      </c>
      <c r="S50" s="1"/>
      <c r="T50" s="1">
        <f>SUM(OSRRefT22_8x_0)</f>
        <v>11906.73</v>
      </c>
      <c r="U50" s="1"/>
      <c r="V50" s="5">
        <f t="shared" si="29"/>
        <v>0</v>
      </c>
      <c r="W50" s="1"/>
      <c r="X50" s="1">
        <f t="shared" si="30"/>
        <v>-11868.22</v>
      </c>
      <c r="Y50" s="1"/>
      <c r="Z50" s="5">
        <f t="shared" si="31"/>
        <v>-0.99676569469535292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8">
        <v>1.05</v>
      </c>
      <c r="E51" s="3"/>
      <c r="F51" s="7">
        <f t="shared" si="24"/>
        <v>0</v>
      </c>
      <c r="G51" s="3"/>
      <c r="H51" s="8">
        <v>5028.88</v>
      </c>
      <c r="I51" s="3"/>
      <c r="J51" s="7">
        <f t="shared" si="25"/>
        <v>0</v>
      </c>
      <c r="K51" s="3"/>
      <c r="L51" s="8">
        <f t="shared" si="26"/>
        <v>-5027.83</v>
      </c>
      <c r="M51" s="3"/>
      <c r="N51" s="7">
        <f t="shared" si="27"/>
        <v>-0.99979120599417759</v>
      </c>
      <c r="O51" s="11"/>
      <c r="P51" s="8">
        <v>1.05</v>
      </c>
      <c r="Q51" s="3"/>
      <c r="R51" s="7">
        <f t="shared" si="28"/>
        <v>0</v>
      </c>
      <c r="S51" s="3"/>
      <c r="T51" s="8">
        <v>5028.88</v>
      </c>
      <c r="U51" s="3"/>
      <c r="V51" s="7">
        <f t="shared" si="29"/>
        <v>0</v>
      </c>
      <c r="W51" s="3"/>
      <c r="X51" s="8">
        <f t="shared" si="30"/>
        <v>-5027.83</v>
      </c>
      <c r="Y51" s="3"/>
      <c r="Z51" s="7">
        <f t="shared" si="31"/>
        <v>-0.99979120599417759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8">
        <v>37.46</v>
      </c>
      <c r="E52" s="3"/>
      <c r="F52" s="7">
        <f t="shared" si="24"/>
        <v>0</v>
      </c>
      <c r="G52" s="3"/>
      <c r="H52" s="8">
        <v>6877.85</v>
      </c>
      <c r="I52" s="3"/>
      <c r="J52" s="7">
        <f t="shared" si="25"/>
        <v>0</v>
      </c>
      <c r="K52" s="3"/>
      <c r="L52" s="8">
        <f t="shared" si="26"/>
        <v>-6840.39</v>
      </c>
      <c r="M52" s="3"/>
      <c r="N52" s="7">
        <f t="shared" si="27"/>
        <v>-0.99455353053643214</v>
      </c>
      <c r="O52" s="11"/>
      <c r="P52" s="8">
        <v>37.46</v>
      </c>
      <c r="Q52" s="3"/>
      <c r="R52" s="7">
        <f t="shared" si="28"/>
        <v>0</v>
      </c>
      <c r="S52" s="3"/>
      <c r="T52" s="8">
        <v>6877.85</v>
      </c>
      <c r="U52" s="3"/>
      <c r="V52" s="7">
        <f t="shared" si="29"/>
        <v>0</v>
      </c>
      <c r="W52" s="3"/>
      <c r="X52" s="8">
        <f t="shared" si="30"/>
        <v>-6840.39</v>
      </c>
      <c r="Y52" s="3"/>
      <c r="Z52" s="7">
        <f t="shared" si="31"/>
        <v>-0.99455353053643214</v>
      </c>
    </row>
    <row r="53" spans="1:26" s="27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ref="F53:F58" si="32">IF(D$12=0,0,D53/D$12)</f>
        <v>0</v>
      </c>
      <c r="G53" s="1"/>
      <c r="H53" s="1">
        <f>SUM(OSRRefH22_9x_0)</f>
        <v>14017.14</v>
      </c>
      <c r="I53" s="1"/>
      <c r="J53" s="5">
        <f t="shared" ref="J53:J58" si="33">IF(H$12=0,0,H53/H$12)</f>
        <v>0</v>
      </c>
      <c r="K53" s="1"/>
      <c r="L53" s="1">
        <f t="shared" ref="L53:L58" si="34">+D53-H53</f>
        <v>-14017.14</v>
      </c>
      <c r="M53" s="1"/>
      <c r="N53" s="5">
        <f t="shared" ref="N53:N58" si="35">IF(H53=0,0,L53/H53)</f>
        <v>-1</v>
      </c>
      <c r="O53" s="14"/>
      <c r="P53" s="1">
        <f>SUM(OSRRefP22_9x_0)</f>
        <v>0</v>
      </c>
      <c r="Q53" s="1"/>
      <c r="R53" s="5">
        <f t="shared" ref="R53:R58" si="36">IF(P$12=0,0,P53/P$12)</f>
        <v>0</v>
      </c>
      <c r="S53" s="1"/>
      <c r="T53" s="1">
        <f>SUM(OSRRefT22_9x_0)</f>
        <v>14017.14</v>
      </c>
      <c r="U53" s="1"/>
      <c r="V53" s="5">
        <f t="shared" ref="V53:V58" si="37">IF(T$12=0,0,T53/T$12)</f>
        <v>0</v>
      </c>
      <c r="W53" s="1"/>
      <c r="X53" s="1">
        <f t="shared" ref="X53:X58" si="38">+P53-T53</f>
        <v>-14017.14</v>
      </c>
      <c r="Y53" s="1"/>
      <c r="Z53" s="5">
        <f t="shared" ref="Z53:Z58" si="39">IF(T53=0,0,X53/T53)</f>
        <v>-1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8"/>
      <c r="E54" s="3"/>
      <c r="F54" s="7">
        <f t="shared" si="32"/>
        <v>0</v>
      </c>
      <c r="G54" s="3"/>
      <c r="H54" s="8">
        <v>626.26</v>
      </c>
      <c r="I54" s="3"/>
      <c r="J54" s="7">
        <f t="shared" si="33"/>
        <v>0</v>
      </c>
      <c r="K54" s="3"/>
      <c r="L54" s="8">
        <f t="shared" si="34"/>
        <v>-626.26</v>
      </c>
      <c r="M54" s="3"/>
      <c r="N54" s="7">
        <f t="shared" si="35"/>
        <v>-1</v>
      </c>
      <c r="O54" s="11"/>
      <c r="P54" s="8"/>
      <c r="Q54" s="3"/>
      <c r="R54" s="7">
        <f t="shared" si="36"/>
        <v>0</v>
      </c>
      <c r="S54" s="3"/>
      <c r="T54" s="8">
        <v>626.26</v>
      </c>
      <c r="U54" s="3"/>
      <c r="V54" s="7">
        <f t="shared" si="37"/>
        <v>0</v>
      </c>
      <c r="W54" s="3"/>
      <c r="X54" s="8">
        <f t="shared" si="38"/>
        <v>-626.26</v>
      </c>
      <c r="Y54" s="3"/>
      <c r="Z54" s="7">
        <f t="shared" si="39"/>
        <v>-1</v>
      </c>
    </row>
    <row r="55" spans="1:26" s="24" customFormat="1" hidden="1" outlineLevel="2" x14ac:dyDescent="0.25">
      <c r="A55" s="29"/>
      <c r="B55" s="11" t="str">
        <f>CONCATENATE("          ", "6283", " - ", "PLANT SERVICE")</f>
        <v xml:space="preserve">          6283 - PLANT SERVICE</v>
      </c>
      <c r="C55" s="11"/>
      <c r="D55" s="8"/>
      <c r="E55" s="3"/>
      <c r="F55" s="7">
        <f t="shared" si="32"/>
        <v>0</v>
      </c>
      <c r="G55" s="3"/>
      <c r="H55" s="8">
        <v>35.53</v>
      </c>
      <c r="I55" s="3"/>
      <c r="J55" s="7">
        <f t="shared" si="33"/>
        <v>0</v>
      </c>
      <c r="K55" s="3"/>
      <c r="L55" s="8">
        <f t="shared" si="34"/>
        <v>-35.53</v>
      </c>
      <c r="M55" s="3"/>
      <c r="N55" s="7">
        <f t="shared" si="35"/>
        <v>-1</v>
      </c>
      <c r="O55" s="11"/>
      <c r="P55" s="8"/>
      <c r="Q55" s="3"/>
      <c r="R55" s="7">
        <f t="shared" si="36"/>
        <v>0</v>
      </c>
      <c r="S55" s="3"/>
      <c r="T55" s="8">
        <v>35.53</v>
      </c>
      <c r="U55" s="3"/>
      <c r="V55" s="7">
        <f t="shared" si="37"/>
        <v>0</v>
      </c>
      <c r="W55" s="3"/>
      <c r="X55" s="8">
        <f t="shared" si="38"/>
        <v>-35.53</v>
      </c>
      <c r="Y55" s="3"/>
      <c r="Z55" s="7">
        <f t="shared" si="39"/>
        <v>-1</v>
      </c>
    </row>
    <row r="56" spans="1:26" s="24" customFormat="1" hidden="1" outlineLevel="2" x14ac:dyDescent="0.25">
      <c r="A56" s="29"/>
      <c r="B56" s="11" t="str">
        <f>CONCATENATE("          ", "6284", " - ", "TRASH REMOVAL EXPENSE")</f>
        <v xml:space="preserve">          6284 - TRASH REMOVAL EXPENSE</v>
      </c>
      <c r="C56" s="11"/>
      <c r="D56" s="8"/>
      <c r="E56" s="3"/>
      <c r="F56" s="7">
        <f t="shared" si="32"/>
        <v>0</v>
      </c>
      <c r="G56" s="3"/>
      <c r="H56" s="8">
        <v>3482</v>
      </c>
      <c r="I56" s="3"/>
      <c r="J56" s="7">
        <f t="shared" si="33"/>
        <v>0</v>
      </c>
      <c r="K56" s="3"/>
      <c r="L56" s="8">
        <f t="shared" si="34"/>
        <v>-3482</v>
      </c>
      <c r="M56" s="3"/>
      <c r="N56" s="7">
        <f t="shared" si="35"/>
        <v>-1</v>
      </c>
      <c r="O56" s="11"/>
      <c r="P56" s="8"/>
      <c r="Q56" s="3"/>
      <c r="R56" s="7">
        <f t="shared" si="36"/>
        <v>0</v>
      </c>
      <c r="S56" s="3"/>
      <c r="T56" s="8">
        <v>3482</v>
      </c>
      <c r="U56" s="3"/>
      <c r="V56" s="7">
        <f t="shared" si="37"/>
        <v>0</v>
      </c>
      <c r="W56" s="3"/>
      <c r="X56" s="8">
        <f t="shared" si="38"/>
        <v>-3482</v>
      </c>
      <c r="Y56" s="3"/>
      <c r="Z56" s="7">
        <f t="shared" si="39"/>
        <v>-1</v>
      </c>
    </row>
    <row r="57" spans="1:26" s="24" customFormat="1" hidden="1" outlineLevel="2" x14ac:dyDescent="0.25">
      <c r="A57" s="29"/>
      <c r="B57" s="11" t="str">
        <f>CONCATENATE("          ", "6285", " - ", "JANITORIAL SERVICES")</f>
        <v xml:space="preserve">          6285 - JANITORIAL SERVICES</v>
      </c>
      <c r="C57" s="11"/>
      <c r="D57" s="8"/>
      <c r="E57" s="3"/>
      <c r="F57" s="7">
        <f t="shared" si="32"/>
        <v>0</v>
      </c>
      <c r="G57" s="3"/>
      <c r="H57" s="8">
        <v>9853.51</v>
      </c>
      <c r="I57" s="3"/>
      <c r="J57" s="7">
        <f t="shared" si="33"/>
        <v>0</v>
      </c>
      <c r="K57" s="3"/>
      <c r="L57" s="8">
        <f t="shared" si="34"/>
        <v>-9853.51</v>
      </c>
      <c r="M57" s="3"/>
      <c r="N57" s="7">
        <f t="shared" si="35"/>
        <v>-1</v>
      </c>
      <c r="O57" s="11"/>
      <c r="P57" s="8"/>
      <c r="Q57" s="3"/>
      <c r="R57" s="7">
        <f t="shared" si="36"/>
        <v>0</v>
      </c>
      <c r="S57" s="3"/>
      <c r="T57" s="8">
        <v>9853.51</v>
      </c>
      <c r="U57" s="3"/>
      <c r="V57" s="7">
        <f t="shared" si="37"/>
        <v>0</v>
      </c>
      <c r="W57" s="3"/>
      <c r="X57" s="8">
        <f t="shared" si="38"/>
        <v>-9853.51</v>
      </c>
      <c r="Y57" s="3"/>
      <c r="Z57" s="7">
        <f t="shared" si="39"/>
        <v>-1</v>
      </c>
    </row>
    <row r="58" spans="1:26" s="24" customFormat="1" hidden="1" outlineLevel="2" x14ac:dyDescent="0.25">
      <c r="A58" s="29"/>
      <c r="B58" s="11" t="str">
        <f>CONCATENATE("          ", "6286", " - ", "LAUNDRY EXPENSE")</f>
        <v xml:space="preserve">          6286 - LAUNDRY EXPENSE</v>
      </c>
      <c r="C58" s="11"/>
      <c r="D58" s="8"/>
      <c r="E58" s="3"/>
      <c r="F58" s="7">
        <f t="shared" si="32"/>
        <v>0</v>
      </c>
      <c r="G58" s="3"/>
      <c r="H58" s="8">
        <v>19.84</v>
      </c>
      <c r="I58" s="3"/>
      <c r="J58" s="7">
        <f t="shared" si="33"/>
        <v>0</v>
      </c>
      <c r="K58" s="3"/>
      <c r="L58" s="8">
        <f t="shared" si="34"/>
        <v>-19.84</v>
      </c>
      <c r="M58" s="3"/>
      <c r="N58" s="7">
        <f t="shared" si="35"/>
        <v>-1</v>
      </c>
      <c r="O58" s="11"/>
      <c r="P58" s="8"/>
      <c r="Q58" s="3"/>
      <c r="R58" s="7">
        <f t="shared" si="36"/>
        <v>0</v>
      </c>
      <c r="S58" s="3"/>
      <c r="T58" s="8">
        <v>19.84</v>
      </c>
      <c r="U58" s="3"/>
      <c r="V58" s="7">
        <f t="shared" si="37"/>
        <v>0</v>
      </c>
      <c r="W58" s="3"/>
      <c r="X58" s="8">
        <f t="shared" si="38"/>
        <v>-19.84</v>
      </c>
      <c r="Y58" s="3"/>
      <c r="Z58" s="7">
        <f t="shared" si="39"/>
        <v>-1</v>
      </c>
    </row>
    <row r="59" spans="1:26" s="27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SUM(OSRRefD22_10x_0)</f>
        <v>0</v>
      </c>
      <c r="E59" s="1"/>
      <c r="F59" s="5">
        <f t="shared" ref="F59:F63" si="40">IF(D$12=0,0,D59/D$12)</f>
        <v>0</v>
      </c>
      <c r="G59" s="1"/>
      <c r="H59" s="1">
        <f>SUM(OSRRefH22_10x_0)</f>
        <v>2755.94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-2755.94</v>
      </c>
      <c r="M59" s="1"/>
      <c r="N59" s="5">
        <f t="shared" ref="N59:N63" si="43">IF(H59=0,0,L59/H59)</f>
        <v>-1</v>
      </c>
      <c r="O59" s="14"/>
      <c r="P59" s="1">
        <f>SUM(OSRRefP22_10x_0)</f>
        <v>0</v>
      </c>
      <c r="Q59" s="1"/>
      <c r="R59" s="5">
        <f t="shared" ref="R59:R63" si="44">IF(P$12=0,0,P59/P$12)</f>
        <v>0</v>
      </c>
      <c r="S59" s="1"/>
      <c r="T59" s="1">
        <f>SUM(OSRRefT22_10x_0)</f>
        <v>2755.94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-2755.94</v>
      </c>
      <c r="Y59" s="1"/>
      <c r="Z59" s="5">
        <f t="shared" ref="Z59:Z63" si="47">IF(T59=0,0,X59/T59)</f>
        <v>-1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8"/>
      <c r="E60" s="3"/>
      <c r="F60" s="7">
        <f t="shared" si="40"/>
        <v>0</v>
      </c>
      <c r="G60" s="3"/>
      <c r="H60" s="8">
        <v>3210.12</v>
      </c>
      <c r="I60" s="3"/>
      <c r="J60" s="7">
        <f t="shared" si="41"/>
        <v>0</v>
      </c>
      <c r="K60" s="3"/>
      <c r="L60" s="8">
        <f t="shared" si="42"/>
        <v>-3210.12</v>
      </c>
      <c r="M60" s="3"/>
      <c r="N60" s="7">
        <f t="shared" si="43"/>
        <v>-1</v>
      </c>
      <c r="O60" s="11"/>
      <c r="P60" s="8"/>
      <c r="Q60" s="3"/>
      <c r="R60" s="7">
        <f t="shared" si="44"/>
        <v>0</v>
      </c>
      <c r="S60" s="3"/>
      <c r="T60" s="8">
        <v>3210.12</v>
      </c>
      <c r="U60" s="3"/>
      <c r="V60" s="7">
        <f t="shared" si="45"/>
        <v>0</v>
      </c>
      <c r="W60" s="3"/>
      <c r="X60" s="8">
        <f t="shared" si="46"/>
        <v>-3210.12</v>
      </c>
      <c r="Y60" s="3"/>
      <c r="Z60" s="7">
        <f t="shared" si="47"/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8"/>
      <c r="E61" s="3"/>
      <c r="F61" s="7">
        <f t="shared" si="40"/>
        <v>0</v>
      </c>
      <c r="G61" s="3"/>
      <c r="H61" s="8">
        <v>445.73</v>
      </c>
      <c r="I61" s="3"/>
      <c r="J61" s="7">
        <f t="shared" si="41"/>
        <v>0</v>
      </c>
      <c r="K61" s="3"/>
      <c r="L61" s="8">
        <f t="shared" si="42"/>
        <v>-445.73</v>
      </c>
      <c r="M61" s="3"/>
      <c r="N61" s="7">
        <f t="shared" si="43"/>
        <v>-1</v>
      </c>
      <c r="O61" s="11"/>
      <c r="P61" s="8"/>
      <c r="Q61" s="3"/>
      <c r="R61" s="7">
        <f t="shared" si="44"/>
        <v>0</v>
      </c>
      <c r="S61" s="3"/>
      <c r="T61" s="8">
        <v>445.73</v>
      </c>
      <c r="U61" s="3"/>
      <c r="V61" s="7">
        <f t="shared" si="45"/>
        <v>0</v>
      </c>
      <c r="W61" s="3"/>
      <c r="X61" s="8">
        <f t="shared" si="46"/>
        <v>-445.73</v>
      </c>
      <c r="Y61" s="3"/>
      <c r="Z61" s="7">
        <f t="shared" si="47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8"/>
      <c r="E62" s="3"/>
      <c r="F62" s="7">
        <f t="shared" si="40"/>
        <v>0</v>
      </c>
      <c r="G62" s="3"/>
      <c r="H62" s="8">
        <v>-1132.72</v>
      </c>
      <c r="I62" s="3"/>
      <c r="J62" s="7">
        <f t="shared" si="41"/>
        <v>0</v>
      </c>
      <c r="K62" s="3"/>
      <c r="L62" s="8">
        <f t="shared" si="42"/>
        <v>1132.72</v>
      </c>
      <c r="M62" s="3"/>
      <c r="N62" s="7">
        <f t="shared" si="43"/>
        <v>-1</v>
      </c>
      <c r="O62" s="11"/>
      <c r="P62" s="8"/>
      <c r="Q62" s="3"/>
      <c r="R62" s="7">
        <f t="shared" si="44"/>
        <v>0</v>
      </c>
      <c r="S62" s="3"/>
      <c r="T62" s="8">
        <v>-1132.72</v>
      </c>
      <c r="U62" s="3"/>
      <c r="V62" s="7">
        <f t="shared" si="45"/>
        <v>0</v>
      </c>
      <c r="W62" s="3"/>
      <c r="X62" s="8">
        <f t="shared" si="46"/>
        <v>1132.72</v>
      </c>
      <c r="Y62" s="3"/>
      <c r="Z62" s="7">
        <f t="shared" si="47"/>
        <v>-1</v>
      </c>
    </row>
    <row r="63" spans="1:26" s="24" customFormat="1" hidden="1" outlineLevel="2" x14ac:dyDescent="0.25">
      <c r="A63" s="29"/>
      <c r="B63" s="11" t="str">
        <f>CONCATENATE("          ", "6248", " - ", "UNIFORMS")</f>
        <v xml:space="preserve">          6248 - UNIFORMS</v>
      </c>
      <c r="C63" s="11"/>
      <c r="D63" s="8"/>
      <c r="E63" s="3"/>
      <c r="F63" s="7">
        <f t="shared" si="40"/>
        <v>0</v>
      </c>
      <c r="G63" s="3"/>
      <c r="H63" s="8">
        <v>232.81</v>
      </c>
      <c r="I63" s="3"/>
      <c r="J63" s="7">
        <f t="shared" si="41"/>
        <v>0</v>
      </c>
      <c r="K63" s="3"/>
      <c r="L63" s="8">
        <f t="shared" si="42"/>
        <v>-232.81</v>
      </c>
      <c r="M63" s="3"/>
      <c r="N63" s="7">
        <f t="shared" si="43"/>
        <v>-1</v>
      </c>
      <c r="O63" s="11"/>
      <c r="P63" s="8"/>
      <c r="Q63" s="3"/>
      <c r="R63" s="7">
        <f t="shared" si="44"/>
        <v>0</v>
      </c>
      <c r="S63" s="3"/>
      <c r="T63" s="8">
        <v>232.81</v>
      </c>
      <c r="U63" s="3"/>
      <c r="V63" s="7">
        <f t="shared" si="45"/>
        <v>0</v>
      </c>
      <c r="W63" s="3"/>
      <c r="X63" s="8">
        <f t="shared" si="46"/>
        <v>-232.81</v>
      </c>
      <c r="Y63" s="3"/>
      <c r="Z63" s="7">
        <f t="shared" si="47"/>
        <v>-1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SUM(OSRRefD22_11x_0)</f>
        <v>426</v>
      </c>
      <c r="E64" s="1"/>
      <c r="F64" s="5">
        <f t="shared" ref="F64:F71" si="48">IF(D$12=0,0,D64/D$12)</f>
        <v>0</v>
      </c>
      <c r="G64" s="1"/>
      <c r="H64" s="1">
        <f>SUM(OSRRefH22_11x_0)</f>
        <v>434.05</v>
      </c>
      <c r="I64" s="1"/>
      <c r="J64" s="5">
        <f t="shared" ref="J64:J71" si="49">IF(H$12=0,0,H64/H$12)</f>
        <v>0</v>
      </c>
      <c r="K64" s="1"/>
      <c r="L64" s="1">
        <f t="shared" ref="L64:L71" si="50">+D64-H64</f>
        <v>-8.0500000000000114</v>
      </c>
      <c r="M64" s="1"/>
      <c r="N64" s="5">
        <f t="shared" ref="N64:N71" si="51">IF(H64=0,0,L64/H64)</f>
        <v>-1.8546250431977909E-2</v>
      </c>
      <c r="O64" s="14"/>
      <c r="P64" s="1">
        <f>SUM(OSRRefP22_11x_0)</f>
        <v>426</v>
      </c>
      <c r="Q64" s="1"/>
      <c r="R64" s="5">
        <f t="shared" ref="R64:R71" si="52">IF(P$12=0,0,P64/P$12)</f>
        <v>0</v>
      </c>
      <c r="S64" s="1"/>
      <c r="T64" s="1">
        <f>SUM(OSRRefT22_11x_0)</f>
        <v>434.05</v>
      </c>
      <c r="U64" s="1"/>
      <c r="V64" s="5">
        <f t="shared" ref="V64:V71" si="53">IF(T$12=0,0,T64/T$12)</f>
        <v>0</v>
      </c>
      <c r="W64" s="1"/>
      <c r="X64" s="1">
        <f t="shared" ref="X64:X71" si="54">+P64-T64</f>
        <v>-8.0500000000000114</v>
      </c>
      <c r="Y64" s="1"/>
      <c r="Z64" s="5">
        <f t="shared" ref="Z64:Z71" si="55">IF(T64=0,0,X64/T64)</f>
        <v>-1.8546250431977909E-2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8">
        <v>426</v>
      </c>
      <c r="E65" s="3"/>
      <c r="F65" s="7">
        <f t="shared" si="48"/>
        <v>0</v>
      </c>
      <c r="G65" s="3"/>
      <c r="H65" s="8">
        <v>434.05</v>
      </c>
      <c r="I65" s="3"/>
      <c r="J65" s="7">
        <f t="shared" si="49"/>
        <v>0</v>
      </c>
      <c r="K65" s="3"/>
      <c r="L65" s="8">
        <f t="shared" si="50"/>
        <v>-8.0500000000000114</v>
      </c>
      <c r="M65" s="3"/>
      <c r="N65" s="7">
        <f t="shared" si="51"/>
        <v>-1.8546250431977909E-2</v>
      </c>
      <c r="O65" s="11"/>
      <c r="P65" s="8">
        <v>426</v>
      </c>
      <c r="Q65" s="3"/>
      <c r="R65" s="7">
        <f t="shared" si="52"/>
        <v>0</v>
      </c>
      <c r="S65" s="3"/>
      <c r="T65" s="8">
        <v>434.05</v>
      </c>
      <c r="U65" s="3"/>
      <c r="V65" s="7">
        <f t="shared" si="53"/>
        <v>0</v>
      </c>
      <c r="W65" s="3"/>
      <c r="X65" s="8">
        <f t="shared" si="54"/>
        <v>-8.0500000000000114</v>
      </c>
      <c r="Y65" s="3"/>
      <c r="Z65" s="7">
        <f t="shared" si="55"/>
        <v>-1.8546250431977909E-2</v>
      </c>
    </row>
    <row r="66" spans="1:26" s="27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240</v>
      </c>
      <c r="I66" s="1"/>
      <c r="J66" s="5">
        <f t="shared" si="49"/>
        <v>0</v>
      </c>
      <c r="K66" s="1"/>
      <c r="L66" s="1">
        <f t="shared" si="50"/>
        <v>-240</v>
      </c>
      <c r="M66" s="1"/>
      <c r="N66" s="5">
        <f t="shared" si="51"/>
        <v>-1</v>
      </c>
      <c r="O66" s="14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240</v>
      </c>
      <c r="U66" s="1"/>
      <c r="V66" s="5">
        <f t="shared" si="53"/>
        <v>0</v>
      </c>
      <c r="W66" s="1"/>
      <c r="X66" s="1">
        <f t="shared" si="54"/>
        <v>-240</v>
      </c>
      <c r="Y66" s="1"/>
      <c r="Z66" s="5">
        <f t="shared" si="55"/>
        <v>-1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8"/>
      <c r="E67" s="3"/>
      <c r="F67" s="7">
        <f t="shared" si="48"/>
        <v>0</v>
      </c>
      <c r="G67" s="3"/>
      <c r="H67" s="8">
        <v>240</v>
      </c>
      <c r="I67" s="3"/>
      <c r="J67" s="7">
        <f t="shared" si="49"/>
        <v>0</v>
      </c>
      <c r="K67" s="3"/>
      <c r="L67" s="8">
        <f t="shared" si="50"/>
        <v>-240</v>
      </c>
      <c r="M67" s="3"/>
      <c r="N67" s="7">
        <f t="shared" si="51"/>
        <v>-1</v>
      </c>
      <c r="O67" s="11"/>
      <c r="P67" s="8"/>
      <c r="Q67" s="3"/>
      <c r="R67" s="7">
        <f t="shared" si="52"/>
        <v>0</v>
      </c>
      <c r="S67" s="3"/>
      <c r="T67" s="8">
        <v>240</v>
      </c>
      <c r="U67" s="3"/>
      <c r="V67" s="7">
        <f t="shared" si="53"/>
        <v>0</v>
      </c>
      <c r="W67" s="3"/>
      <c r="X67" s="8">
        <f t="shared" si="54"/>
        <v>-240</v>
      </c>
      <c r="Y67" s="3"/>
      <c r="Z67" s="7">
        <f t="shared" si="55"/>
        <v>-1</v>
      </c>
    </row>
    <row r="68" spans="1:26" s="27" customFormat="1" outlineLevel="1" collapsed="1" x14ac:dyDescent="0.25">
      <c r="A68" s="28"/>
      <c r="B68" s="14" t="str">
        <f>CONCATENATE("     ","Travel                                            ")</f>
        <v xml:space="preserve">     Travel                                            </v>
      </c>
      <c r="C68" s="14"/>
      <c r="D68" s="1">
        <f>SUM(OSRRefD22_13x_0)</f>
        <v>179.69</v>
      </c>
      <c r="E68" s="1"/>
      <c r="F68" s="5">
        <f t="shared" si="48"/>
        <v>0</v>
      </c>
      <c r="G68" s="1"/>
      <c r="H68" s="1">
        <f>SUM(OSRRefH22_13x_0)</f>
        <v>764.32</v>
      </c>
      <c r="I68" s="1"/>
      <c r="J68" s="5">
        <f t="shared" si="49"/>
        <v>0</v>
      </c>
      <c r="K68" s="1"/>
      <c r="L68" s="1">
        <f t="shared" si="50"/>
        <v>-584.63000000000011</v>
      </c>
      <c r="M68" s="1"/>
      <c r="N68" s="5">
        <f t="shared" si="51"/>
        <v>-0.76490213523131678</v>
      </c>
      <c r="O68" s="14"/>
      <c r="P68" s="1">
        <f>SUM(OSRRefP22_13x_0)</f>
        <v>179.69</v>
      </c>
      <c r="Q68" s="1"/>
      <c r="R68" s="5">
        <f t="shared" si="52"/>
        <v>0</v>
      </c>
      <c r="S68" s="1"/>
      <c r="T68" s="1">
        <f>SUM(OSRRefT22_13x_0)</f>
        <v>764.32</v>
      </c>
      <c r="U68" s="1"/>
      <c r="V68" s="5">
        <f t="shared" si="53"/>
        <v>0</v>
      </c>
      <c r="W68" s="1"/>
      <c r="X68" s="1">
        <f t="shared" si="54"/>
        <v>-584.63000000000011</v>
      </c>
      <c r="Y68" s="1"/>
      <c r="Z68" s="5">
        <f t="shared" si="55"/>
        <v>-0.76490213523131678</v>
      </c>
    </row>
    <row r="69" spans="1:26" s="24" customFormat="1" hidden="1" outlineLevel="2" x14ac:dyDescent="0.25">
      <c r="A69" s="29"/>
      <c r="B69" s="11" t="str">
        <f>CONCATENATE("          ", "6292", " - ", "TRAVEL/CONFERENCE")</f>
        <v xml:space="preserve">          6292 - TRAVEL/CONFERENCE</v>
      </c>
      <c r="C69" s="11"/>
      <c r="D69" s="8"/>
      <c r="E69" s="3"/>
      <c r="F69" s="7">
        <f t="shared" si="48"/>
        <v>0</v>
      </c>
      <c r="G69" s="3"/>
      <c r="H69" s="8">
        <v>505.23</v>
      </c>
      <c r="I69" s="3"/>
      <c r="J69" s="7">
        <f t="shared" si="49"/>
        <v>0</v>
      </c>
      <c r="K69" s="3"/>
      <c r="L69" s="8">
        <f t="shared" si="50"/>
        <v>-505.23</v>
      </c>
      <c r="M69" s="3"/>
      <c r="N69" s="7">
        <f t="shared" si="51"/>
        <v>-1</v>
      </c>
      <c r="O69" s="11"/>
      <c r="P69" s="8"/>
      <c r="Q69" s="3"/>
      <c r="R69" s="7">
        <f t="shared" si="52"/>
        <v>0</v>
      </c>
      <c r="S69" s="3"/>
      <c r="T69" s="8">
        <v>505.23</v>
      </c>
      <c r="U69" s="3"/>
      <c r="V69" s="7">
        <f t="shared" si="53"/>
        <v>0</v>
      </c>
      <c r="W69" s="3"/>
      <c r="X69" s="8">
        <f t="shared" si="54"/>
        <v>-505.23</v>
      </c>
      <c r="Y69" s="3"/>
      <c r="Z69" s="7">
        <f t="shared" si="55"/>
        <v>-1</v>
      </c>
    </row>
    <row r="70" spans="1:26" s="24" customFormat="1" hidden="1" outlineLevel="2" x14ac:dyDescent="0.25">
      <c r="A70" s="29"/>
      <c r="B70" s="11" t="str">
        <f>CONCATENATE("          ", "6294", " - ", "TRAVEL OPERATIONAL")</f>
        <v xml:space="preserve">          6294 - TRAVEL OPERATIONAL</v>
      </c>
      <c r="C70" s="11"/>
      <c r="D70" s="8"/>
      <c r="E70" s="3"/>
      <c r="F70" s="7">
        <f t="shared" si="48"/>
        <v>0</v>
      </c>
      <c r="G70" s="3"/>
      <c r="H70" s="8">
        <v>45.49</v>
      </c>
      <c r="I70" s="3"/>
      <c r="J70" s="7">
        <f t="shared" si="49"/>
        <v>0</v>
      </c>
      <c r="K70" s="3"/>
      <c r="L70" s="8">
        <f t="shared" si="50"/>
        <v>-45.49</v>
      </c>
      <c r="M70" s="3"/>
      <c r="N70" s="7">
        <f t="shared" si="51"/>
        <v>-1</v>
      </c>
      <c r="O70" s="11"/>
      <c r="P70" s="8"/>
      <c r="Q70" s="3"/>
      <c r="R70" s="7">
        <f t="shared" si="52"/>
        <v>0</v>
      </c>
      <c r="S70" s="3"/>
      <c r="T70" s="8">
        <v>45.49</v>
      </c>
      <c r="U70" s="3"/>
      <c r="V70" s="7">
        <f t="shared" si="53"/>
        <v>0</v>
      </c>
      <c r="W70" s="3"/>
      <c r="X70" s="8">
        <f t="shared" si="54"/>
        <v>-45.49</v>
      </c>
      <c r="Y70" s="3"/>
      <c r="Z70" s="7">
        <f t="shared" si="55"/>
        <v>-1</v>
      </c>
    </row>
    <row r="71" spans="1:26" s="24" customFormat="1" hidden="1" outlineLevel="2" x14ac:dyDescent="0.25">
      <c r="A71" s="29"/>
      <c r="B71" s="11" t="str">
        <f>CONCATENATE("          ", "6298", " - ", "VEHICLE MILEAGE")</f>
        <v xml:space="preserve">          6298 - VEHICLE MILEAGE</v>
      </c>
      <c r="C71" s="11"/>
      <c r="D71" s="8">
        <v>179.69</v>
      </c>
      <c r="E71" s="3"/>
      <c r="F71" s="7">
        <f t="shared" si="48"/>
        <v>0</v>
      </c>
      <c r="G71" s="3"/>
      <c r="H71" s="8">
        <v>213.6</v>
      </c>
      <c r="I71" s="3"/>
      <c r="J71" s="7">
        <f t="shared" si="49"/>
        <v>0</v>
      </c>
      <c r="K71" s="3"/>
      <c r="L71" s="8">
        <f t="shared" si="50"/>
        <v>-33.909999999999997</v>
      </c>
      <c r="M71" s="3"/>
      <c r="N71" s="7">
        <f t="shared" si="51"/>
        <v>-0.15875468164794007</v>
      </c>
      <c r="O71" s="11"/>
      <c r="P71" s="8">
        <v>179.69</v>
      </c>
      <c r="Q71" s="3"/>
      <c r="R71" s="7">
        <f t="shared" si="52"/>
        <v>0</v>
      </c>
      <c r="S71" s="3"/>
      <c r="T71" s="8">
        <v>213.6</v>
      </c>
      <c r="U71" s="3"/>
      <c r="V71" s="7">
        <f t="shared" si="53"/>
        <v>0</v>
      </c>
      <c r="W71" s="3"/>
      <c r="X71" s="8">
        <f t="shared" si="54"/>
        <v>-33.909999999999997</v>
      </c>
      <c r="Y71" s="3"/>
      <c r="Z71" s="7">
        <f t="shared" si="55"/>
        <v>-0.15875468164794007</v>
      </c>
    </row>
    <row r="72" spans="1:26" s="27" customFormat="1" outlineLevel="1" collapsed="1" x14ac:dyDescent="0.25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SUM(OSRRefD22_14x_0)</f>
        <v>0</v>
      </c>
      <c r="E72" s="1"/>
      <c r="F72" s="5">
        <f t="shared" ref="F72:F73" si="56">IF(D$12=0,0,D72/D$12)</f>
        <v>0</v>
      </c>
      <c r="G72" s="1"/>
      <c r="H72" s="1">
        <f>SUM(OSRRefH22_14x_0)</f>
        <v>11354</v>
      </c>
      <c r="I72" s="1"/>
      <c r="J72" s="5">
        <f t="shared" ref="J72:J73" si="57">IF(H$12=0,0,H72/H$12)</f>
        <v>0</v>
      </c>
      <c r="K72" s="1"/>
      <c r="L72" s="1">
        <f t="shared" ref="L72:L73" si="58">+D72-H72</f>
        <v>-11354</v>
      </c>
      <c r="M72" s="1"/>
      <c r="N72" s="5">
        <f t="shared" ref="N72:N73" si="59">IF(H72=0,0,L72/H72)</f>
        <v>-1</v>
      </c>
      <c r="O72" s="14"/>
      <c r="P72" s="1">
        <f>SUM(OSRRefP22_14x_0)</f>
        <v>0</v>
      </c>
      <c r="Q72" s="1"/>
      <c r="R72" s="5">
        <f t="shared" ref="R72:R73" si="60">IF(P$12=0,0,P72/P$12)</f>
        <v>0</v>
      </c>
      <c r="S72" s="1"/>
      <c r="T72" s="1">
        <f>SUM(OSRRefT22_14x_0)</f>
        <v>11354</v>
      </c>
      <c r="U72" s="1"/>
      <c r="V72" s="5">
        <f t="shared" ref="V72:V73" si="61">IF(T$12=0,0,T72/T$12)</f>
        <v>0</v>
      </c>
      <c r="W72" s="1"/>
      <c r="X72" s="1">
        <f t="shared" ref="X72:X73" si="62">+P72-T72</f>
        <v>-11354</v>
      </c>
      <c r="Y72" s="1"/>
      <c r="Z72" s="5">
        <f t="shared" ref="Z72:Z73" si="63">IF(T72=0,0,X72/T72)</f>
        <v>-1</v>
      </c>
    </row>
    <row r="73" spans="1:26" s="24" customFormat="1" hidden="1" outlineLevel="2" x14ac:dyDescent="0.25">
      <c r="A73" s="29"/>
      <c r="B73" s="11" t="str">
        <f>CONCATENATE("          ", "6274", " - ", "UTILITIES")</f>
        <v xml:space="preserve">          6274 - UTILITIES</v>
      </c>
      <c r="C73" s="11"/>
      <c r="D73" s="8"/>
      <c r="E73" s="3"/>
      <c r="F73" s="7">
        <f t="shared" si="56"/>
        <v>0</v>
      </c>
      <c r="G73" s="3"/>
      <c r="H73" s="8">
        <v>11354</v>
      </c>
      <c r="I73" s="3"/>
      <c r="J73" s="7">
        <f t="shared" si="57"/>
        <v>0</v>
      </c>
      <c r="K73" s="3"/>
      <c r="L73" s="8">
        <f t="shared" si="58"/>
        <v>-11354</v>
      </c>
      <c r="M73" s="3"/>
      <c r="N73" s="7">
        <f t="shared" si="59"/>
        <v>-1</v>
      </c>
      <c r="O73" s="11"/>
      <c r="P73" s="8"/>
      <c r="Q73" s="3"/>
      <c r="R73" s="7">
        <f t="shared" si="60"/>
        <v>0</v>
      </c>
      <c r="S73" s="3"/>
      <c r="T73" s="8">
        <v>11354</v>
      </c>
      <c r="U73" s="3"/>
      <c r="V73" s="7">
        <f t="shared" si="61"/>
        <v>0</v>
      </c>
      <c r="W73" s="3"/>
      <c r="X73" s="8">
        <f t="shared" si="62"/>
        <v>-11354</v>
      </c>
      <c r="Y73" s="3"/>
      <c r="Z73" s="7">
        <f t="shared" si="63"/>
        <v>-1</v>
      </c>
    </row>
    <row r="74" spans="1:26" s="61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25">
      <c r="A75" s="10"/>
      <c r="B75" s="25" t="s">
        <v>0</v>
      </c>
      <c r="C75" s="10"/>
      <c r="D75" s="4">
        <f>SUM(OSRRefD25x_0)</f>
        <v>512.41</v>
      </c>
      <c r="E75" s="4"/>
      <c r="F75" s="12">
        <f t="shared" ref="F75:F77" si="64">IF(D$12=0,0,D75/D$12)</f>
        <v>0</v>
      </c>
      <c r="G75" s="4"/>
      <c r="H75" s="4">
        <f>SUM(OSRRefH25x_0)</f>
        <v>2412.86</v>
      </c>
      <c r="I75" s="4"/>
      <c r="J75" s="12">
        <f t="shared" ref="J75:J77" si="65">IF(H$12=0,0,H75/H$12)</f>
        <v>0</v>
      </c>
      <c r="K75" s="4"/>
      <c r="L75" s="4">
        <f t="shared" ref="L75:L77" si="66">+D75-H75</f>
        <v>-1900.4500000000003</v>
      </c>
      <c r="M75" s="4"/>
      <c r="N75" s="12">
        <f t="shared" ref="N75:N77" si="67">IF(H75=0,0,L75/H75)</f>
        <v>-0.78763376242301675</v>
      </c>
      <c r="O75" s="10"/>
      <c r="P75" s="4">
        <f>SUM(OSRRefP25x_0)</f>
        <v>512.41</v>
      </c>
      <c r="Q75" s="4"/>
      <c r="R75" s="12">
        <f t="shared" ref="R75:R77" si="68">IF(P$12=0,0,P75/P$12)</f>
        <v>0</v>
      </c>
      <c r="S75" s="4"/>
      <c r="T75" s="4">
        <f>SUM(OSRRefT25x_0)</f>
        <v>2412.86</v>
      </c>
      <c r="U75" s="4"/>
      <c r="V75" s="12">
        <f t="shared" ref="V75:V77" si="69">IF(T$12=0,0,T75/T$12)</f>
        <v>0</v>
      </c>
      <c r="W75" s="4"/>
      <c r="X75" s="4">
        <f t="shared" ref="X75:X77" si="70">+P75-T75</f>
        <v>-1900.4500000000003</v>
      </c>
      <c r="Y75" s="4"/>
      <c r="Z75" s="12">
        <f t="shared" ref="Z75:Z77" si="71">IF(T75=0,0,X75/T75)</f>
        <v>-0.78763376242301675</v>
      </c>
    </row>
    <row r="76" spans="1:26" s="24" customFormat="1" hidden="1" outlineLevel="1" x14ac:dyDescent="0.25">
      <c r="A76" s="50"/>
      <c r="B76" s="11" t="str">
        <f>CONCATENATE("          ", "9150", " - ", "MISC. INCOME")</f>
        <v xml:space="preserve">          9150 - MISC. INCOME</v>
      </c>
      <c r="C76" s="11"/>
      <c r="D76" s="3">
        <f>--512.41</f>
        <v>512.41</v>
      </c>
      <c r="E76" s="3"/>
      <c r="F76" s="22">
        <f t="shared" si="64"/>
        <v>0</v>
      </c>
      <c r="G76" s="3"/>
      <c r="H76" s="3">
        <f>--1401.93</f>
        <v>1401.93</v>
      </c>
      <c r="I76" s="3"/>
      <c r="J76" s="22">
        <f t="shared" si="65"/>
        <v>0</v>
      </c>
      <c r="K76" s="3"/>
      <c r="L76" s="3">
        <f t="shared" si="66"/>
        <v>-889.5200000000001</v>
      </c>
      <c r="M76" s="3"/>
      <c r="N76" s="22">
        <f t="shared" si="67"/>
        <v>-0.63449672950860603</v>
      </c>
      <c r="O76" s="11"/>
      <c r="P76" s="3">
        <f>--512.41</f>
        <v>512.41</v>
      </c>
      <c r="Q76" s="3"/>
      <c r="R76" s="22">
        <f t="shared" si="68"/>
        <v>0</v>
      </c>
      <c r="S76" s="3"/>
      <c r="T76" s="3">
        <f>--1401.93</f>
        <v>1401.93</v>
      </c>
      <c r="U76" s="3"/>
      <c r="V76" s="22">
        <f t="shared" si="69"/>
        <v>0</v>
      </c>
      <c r="W76" s="3"/>
      <c r="X76" s="3">
        <f t="shared" si="70"/>
        <v>-889.5200000000001</v>
      </c>
      <c r="Y76" s="3"/>
      <c r="Z76" s="22">
        <f t="shared" si="71"/>
        <v>-0.63449672950860603</v>
      </c>
    </row>
    <row r="77" spans="1:26" s="24" customFormat="1" hidden="1" outlineLevel="1" x14ac:dyDescent="0.25">
      <c r="A77" s="50"/>
      <c r="B77" s="11" t="str">
        <f>CONCATENATE("          ", "9160", " - ", "MISC. INCOME")</f>
        <v xml:space="preserve">          9160 - MISC. INCOME</v>
      </c>
      <c r="C77" s="11"/>
      <c r="D77" s="3">
        <f>0</f>
        <v>0</v>
      </c>
      <c r="E77" s="3"/>
      <c r="F77" s="22">
        <f t="shared" si="64"/>
        <v>0</v>
      </c>
      <c r="G77" s="3"/>
      <c r="H77" s="3">
        <f>--1010.93</f>
        <v>1010.93</v>
      </c>
      <c r="I77" s="3"/>
      <c r="J77" s="22">
        <f t="shared" si="65"/>
        <v>0</v>
      </c>
      <c r="K77" s="3"/>
      <c r="L77" s="3">
        <f t="shared" si="66"/>
        <v>-1010.93</v>
      </c>
      <c r="M77" s="3"/>
      <c r="N77" s="22">
        <f t="shared" si="67"/>
        <v>-1</v>
      </c>
      <c r="O77" s="11"/>
      <c r="P77" s="3">
        <f>0</f>
        <v>0</v>
      </c>
      <c r="Q77" s="3"/>
      <c r="R77" s="22">
        <f t="shared" si="68"/>
        <v>0</v>
      </c>
      <c r="S77" s="3"/>
      <c r="T77" s="3">
        <f>--1010.93</f>
        <v>1010.93</v>
      </c>
      <c r="U77" s="3"/>
      <c r="V77" s="22">
        <f t="shared" si="69"/>
        <v>0</v>
      </c>
      <c r="W77" s="3"/>
      <c r="X77" s="3">
        <f t="shared" si="70"/>
        <v>-1010.93</v>
      </c>
      <c r="Y77" s="3"/>
      <c r="Z77" s="22">
        <f t="shared" si="71"/>
        <v>-1</v>
      </c>
    </row>
    <row r="78" spans="1:26" x14ac:dyDescent="0.25">
      <c r="A78" s="9"/>
      <c r="B78" s="10"/>
      <c r="C78" s="10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10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x14ac:dyDescent="0.25">
      <c r="A79" s="10"/>
      <c r="B79" s="26" t="s">
        <v>3</v>
      </c>
      <c r="C79" s="26"/>
      <c r="D79" s="19">
        <f>+D16-D18+D75</f>
        <v>-30139.8</v>
      </c>
      <c r="E79" s="13"/>
      <c r="F79" s="20">
        <f>IF(D$12=0,0,D79/D$12)</f>
        <v>0</v>
      </c>
      <c r="G79" s="13"/>
      <c r="H79" s="19">
        <f>+H16-H18+H75</f>
        <v>-93959.119999999981</v>
      </c>
      <c r="I79" s="13"/>
      <c r="J79" s="20">
        <f>IF(H$12=0,0,H79/H$12)</f>
        <v>0</v>
      </c>
      <c r="K79" s="16"/>
      <c r="L79" s="19">
        <f>+D79-H79</f>
        <v>63819.319999999978</v>
      </c>
      <c r="M79" s="16"/>
      <c r="N79" s="20">
        <f>IF(H79=0,0,L79/H79)</f>
        <v>-0.67922432649433062</v>
      </c>
      <c r="O79" s="25"/>
      <c r="P79" s="19">
        <f>+P16-P18+P75</f>
        <v>-30139.8</v>
      </c>
      <c r="Q79" s="13"/>
      <c r="R79" s="20">
        <f>IF(P$12=0,0,P79/P$12)</f>
        <v>0</v>
      </c>
      <c r="S79" s="13"/>
      <c r="T79" s="19">
        <f>+T16-T18+T75</f>
        <v>-93959.119999999981</v>
      </c>
      <c r="U79" s="13"/>
      <c r="V79" s="20">
        <f>IF(T$12=0,0,T79/T$12)</f>
        <v>0</v>
      </c>
      <c r="W79" s="16"/>
      <c r="X79" s="19">
        <f>+P79-T79</f>
        <v>63819.319999999978</v>
      </c>
      <c r="Y79" s="16"/>
      <c r="Z79" s="20">
        <f>IF(T79=0,0,X79/T79)</f>
        <v>-0.67922432649433062</v>
      </c>
    </row>
    <row r="80" spans="1:26" x14ac:dyDescent="0.25">
      <c r="A80" s="9"/>
      <c r="B80" s="10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x14ac:dyDescent="0.25">
      <c r="A81" s="51"/>
      <c r="B81" s="10" t="s">
        <v>13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O82" s="10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3" customFormat="1" ht="15.75" thickBot="1" x14ac:dyDescent="0.3">
      <c r="A83" s="10"/>
      <c r="B83" s="26" t="s">
        <v>4</v>
      </c>
      <c r="C83" s="26"/>
      <c r="D83" s="35">
        <f>+D79-D81</f>
        <v>-30139.8</v>
      </c>
      <c r="E83" s="13"/>
      <c r="F83" s="30">
        <f>IF(D$12=0,0,D83/D$12)</f>
        <v>0</v>
      </c>
      <c r="G83" s="13"/>
      <c r="H83" s="35">
        <f>+H79-H81</f>
        <v>-93959.119999999981</v>
      </c>
      <c r="I83" s="13"/>
      <c r="J83" s="30">
        <f>IF(H$12=0,0,H83/H$12)</f>
        <v>0</v>
      </c>
      <c r="K83" s="16"/>
      <c r="L83" s="35">
        <f>D83-H83</f>
        <v>63819.319999999978</v>
      </c>
      <c r="M83" s="16"/>
      <c r="N83" s="30">
        <f>IF(H83=0,0,L83/H83)</f>
        <v>-0.67922432649433062</v>
      </c>
      <c r="O83" s="25"/>
      <c r="P83" s="35">
        <f>+P79-P81</f>
        <v>-30139.8</v>
      </c>
      <c r="Q83" s="13"/>
      <c r="R83" s="30">
        <f>IF(P$12=0,0,P83/P$12)</f>
        <v>0</v>
      </c>
      <c r="S83" s="13"/>
      <c r="T83" s="35">
        <f>+T79-T81</f>
        <v>-93959.119999999981</v>
      </c>
      <c r="U83" s="13"/>
      <c r="V83" s="30">
        <f>IF(T$12=0,0,T83/T$12)</f>
        <v>0</v>
      </c>
      <c r="W83" s="16"/>
      <c r="X83" s="35">
        <f>P83-T83</f>
        <v>63819.319999999978</v>
      </c>
      <c r="Y83" s="16"/>
      <c r="Z83" s="30">
        <f>IF(T83=0,0,X83/T83)</f>
        <v>-0.67922432649433062</v>
      </c>
    </row>
    <row r="84" spans="1:26" ht="15.75" thickTop="1" x14ac:dyDescent="0.25">
      <c r="A84" s="9"/>
      <c r="B84" s="9"/>
      <c r="C84" s="9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x14ac:dyDescent="0.25">
      <c r="A85" s="9"/>
      <c r="B85" s="9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ht="15.75" thickBot="1" x14ac:dyDescent="0.3">
      <c r="A86" s="10"/>
      <c r="B86" s="26" t="s">
        <v>5</v>
      </c>
      <c r="C86" s="26"/>
      <c r="D86" s="31">
        <f>SUM(D83:D85)</f>
        <v>-30139.8</v>
      </c>
      <c r="E86" s="13"/>
      <c r="F86" s="32">
        <f>IF(D$12=0,0,D86/D$12)</f>
        <v>0</v>
      </c>
      <c r="G86" s="13"/>
      <c r="H86" s="31">
        <f>SUM(H83:H85)</f>
        <v>-93959.119999999981</v>
      </c>
      <c r="I86" s="13"/>
      <c r="J86" s="32">
        <f>IF(H$12=0,0,H86/H$12)</f>
        <v>0</v>
      </c>
      <c r="K86" s="16"/>
      <c r="L86" s="31">
        <f>+D86-H86</f>
        <v>63819.319999999978</v>
      </c>
      <c r="M86" s="16"/>
      <c r="N86" s="32">
        <f>IF(H86=0,0,L86/H86)</f>
        <v>-0.67922432649433062</v>
      </c>
      <c r="O86" s="25"/>
      <c r="P86" s="31">
        <f>SUM(P83:P85)</f>
        <v>-30139.8</v>
      </c>
      <c r="Q86" s="13"/>
      <c r="R86" s="32">
        <f>IF(P$12=0,0,P86/P$12)</f>
        <v>0</v>
      </c>
      <c r="S86" s="13"/>
      <c r="T86" s="31">
        <f>SUM(T83:T85)</f>
        <v>-93959.119999999981</v>
      </c>
      <c r="U86" s="13"/>
      <c r="V86" s="32">
        <f>IF(T$12=0,0,T86/T$12)</f>
        <v>0</v>
      </c>
      <c r="W86" s="16"/>
      <c r="X86" s="31">
        <f>+P86-T86</f>
        <v>63819.319999999978</v>
      </c>
      <c r="Y86" s="16"/>
      <c r="Z86" s="32">
        <f>IF(T86=0,0,X86/T86)</f>
        <v>-0.67922432649433062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9">
        <v>44109.414601122684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 t="s">
        <v>313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47209.649999999994</v>
      </c>
      <c r="I12" s="4"/>
      <c r="J12" s="12"/>
      <c r="K12" s="4"/>
      <c r="L12" s="4">
        <f t="shared" ref="L12:L14" si="0">+D12-H12</f>
        <v>-47209.649999999994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47209.649999999994</v>
      </c>
      <c r="U12" s="4"/>
      <c r="V12" s="12"/>
      <c r="W12" s="4"/>
      <c r="X12" s="4">
        <f t="shared" ref="X12:X14" si="2">+P12-T12</f>
        <v>-47209.649999999994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"4052", " - ", "TAXABLE SALES-FOOD")</f>
        <v xml:space="preserve">          4052 - TAXABLE SALES-FOOD</v>
      </c>
      <c r="C13" s="11"/>
      <c r="D13" s="3">
        <f t="shared" ref="D13:D14" si="4">0</f>
        <v>0</v>
      </c>
      <c r="E13" s="3"/>
      <c r="F13" s="22"/>
      <c r="G13" s="3"/>
      <c r="H13" s="3">
        <f>--43542.56</f>
        <v>43542.559999999998</v>
      </c>
      <c r="I13" s="3"/>
      <c r="J13" s="22"/>
      <c r="K13" s="3"/>
      <c r="L13" s="3">
        <f t="shared" si="0"/>
        <v>-43542.559999999998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--43542.56</f>
        <v>43542.559999999998</v>
      </c>
      <c r="U13" s="3"/>
      <c r="V13" s="22"/>
      <c r="W13" s="3"/>
      <c r="X13" s="3">
        <f t="shared" si="2"/>
        <v>-43542.559999999998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"4152", " - ", "NON-TAXABLE SALES-FOOD")</f>
        <v xml:space="preserve">          4152 - NON-TAXABLE SALES-FOOD</v>
      </c>
      <c r="C14" s="11"/>
      <c r="D14" s="3">
        <f t="shared" si="4"/>
        <v>0</v>
      </c>
      <c r="E14" s="3"/>
      <c r="F14" s="22"/>
      <c r="G14" s="3"/>
      <c r="H14" s="3">
        <f>--3667.09</f>
        <v>3667.09</v>
      </c>
      <c r="I14" s="3"/>
      <c r="J14" s="22"/>
      <c r="K14" s="3"/>
      <c r="L14" s="3">
        <f t="shared" si="0"/>
        <v>-3667.09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--3667.09</f>
        <v>3667.09</v>
      </c>
      <c r="U14" s="3"/>
      <c r="V14" s="22"/>
      <c r="W14" s="3"/>
      <c r="X14" s="3">
        <f t="shared" si="2"/>
        <v>-3667.09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19774.28</v>
      </c>
      <c r="I16" s="4"/>
      <c r="J16" s="12">
        <f t="shared" ref="J16:J17" si="7">IF(H$12=0,0,H16/H$12)</f>
        <v>0.41886097439824277</v>
      </c>
      <c r="K16" s="4"/>
      <c r="L16" s="4">
        <f t="shared" ref="L16:L17" si="8">+D16-H16</f>
        <v>-19774.28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19774.28</v>
      </c>
      <c r="U16" s="4"/>
      <c r="V16" s="12">
        <f t="shared" ref="V16:V17" si="11">IF(T$12=0,0,T16/T$12)</f>
        <v>0.41886097439824277</v>
      </c>
      <c r="W16" s="4"/>
      <c r="X16" s="4">
        <f t="shared" ref="X16:X17" si="12">+P16-T16</f>
        <v>-19774.28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19774.28</v>
      </c>
      <c r="I17" s="3"/>
      <c r="J17" s="22">
        <f t="shared" si="7"/>
        <v>0.41886097439824277</v>
      </c>
      <c r="K17" s="3"/>
      <c r="L17" s="3">
        <f t="shared" si="8"/>
        <v>-19774.28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19774.28</v>
      </c>
      <c r="U17" s="3"/>
      <c r="V17" s="22">
        <f t="shared" si="11"/>
        <v>0.41886097439824277</v>
      </c>
      <c r="W17" s="3"/>
      <c r="X17" s="3">
        <f t="shared" si="12"/>
        <v>-19774.28</v>
      </c>
      <c r="Y17" s="3"/>
      <c r="Z17" s="22">
        <f t="shared" si="13"/>
        <v>-1</v>
      </c>
    </row>
    <row r="18" spans="1:26" x14ac:dyDescent="0.25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25">
      <c r="A19" s="10"/>
      <c r="B19" s="26" t="s">
        <v>6</v>
      </c>
      <c r="C19" s="26"/>
      <c r="D19" s="19">
        <f>D12-D16</f>
        <v>0</v>
      </c>
      <c r="E19" s="13"/>
      <c r="F19" s="20">
        <f>IF(D$12=0,0,D19/D$12)</f>
        <v>0</v>
      </c>
      <c r="G19" s="13"/>
      <c r="H19" s="19">
        <f>H12-H16</f>
        <v>27435.369999999995</v>
      </c>
      <c r="I19" s="13"/>
      <c r="J19" s="20">
        <f>IF(H$12=0,0,H19/H$12)</f>
        <v>0.58113902560175723</v>
      </c>
      <c r="K19" s="16"/>
      <c r="L19" s="19">
        <f>+D19-H19</f>
        <v>-27435.369999999995</v>
      </c>
      <c r="M19" s="16"/>
      <c r="N19" s="20">
        <f>IF(H19=0,0,L19/H19)</f>
        <v>-1</v>
      </c>
      <c r="O19" s="25"/>
      <c r="P19" s="19">
        <f>P12-P16</f>
        <v>0</v>
      </c>
      <c r="Q19" s="13"/>
      <c r="R19" s="20">
        <f>IF(P$12=0,0,P19/P$12)</f>
        <v>0</v>
      </c>
      <c r="S19" s="13"/>
      <c r="T19" s="19">
        <f>T12-T16</f>
        <v>27435.369999999995</v>
      </c>
      <c r="U19" s="13"/>
      <c r="V19" s="20">
        <f>IF(T$12=0,0,T19/T$12)</f>
        <v>0.58113902560175723</v>
      </c>
      <c r="W19" s="16"/>
      <c r="X19" s="19">
        <f>+P19-T19</f>
        <v>-27435.369999999995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1080.99</v>
      </c>
      <c r="E21" s="21"/>
      <c r="F21" s="34">
        <f t="shared" ref="F21:F30" si="14">IF(D$12=0,0,D21/D$12)</f>
        <v>0</v>
      </c>
      <c r="G21" s="21"/>
      <c r="H21" s="21">
        <f>SUM(OSRRefH22x_0)</f>
        <v>55040.149999999987</v>
      </c>
      <c r="I21" s="21"/>
      <c r="J21" s="34">
        <f t="shared" ref="J21:J30" si="15">IF(H$12=0,0,H21/H$12)</f>
        <v>1.1658665124609056</v>
      </c>
      <c r="K21" s="4"/>
      <c r="L21" s="21">
        <f t="shared" ref="L21:L30" si="16">+D21-H21</f>
        <v>-53959.159999999989</v>
      </c>
      <c r="M21" s="4"/>
      <c r="N21" s="34">
        <f t="shared" ref="N21:N30" si="17">IF(H21=0,0,L21/H21)</f>
        <v>-0.98035997358292082</v>
      </c>
      <c r="O21" s="10"/>
      <c r="P21" s="21">
        <f>SUM(OSRRefP22x_0)</f>
        <v>1080.99</v>
      </c>
      <c r="Q21" s="21"/>
      <c r="R21" s="34">
        <f t="shared" ref="R21:R30" si="18">IF(P$12=0,0,P21/P$12)</f>
        <v>0</v>
      </c>
      <c r="S21" s="21"/>
      <c r="T21" s="21">
        <f>SUM(OSRRefT22x_0)</f>
        <v>55040.149999999987</v>
      </c>
      <c r="U21" s="21"/>
      <c r="V21" s="34">
        <f t="shared" ref="V21:V30" si="19">IF(T$12=0,0,T21/T$12)</f>
        <v>1.1658665124609056</v>
      </c>
      <c r="W21" s="4"/>
      <c r="X21" s="21">
        <f t="shared" ref="X21:X30" si="20">+P21-T21</f>
        <v>-53959.159999999989</v>
      </c>
      <c r="Y21" s="4"/>
      <c r="Z21" s="34">
        <f t="shared" ref="Z21:Z30" si="21">IF(T21=0,0,X21/T21)</f>
        <v>-0.98035997358292082</v>
      </c>
    </row>
    <row r="22" spans="1:26" s="27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13891.939999999999</v>
      </c>
      <c r="I22" s="1"/>
      <c r="J22" s="5">
        <f t="shared" si="15"/>
        <v>0.2942606013812854</v>
      </c>
      <c r="K22" s="1"/>
      <c r="L22" s="1">
        <f t="shared" si="16"/>
        <v>-13891.939999999999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13891.939999999999</v>
      </c>
      <c r="U22" s="1"/>
      <c r="V22" s="5">
        <f t="shared" si="19"/>
        <v>0.2942606013812854</v>
      </c>
      <c r="W22" s="1"/>
      <c r="X22" s="1">
        <f t="shared" si="20"/>
        <v>-13891.939999999999</v>
      </c>
      <c r="Y22" s="1"/>
      <c r="Z22" s="5">
        <f t="shared" si="21"/>
        <v>-1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8"/>
      <c r="E23" s="3"/>
      <c r="F23" s="7">
        <f t="shared" si="14"/>
        <v>0</v>
      </c>
      <c r="G23" s="3"/>
      <c r="H23" s="8">
        <v>2344.46</v>
      </c>
      <c r="I23" s="3"/>
      <c r="J23" s="7">
        <f t="shared" si="15"/>
        <v>4.9660609642308305E-2</v>
      </c>
      <c r="K23" s="3"/>
      <c r="L23" s="8">
        <f t="shared" si="16"/>
        <v>-2344.46</v>
      </c>
      <c r="M23" s="3"/>
      <c r="N23" s="7">
        <f t="shared" si="17"/>
        <v>-1</v>
      </c>
      <c r="O23" s="11"/>
      <c r="P23" s="8"/>
      <c r="Q23" s="3"/>
      <c r="R23" s="7">
        <f t="shared" si="18"/>
        <v>0</v>
      </c>
      <c r="S23" s="3"/>
      <c r="T23" s="8">
        <v>2344.46</v>
      </c>
      <c r="U23" s="3"/>
      <c r="V23" s="7">
        <f t="shared" si="19"/>
        <v>4.9660609642308305E-2</v>
      </c>
      <c r="W23" s="3"/>
      <c r="X23" s="8">
        <f t="shared" si="20"/>
        <v>-2344.46</v>
      </c>
      <c r="Y23" s="3"/>
      <c r="Z23" s="7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8"/>
      <c r="E24" s="3"/>
      <c r="F24" s="7">
        <f t="shared" si="14"/>
        <v>0</v>
      </c>
      <c r="G24" s="3"/>
      <c r="H24" s="8">
        <v>991.19</v>
      </c>
      <c r="I24" s="3"/>
      <c r="J24" s="7">
        <f t="shared" si="15"/>
        <v>2.0995495624305627E-2</v>
      </c>
      <c r="K24" s="3"/>
      <c r="L24" s="8">
        <f t="shared" si="16"/>
        <v>-991.19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991.19</v>
      </c>
      <c r="U24" s="3"/>
      <c r="V24" s="7">
        <f t="shared" si="19"/>
        <v>2.0995495624305627E-2</v>
      </c>
      <c r="W24" s="3"/>
      <c r="X24" s="8">
        <f t="shared" si="20"/>
        <v>-991.19</v>
      </c>
      <c r="Y24" s="3"/>
      <c r="Z24" s="7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8"/>
      <c r="E25" s="3"/>
      <c r="F25" s="7">
        <f t="shared" si="14"/>
        <v>0</v>
      </c>
      <c r="G25" s="3"/>
      <c r="H25" s="8">
        <v>5334.36</v>
      </c>
      <c r="I25" s="3"/>
      <c r="J25" s="7">
        <f t="shared" si="15"/>
        <v>0.11299300037174603</v>
      </c>
      <c r="K25" s="3"/>
      <c r="L25" s="8">
        <f t="shared" si="16"/>
        <v>-5334.36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5334.36</v>
      </c>
      <c r="U25" s="3"/>
      <c r="V25" s="7">
        <f t="shared" si="19"/>
        <v>0.11299300037174603</v>
      </c>
      <c r="W25" s="3"/>
      <c r="X25" s="8">
        <f t="shared" si="20"/>
        <v>-5334.36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8"/>
      <c r="E26" s="3"/>
      <c r="F26" s="7">
        <f t="shared" si="14"/>
        <v>0</v>
      </c>
      <c r="G26" s="3"/>
      <c r="H26" s="8">
        <v>70.930000000000007</v>
      </c>
      <c r="I26" s="3"/>
      <c r="J26" s="7">
        <f t="shared" si="15"/>
        <v>1.5024470632593128E-3</v>
      </c>
      <c r="K26" s="3"/>
      <c r="L26" s="8">
        <f t="shared" si="16"/>
        <v>-70.930000000000007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70.930000000000007</v>
      </c>
      <c r="U26" s="3"/>
      <c r="V26" s="7">
        <f t="shared" si="19"/>
        <v>1.5024470632593128E-3</v>
      </c>
      <c r="W26" s="3"/>
      <c r="X26" s="8">
        <f t="shared" si="20"/>
        <v>-70.930000000000007</v>
      </c>
      <c r="Y26" s="3"/>
      <c r="Z26" s="7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8"/>
      <c r="E27" s="3"/>
      <c r="F27" s="7">
        <f t="shared" si="14"/>
        <v>0</v>
      </c>
      <c r="G27" s="3"/>
      <c r="H27" s="8">
        <v>1165.79</v>
      </c>
      <c r="I27" s="3"/>
      <c r="J27" s="7">
        <f t="shared" si="15"/>
        <v>2.4693892032667052E-2</v>
      </c>
      <c r="K27" s="3"/>
      <c r="L27" s="8">
        <f t="shared" si="16"/>
        <v>-1165.79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1165.79</v>
      </c>
      <c r="U27" s="3"/>
      <c r="V27" s="7">
        <f t="shared" si="19"/>
        <v>2.4693892032667052E-2</v>
      </c>
      <c r="W27" s="3"/>
      <c r="X27" s="8">
        <f t="shared" si="20"/>
        <v>-1165.79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8"/>
      <c r="E28" s="3"/>
      <c r="F28" s="7">
        <f t="shared" si="14"/>
        <v>0</v>
      </c>
      <c r="G28" s="3"/>
      <c r="H28" s="8">
        <v>1432.07</v>
      </c>
      <c r="I28" s="3"/>
      <c r="J28" s="7">
        <f t="shared" si="15"/>
        <v>3.0334264287068431E-2</v>
      </c>
      <c r="K28" s="3"/>
      <c r="L28" s="8">
        <f t="shared" si="16"/>
        <v>-1432.07</v>
      </c>
      <c r="M28" s="3"/>
      <c r="N28" s="7">
        <f t="shared" si="17"/>
        <v>-1</v>
      </c>
      <c r="O28" s="11"/>
      <c r="P28" s="8"/>
      <c r="Q28" s="3"/>
      <c r="R28" s="7">
        <f t="shared" si="18"/>
        <v>0</v>
      </c>
      <c r="S28" s="3"/>
      <c r="T28" s="8">
        <v>1432.07</v>
      </c>
      <c r="U28" s="3"/>
      <c r="V28" s="7">
        <f t="shared" si="19"/>
        <v>3.0334264287068431E-2</v>
      </c>
      <c r="W28" s="3"/>
      <c r="X28" s="8">
        <f t="shared" si="20"/>
        <v>-1432.07</v>
      </c>
      <c r="Y28" s="3"/>
      <c r="Z28" s="7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8"/>
      <c r="E29" s="3"/>
      <c r="F29" s="7">
        <f t="shared" si="14"/>
        <v>0</v>
      </c>
      <c r="G29" s="3"/>
      <c r="H29" s="8">
        <v>2064.3000000000002</v>
      </c>
      <c r="I29" s="3"/>
      <c r="J29" s="7">
        <f t="shared" si="15"/>
        <v>4.372622970091921E-2</v>
      </c>
      <c r="K29" s="3"/>
      <c r="L29" s="8">
        <f t="shared" si="16"/>
        <v>-2064.3000000000002</v>
      </c>
      <c r="M29" s="3"/>
      <c r="N29" s="7">
        <f t="shared" si="17"/>
        <v>-1</v>
      </c>
      <c r="O29" s="11"/>
      <c r="P29" s="8"/>
      <c r="Q29" s="3"/>
      <c r="R29" s="7">
        <f t="shared" si="18"/>
        <v>0</v>
      </c>
      <c r="S29" s="3"/>
      <c r="T29" s="8">
        <v>2064.3000000000002</v>
      </c>
      <c r="U29" s="3"/>
      <c r="V29" s="7">
        <f t="shared" si="19"/>
        <v>4.372622970091921E-2</v>
      </c>
      <c r="W29" s="3"/>
      <c r="X29" s="8">
        <f t="shared" si="20"/>
        <v>-2064.3000000000002</v>
      </c>
      <c r="Y29" s="3"/>
      <c r="Z29" s="7">
        <f t="shared" si="21"/>
        <v>-1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8"/>
      <c r="E30" s="3"/>
      <c r="F30" s="7">
        <f t="shared" si="14"/>
        <v>0</v>
      </c>
      <c r="G30" s="3"/>
      <c r="H30" s="8">
        <v>488.84</v>
      </c>
      <c r="I30" s="3"/>
      <c r="J30" s="7">
        <f t="shared" si="15"/>
        <v>1.0354662659011454E-2</v>
      </c>
      <c r="K30" s="3"/>
      <c r="L30" s="8">
        <f t="shared" si="16"/>
        <v>-488.84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488.84</v>
      </c>
      <c r="U30" s="3"/>
      <c r="V30" s="7">
        <f t="shared" si="19"/>
        <v>1.0354662659011454E-2</v>
      </c>
      <c r="W30" s="3"/>
      <c r="X30" s="8">
        <f t="shared" si="20"/>
        <v>-488.84</v>
      </c>
      <c r="Y30" s="3"/>
      <c r="Z30" s="7">
        <f t="shared" si="21"/>
        <v>-1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34836.99</v>
      </c>
      <c r="I31" s="1"/>
      <c r="J31" s="5">
        <f t="shared" ref="J31:J37" si="23">IF(H$12=0,0,H31/H$12)</f>
        <v>0.73792095472006258</v>
      </c>
      <c r="K31" s="1"/>
      <c r="L31" s="1">
        <f t="shared" ref="L31:L37" si="24">+D31-H31</f>
        <v>-34836.99</v>
      </c>
      <c r="M31" s="1"/>
      <c r="N31" s="5">
        <f t="shared" ref="N31:N37" si="25">IF(H31=0,0,L31/H31)</f>
        <v>-1</v>
      </c>
      <c r="O31" s="14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34836.99</v>
      </c>
      <c r="U31" s="1"/>
      <c r="V31" s="5">
        <f t="shared" ref="V31:V37" si="27">IF(T$12=0,0,T31/T$12)</f>
        <v>0.73792095472006258</v>
      </c>
      <c r="W31" s="1"/>
      <c r="X31" s="1">
        <f t="shared" ref="X31:X37" si="28">+P31-T31</f>
        <v>-34836.99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8"/>
      <c r="E32" s="3"/>
      <c r="F32" s="7">
        <f t="shared" si="22"/>
        <v>0</v>
      </c>
      <c r="G32" s="3"/>
      <c r="H32" s="8">
        <v>15800.9</v>
      </c>
      <c r="I32" s="3"/>
      <c r="J32" s="7">
        <f t="shared" si="23"/>
        <v>0.33469640211270368</v>
      </c>
      <c r="K32" s="3"/>
      <c r="L32" s="8">
        <f t="shared" si="24"/>
        <v>-15800.9</v>
      </c>
      <c r="M32" s="3"/>
      <c r="N32" s="7">
        <f t="shared" si="25"/>
        <v>-1</v>
      </c>
      <c r="O32" s="11"/>
      <c r="P32" s="8"/>
      <c r="Q32" s="3"/>
      <c r="R32" s="7">
        <f t="shared" si="26"/>
        <v>0</v>
      </c>
      <c r="S32" s="3"/>
      <c r="T32" s="8">
        <v>15800.9</v>
      </c>
      <c r="U32" s="3"/>
      <c r="V32" s="7">
        <f t="shared" si="27"/>
        <v>0.33469640211270368</v>
      </c>
      <c r="W32" s="3"/>
      <c r="X32" s="8">
        <f t="shared" si="28"/>
        <v>-15800.9</v>
      </c>
      <c r="Y32" s="3"/>
      <c r="Z32" s="7">
        <f t="shared" si="29"/>
        <v>-1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22"/>
        <v>0</v>
      </c>
      <c r="G33" s="3"/>
      <c r="H33" s="8">
        <v>4400.6499999999996</v>
      </c>
      <c r="I33" s="3"/>
      <c r="J33" s="7">
        <f t="shared" si="23"/>
        <v>9.3215052431017811E-2</v>
      </c>
      <c r="K33" s="3"/>
      <c r="L33" s="8">
        <f t="shared" si="24"/>
        <v>-4400.6499999999996</v>
      </c>
      <c r="M33" s="3"/>
      <c r="N33" s="7">
        <f t="shared" si="25"/>
        <v>-1</v>
      </c>
      <c r="O33" s="11"/>
      <c r="P33" s="8"/>
      <c r="Q33" s="3"/>
      <c r="R33" s="7">
        <f t="shared" si="26"/>
        <v>0</v>
      </c>
      <c r="S33" s="3"/>
      <c r="T33" s="8">
        <v>4400.6499999999996</v>
      </c>
      <c r="U33" s="3"/>
      <c r="V33" s="7">
        <f t="shared" si="27"/>
        <v>9.3215052431017811E-2</v>
      </c>
      <c r="W33" s="3"/>
      <c r="X33" s="8">
        <f t="shared" si="28"/>
        <v>-4400.6499999999996</v>
      </c>
      <c r="Y33" s="3"/>
      <c r="Z33" s="7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6195.25</v>
      </c>
      <c r="I34" s="3"/>
      <c r="J34" s="7">
        <f t="shared" si="23"/>
        <v>0.13122846706128941</v>
      </c>
      <c r="K34" s="3"/>
      <c r="L34" s="8">
        <f t="shared" si="24"/>
        <v>-6195.25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6195.25</v>
      </c>
      <c r="U34" s="3"/>
      <c r="V34" s="7">
        <f t="shared" si="27"/>
        <v>0.13122846706128941</v>
      </c>
      <c r="W34" s="3"/>
      <c r="X34" s="8">
        <f t="shared" si="28"/>
        <v>-6195.25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22"/>
        <v>0</v>
      </c>
      <c r="G35" s="3"/>
      <c r="H35" s="8">
        <v>329.88</v>
      </c>
      <c r="I35" s="3"/>
      <c r="J35" s="7">
        <f t="shared" si="23"/>
        <v>6.9875544512615542E-3</v>
      </c>
      <c r="K35" s="3"/>
      <c r="L35" s="8">
        <f t="shared" si="24"/>
        <v>-329.88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329.88</v>
      </c>
      <c r="U35" s="3"/>
      <c r="V35" s="7">
        <f t="shared" si="27"/>
        <v>6.9875544512615542E-3</v>
      </c>
      <c r="W35" s="3"/>
      <c r="X35" s="8">
        <f t="shared" si="28"/>
        <v>-329.88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22"/>
        <v>0</v>
      </c>
      <c r="G36" s="3"/>
      <c r="H36" s="8">
        <v>7424.89</v>
      </c>
      <c r="I36" s="3"/>
      <c r="J36" s="7">
        <f t="shared" si="23"/>
        <v>0.15727483681832</v>
      </c>
      <c r="K36" s="3"/>
      <c r="L36" s="8">
        <f t="shared" si="24"/>
        <v>-7424.89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7424.89</v>
      </c>
      <c r="U36" s="3"/>
      <c r="V36" s="7">
        <f t="shared" si="27"/>
        <v>0.15727483681832</v>
      </c>
      <c r="W36" s="3"/>
      <c r="X36" s="8">
        <f t="shared" si="28"/>
        <v>-7424.89</v>
      </c>
      <c r="Y36" s="3"/>
      <c r="Z36" s="7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22"/>
        <v>0</v>
      </c>
      <c r="G37" s="3"/>
      <c r="H37" s="8">
        <v>685.42</v>
      </c>
      <c r="I37" s="3"/>
      <c r="J37" s="7">
        <f t="shared" si="23"/>
        <v>1.4518641845470154E-2</v>
      </c>
      <c r="K37" s="3"/>
      <c r="L37" s="8">
        <f t="shared" si="24"/>
        <v>-685.42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685.42</v>
      </c>
      <c r="U37" s="3"/>
      <c r="V37" s="7">
        <f t="shared" si="27"/>
        <v>1.4518641845470154E-2</v>
      </c>
      <c r="W37" s="3"/>
      <c r="X37" s="8">
        <f t="shared" si="28"/>
        <v>-685.42</v>
      </c>
      <c r="Y37" s="3"/>
      <c r="Z37" s="7">
        <f t="shared" si="29"/>
        <v>-1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12.52</v>
      </c>
      <c r="I38" s="1"/>
      <c r="J38" s="5">
        <f t="shared" ref="J38:J54" si="31">IF(H$12=0,0,H38/H$12)</f>
        <v>2.6520001736933025E-4</v>
      </c>
      <c r="K38" s="1"/>
      <c r="L38" s="1">
        <f t="shared" ref="L38:L54" si="32">+D38-H38</f>
        <v>-12.52</v>
      </c>
      <c r="M38" s="1"/>
      <c r="N38" s="5">
        <f t="shared" ref="N38:N54" si="33">IF(H38=0,0,L38/H38)</f>
        <v>-1</v>
      </c>
      <c r="O38" s="14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12.52</v>
      </c>
      <c r="U38" s="1"/>
      <c r="V38" s="5">
        <f t="shared" ref="V38:V54" si="35">IF(T$12=0,0,T38/T$12)</f>
        <v>2.6520001736933025E-4</v>
      </c>
      <c r="W38" s="1"/>
      <c r="X38" s="1">
        <f t="shared" ref="X38:X54" si="36">+P38-T38</f>
        <v>-12.52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8"/>
      <c r="E39" s="3"/>
      <c r="F39" s="7">
        <f t="shared" si="30"/>
        <v>0</v>
      </c>
      <c r="G39" s="3"/>
      <c r="H39" s="8">
        <v>12.52</v>
      </c>
      <c r="I39" s="3"/>
      <c r="J39" s="7">
        <f t="shared" si="31"/>
        <v>2.6520001736933025E-4</v>
      </c>
      <c r="K39" s="3"/>
      <c r="L39" s="8">
        <f t="shared" si="32"/>
        <v>-12.52</v>
      </c>
      <c r="M39" s="3"/>
      <c r="N39" s="7">
        <f t="shared" si="33"/>
        <v>-1</v>
      </c>
      <c r="O39" s="11"/>
      <c r="P39" s="8"/>
      <c r="Q39" s="3"/>
      <c r="R39" s="7">
        <f t="shared" si="34"/>
        <v>0</v>
      </c>
      <c r="S39" s="3"/>
      <c r="T39" s="8">
        <v>12.52</v>
      </c>
      <c r="U39" s="3"/>
      <c r="V39" s="7">
        <f t="shared" si="35"/>
        <v>2.6520001736933025E-4</v>
      </c>
      <c r="W39" s="3"/>
      <c r="X39" s="8">
        <f t="shared" si="36"/>
        <v>-12.52</v>
      </c>
      <c r="Y39" s="3"/>
      <c r="Z39" s="7">
        <f t="shared" si="37"/>
        <v>-1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0.49</v>
      </c>
      <c r="I40" s="1"/>
      <c r="J40" s="5">
        <f t="shared" si="31"/>
        <v>1.0379233906627142E-5</v>
      </c>
      <c r="K40" s="1"/>
      <c r="L40" s="1">
        <f t="shared" si="32"/>
        <v>-0.49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0.49</v>
      </c>
      <c r="U40" s="1"/>
      <c r="V40" s="5">
        <f t="shared" si="35"/>
        <v>1.0379233906627142E-5</v>
      </c>
      <c r="W40" s="1"/>
      <c r="X40" s="1">
        <f t="shared" si="36"/>
        <v>-0.49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8"/>
      <c r="E41" s="3"/>
      <c r="F41" s="7">
        <f t="shared" si="30"/>
        <v>0</v>
      </c>
      <c r="G41" s="3"/>
      <c r="H41" s="8">
        <v>0.49</v>
      </c>
      <c r="I41" s="3"/>
      <c r="J41" s="7">
        <f t="shared" si="31"/>
        <v>1.0379233906627142E-5</v>
      </c>
      <c r="K41" s="3"/>
      <c r="L41" s="8">
        <f t="shared" si="32"/>
        <v>-0.49</v>
      </c>
      <c r="M41" s="3"/>
      <c r="N41" s="7">
        <f t="shared" si="33"/>
        <v>-1</v>
      </c>
      <c r="O41" s="11"/>
      <c r="P41" s="8"/>
      <c r="Q41" s="3"/>
      <c r="R41" s="7">
        <f t="shared" si="34"/>
        <v>0</v>
      </c>
      <c r="S41" s="3"/>
      <c r="T41" s="8">
        <v>0.49</v>
      </c>
      <c r="U41" s="3"/>
      <c r="V41" s="7">
        <f t="shared" si="35"/>
        <v>1.0379233906627142E-5</v>
      </c>
      <c r="W41" s="3"/>
      <c r="X41" s="8">
        <f t="shared" si="36"/>
        <v>-0.49</v>
      </c>
      <c r="Y41" s="3"/>
      <c r="Z41" s="7">
        <f t="shared" si="37"/>
        <v>-1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529.75</v>
      </c>
      <c r="I42" s="1"/>
      <c r="J42" s="5">
        <f t="shared" si="31"/>
        <v>1.1221222779664752E-2</v>
      </c>
      <c r="K42" s="1"/>
      <c r="L42" s="1">
        <f t="shared" si="32"/>
        <v>-529.75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529.75</v>
      </c>
      <c r="U42" s="1"/>
      <c r="V42" s="5">
        <f t="shared" si="35"/>
        <v>1.1221222779664752E-2</v>
      </c>
      <c r="W42" s="1"/>
      <c r="X42" s="1">
        <f t="shared" si="36"/>
        <v>-529.75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8"/>
      <c r="E43" s="3"/>
      <c r="F43" s="7">
        <f t="shared" si="30"/>
        <v>0</v>
      </c>
      <c r="G43" s="3"/>
      <c r="H43" s="8">
        <v>529.75</v>
      </c>
      <c r="I43" s="3"/>
      <c r="J43" s="7">
        <f t="shared" si="31"/>
        <v>1.1221222779664752E-2</v>
      </c>
      <c r="K43" s="3"/>
      <c r="L43" s="8">
        <f t="shared" si="32"/>
        <v>-529.75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529.75</v>
      </c>
      <c r="U43" s="3"/>
      <c r="V43" s="7">
        <f t="shared" si="35"/>
        <v>1.1221222779664752E-2</v>
      </c>
      <c r="W43" s="3"/>
      <c r="X43" s="8">
        <f t="shared" si="36"/>
        <v>-529.75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690.36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6.3120569629302493E-3</v>
      </c>
      <c r="K44" s="1"/>
      <c r="L44" s="1">
        <f t="shared" si="32"/>
        <v>392.37</v>
      </c>
      <c r="M44" s="1"/>
      <c r="N44" s="5">
        <f t="shared" si="33"/>
        <v>1.3167220376522701</v>
      </c>
      <c r="O44" s="14"/>
      <c r="P44" s="1">
        <f>SUM(OSRRefP22_5x_0)</f>
        <v>690.36</v>
      </c>
      <c r="Q44" s="1"/>
      <c r="R44" s="5">
        <f t="shared" si="34"/>
        <v>0</v>
      </c>
      <c r="S44" s="1"/>
      <c r="T44" s="1">
        <f>SUM(OSRRefT22_5x_0)</f>
        <v>297.99</v>
      </c>
      <c r="U44" s="1"/>
      <c r="V44" s="5">
        <f t="shared" si="35"/>
        <v>6.3120569629302493E-3</v>
      </c>
      <c r="W44" s="1"/>
      <c r="X44" s="1">
        <f t="shared" si="36"/>
        <v>392.37</v>
      </c>
      <c r="Y44" s="1"/>
      <c r="Z44" s="5">
        <f t="shared" si="37"/>
        <v>1.3167220376522701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8">
        <v>690.36</v>
      </c>
      <c r="E45" s="3"/>
      <c r="F45" s="7">
        <f t="shared" si="30"/>
        <v>0</v>
      </c>
      <c r="G45" s="3"/>
      <c r="H45" s="8">
        <v>297.99</v>
      </c>
      <c r="I45" s="3"/>
      <c r="J45" s="7">
        <f t="shared" si="31"/>
        <v>6.3120569629302493E-3</v>
      </c>
      <c r="K45" s="3"/>
      <c r="L45" s="8">
        <f t="shared" si="32"/>
        <v>392.37</v>
      </c>
      <c r="M45" s="3"/>
      <c r="N45" s="7">
        <f t="shared" si="33"/>
        <v>1.3167220376522701</v>
      </c>
      <c r="O45" s="11"/>
      <c r="P45" s="8">
        <v>690.36</v>
      </c>
      <c r="Q45" s="3"/>
      <c r="R45" s="7">
        <f t="shared" si="34"/>
        <v>0</v>
      </c>
      <c r="S45" s="3"/>
      <c r="T45" s="8">
        <v>297.99</v>
      </c>
      <c r="U45" s="3"/>
      <c r="V45" s="7">
        <f t="shared" si="35"/>
        <v>6.3120569629302493E-3</v>
      </c>
      <c r="W45" s="3"/>
      <c r="X45" s="8">
        <f t="shared" si="36"/>
        <v>392.37</v>
      </c>
      <c r="Y45" s="3"/>
      <c r="Z45" s="7">
        <f t="shared" si="37"/>
        <v>1.3167220376522701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16.239999999999998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16.239999999999998</v>
      </c>
      <c r="M46" s="1"/>
      <c r="N46" s="5">
        <f t="shared" si="33"/>
        <v>0</v>
      </c>
      <c r="O46" s="14"/>
      <c r="P46" s="1">
        <f>SUM(OSRRefP22_6x_0)</f>
        <v>16.239999999999998</v>
      </c>
      <c r="Q46" s="1"/>
      <c r="R46" s="5">
        <f t="shared" si="34"/>
        <v>0</v>
      </c>
      <c r="S46" s="1"/>
      <c r="T46" s="1">
        <f>SUM(OSRRefT22_6x_0)</f>
        <v>0</v>
      </c>
      <c r="U46" s="1"/>
      <c r="V46" s="5">
        <f t="shared" si="35"/>
        <v>0</v>
      </c>
      <c r="W46" s="1"/>
      <c r="X46" s="1">
        <f t="shared" si="36"/>
        <v>16.239999999999998</v>
      </c>
      <c r="Y46" s="1"/>
      <c r="Z46" s="5">
        <f t="shared" si="37"/>
        <v>0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8">
        <v>16.239999999999998</v>
      </c>
      <c r="E47" s="3"/>
      <c r="F47" s="7">
        <f t="shared" si="30"/>
        <v>0</v>
      </c>
      <c r="G47" s="3"/>
      <c r="H47" s="8"/>
      <c r="I47" s="3"/>
      <c r="J47" s="7">
        <f t="shared" si="31"/>
        <v>0</v>
      </c>
      <c r="K47" s="3"/>
      <c r="L47" s="8">
        <f t="shared" si="32"/>
        <v>16.239999999999998</v>
      </c>
      <c r="M47" s="3"/>
      <c r="N47" s="7">
        <f t="shared" si="33"/>
        <v>0</v>
      </c>
      <c r="O47" s="11"/>
      <c r="P47" s="8">
        <v>16.239999999999998</v>
      </c>
      <c r="Q47" s="3"/>
      <c r="R47" s="7">
        <f t="shared" si="34"/>
        <v>0</v>
      </c>
      <c r="S47" s="3"/>
      <c r="T47" s="8"/>
      <c r="U47" s="3"/>
      <c r="V47" s="7">
        <f t="shared" si="35"/>
        <v>0</v>
      </c>
      <c r="W47" s="3"/>
      <c r="X47" s="8">
        <f t="shared" si="36"/>
        <v>16.239999999999998</v>
      </c>
      <c r="Y47" s="3"/>
      <c r="Z47" s="7">
        <f t="shared" si="37"/>
        <v>0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1794.55</v>
      </c>
      <c r="I48" s="1"/>
      <c r="J48" s="5">
        <f t="shared" si="31"/>
        <v>3.8012355524770891E-2</v>
      </c>
      <c r="K48" s="1"/>
      <c r="L48" s="1">
        <f t="shared" si="32"/>
        <v>-1794.55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1794.55</v>
      </c>
      <c r="U48" s="1"/>
      <c r="V48" s="5">
        <f t="shared" si="35"/>
        <v>3.8012355524770891E-2</v>
      </c>
      <c r="W48" s="1"/>
      <c r="X48" s="1">
        <f t="shared" si="36"/>
        <v>-1794.55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8"/>
      <c r="E49" s="3"/>
      <c r="F49" s="7">
        <f t="shared" si="30"/>
        <v>0</v>
      </c>
      <c r="G49" s="3"/>
      <c r="H49" s="8">
        <v>1794.55</v>
      </c>
      <c r="I49" s="3"/>
      <c r="J49" s="7">
        <f t="shared" si="31"/>
        <v>3.8012355524770891E-2</v>
      </c>
      <c r="K49" s="3"/>
      <c r="L49" s="8">
        <f t="shared" si="32"/>
        <v>-1794.55</v>
      </c>
      <c r="M49" s="3"/>
      <c r="N49" s="7">
        <f t="shared" si="33"/>
        <v>-1</v>
      </c>
      <c r="O49" s="11"/>
      <c r="P49" s="8"/>
      <c r="Q49" s="3"/>
      <c r="R49" s="7">
        <f t="shared" si="34"/>
        <v>0</v>
      </c>
      <c r="S49" s="3"/>
      <c r="T49" s="8">
        <v>1794.55</v>
      </c>
      <c r="U49" s="3"/>
      <c r="V49" s="7">
        <f t="shared" si="35"/>
        <v>3.8012355524770891E-2</v>
      </c>
      <c r="W49" s="3"/>
      <c r="X49" s="8">
        <f t="shared" si="36"/>
        <v>-1794.55</v>
      </c>
      <c r="Y49" s="3"/>
      <c r="Z49" s="7">
        <f t="shared" si="37"/>
        <v>-1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265.87</v>
      </c>
      <c r="I50" s="1"/>
      <c r="J50" s="5">
        <f t="shared" si="31"/>
        <v>5.6316875892958333E-3</v>
      </c>
      <c r="K50" s="1"/>
      <c r="L50" s="1">
        <f t="shared" si="32"/>
        <v>-265.87</v>
      </c>
      <c r="M50" s="1"/>
      <c r="N50" s="5">
        <f t="shared" si="33"/>
        <v>-1</v>
      </c>
      <c r="O50" s="14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265.87</v>
      </c>
      <c r="U50" s="1"/>
      <c r="V50" s="5">
        <f t="shared" si="35"/>
        <v>5.6316875892958333E-3</v>
      </c>
      <c r="W50" s="1"/>
      <c r="X50" s="1">
        <f t="shared" si="36"/>
        <v>-265.87</v>
      </c>
      <c r="Y50" s="1"/>
      <c r="Z50" s="5">
        <f t="shared" si="37"/>
        <v>-1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8"/>
      <c r="E51" s="3"/>
      <c r="F51" s="7">
        <f t="shared" si="30"/>
        <v>0</v>
      </c>
      <c r="G51" s="3"/>
      <c r="H51" s="8">
        <v>265.87</v>
      </c>
      <c r="I51" s="3"/>
      <c r="J51" s="7">
        <f t="shared" si="31"/>
        <v>5.6316875892958333E-3</v>
      </c>
      <c r="K51" s="3"/>
      <c r="L51" s="8">
        <f t="shared" si="32"/>
        <v>-265.87</v>
      </c>
      <c r="M51" s="3"/>
      <c r="N51" s="7">
        <f t="shared" si="33"/>
        <v>-1</v>
      </c>
      <c r="O51" s="11"/>
      <c r="P51" s="8"/>
      <c r="Q51" s="3"/>
      <c r="R51" s="7">
        <f t="shared" si="34"/>
        <v>0</v>
      </c>
      <c r="S51" s="3"/>
      <c r="T51" s="8">
        <v>265.87</v>
      </c>
      <c r="U51" s="3"/>
      <c r="V51" s="7">
        <f t="shared" si="35"/>
        <v>5.6316875892958333E-3</v>
      </c>
      <c r="W51" s="3"/>
      <c r="X51" s="8">
        <f t="shared" si="36"/>
        <v>-265.87</v>
      </c>
      <c r="Y51" s="3"/>
      <c r="Z51" s="7">
        <f t="shared" si="37"/>
        <v>-1</v>
      </c>
    </row>
    <row r="52" spans="1:26" s="27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320.58</v>
      </c>
      <c r="E52" s="1"/>
      <c r="F52" s="5">
        <f t="shared" si="30"/>
        <v>0</v>
      </c>
      <c r="G52" s="1"/>
      <c r="H52" s="1">
        <f>SUM(OSRRefH22_9x_0)</f>
        <v>2434.0499999999997</v>
      </c>
      <c r="I52" s="1"/>
      <c r="J52" s="5">
        <f t="shared" si="31"/>
        <v>5.1558314878419984E-2</v>
      </c>
      <c r="K52" s="1"/>
      <c r="L52" s="1">
        <f t="shared" si="32"/>
        <v>-2113.4699999999998</v>
      </c>
      <c r="M52" s="1"/>
      <c r="N52" s="5">
        <f t="shared" si="33"/>
        <v>-0.8682935847661305</v>
      </c>
      <c r="O52" s="14"/>
      <c r="P52" s="1">
        <f>SUM(OSRRefP22_9x_0)</f>
        <v>320.58</v>
      </c>
      <c r="Q52" s="1"/>
      <c r="R52" s="5">
        <f t="shared" si="34"/>
        <v>0</v>
      </c>
      <c r="S52" s="1"/>
      <c r="T52" s="1">
        <f>SUM(OSRRefT22_9x_0)</f>
        <v>2434.0499999999997</v>
      </c>
      <c r="U52" s="1"/>
      <c r="V52" s="5">
        <f t="shared" si="35"/>
        <v>5.1558314878419984E-2</v>
      </c>
      <c r="W52" s="1"/>
      <c r="X52" s="1">
        <f t="shared" si="36"/>
        <v>-2113.4699999999998</v>
      </c>
      <c r="Y52" s="1"/>
      <c r="Z52" s="5">
        <f t="shared" si="37"/>
        <v>-0.8682935847661305</v>
      </c>
    </row>
    <row r="53" spans="1:26" s="24" customFormat="1" hidden="1" outlineLevel="2" x14ac:dyDescent="0.25">
      <c r="A53" s="29"/>
      <c r="B53" s="11" t="str">
        <f>CONCATENATE("          ", "6283", " - ", "PLANT SERVICE")</f>
        <v xml:space="preserve">          6283 - PLANT SERVICE</v>
      </c>
      <c r="C53" s="11"/>
      <c r="D53" s="8"/>
      <c r="E53" s="3"/>
      <c r="F53" s="7">
        <f t="shared" si="30"/>
        <v>0</v>
      </c>
      <c r="G53" s="3"/>
      <c r="H53" s="8">
        <v>62.95</v>
      </c>
      <c r="I53" s="3"/>
      <c r="J53" s="7">
        <f t="shared" si="31"/>
        <v>1.333413825351385E-3</v>
      </c>
      <c r="K53" s="3"/>
      <c r="L53" s="8">
        <f t="shared" si="32"/>
        <v>-62.95</v>
      </c>
      <c r="M53" s="3"/>
      <c r="N53" s="7">
        <f t="shared" si="33"/>
        <v>-1</v>
      </c>
      <c r="O53" s="11"/>
      <c r="P53" s="8"/>
      <c r="Q53" s="3"/>
      <c r="R53" s="7">
        <f t="shared" si="34"/>
        <v>0</v>
      </c>
      <c r="S53" s="3"/>
      <c r="T53" s="8">
        <v>62.95</v>
      </c>
      <c r="U53" s="3"/>
      <c r="V53" s="7">
        <f t="shared" si="35"/>
        <v>1.333413825351385E-3</v>
      </c>
      <c r="W53" s="3"/>
      <c r="X53" s="8">
        <f t="shared" si="36"/>
        <v>-62.95</v>
      </c>
      <c r="Y53" s="3"/>
      <c r="Z53" s="7">
        <f t="shared" si="37"/>
        <v>-1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8">
        <v>320.58</v>
      </c>
      <c r="E54" s="3"/>
      <c r="F54" s="7">
        <f t="shared" si="30"/>
        <v>0</v>
      </c>
      <c r="G54" s="3"/>
      <c r="H54" s="8">
        <v>2371.1</v>
      </c>
      <c r="I54" s="3"/>
      <c r="J54" s="7">
        <f t="shared" si="31"/>
        <v>5.02249010530686E-2</v>
      </c>
      <c r="K54" s="3"/>
      <c r="L54" s="8">
        <f t="shared" si="32"/>
        <v>-2050.52</v>
      </c>
      <c r="M54" s="3"/>
      <c r="N54" s="7">
        <f t="shared" si="33"/>
        <v>-0.86479692969507826</v>
      </c>
      <c r="O54" s="11"/>
      <c r="P54" s="8">
        <v>320.58</v>
      </c>
      <c r="Q54" s="3"/>
      <c r="R54" s="7">
        <f t="shared" si="34"/>
        <v>0</v>
      </c>
      <c r="S54" s="3"/>
      <c r="T54" s="8">
        <v>2371.1</v>
      </c>
      <c r="U54" s="3"/>
      <c r="V54" s="7">
        <f t="shared" si="35"/>
        <v>5.02249010530686E-2</v>
      </c>
      <c r="W54" s="3"/>
      <c r="X54" s="8">
        <f t="shared" si="36"/>
        <v>-2050.52</v>
      </c>
      <c r="Y54" s="3"/>
      <c r="Z54" s="7">
        <f t="shared" si="37"/>
        <v>-0.86479692969507826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0</v>
      </c>
      <c r="E55" s="1"/>
      <c r="F55" s="5">
        <f t="shared" ref="F55:F59" si="38">IF(D$12=0,0,D55/D$12)</f>
        <v>0</v>
      </c>
      <c r="G55" s="1"/>
      <c r="H55" s="1">
        <f>SUM(OSRRefH22_10x_0)</f>
        <v>945.75</v>
      </c>
      <c r="I55" s="1"/>
      <c r="J55" s="5">
        <f t="shared" ref="J55:J59" si="39">IF(H$12=0,0,H55/H$12)</f>
        <v>2.0032980545291061E-2</v>
      </c>
      <c r="K55" s="1"/>
      <c r="L55" s="1">
        <f t="shared" ref="L55:L59" si="40">+D55-H55</f>
        <v>-945.75</v>
      </c>
      <c r="M55" s="1"/>
      <c r="N55" s="5">
        <f t="shared" ref="N55:N59" si="41">IF(H55=0,0,L55/H55)</f>
        <v>-1</v>
      </c>
      <c r="O55" s="14"/>
      <c r="P55" s="1">
        <f>SUM(OSRRefP22_10x_0)</f>
        <v>0</v>
      </c>
      <c r="Q55" s="1"/>
      <c r="R55" s="5">
        <f t="shared" ref="R55:R59" si="42">IF(P$12=0,0,P55/P$12)</f>
        <v>0</v>
      </c>
      <c r="S55" s="1"/>
      <c r="T55" s="1">
        <f>SUM(OSRRefT22_10x_0)</f>
        <v>945.75</v>
      </c>
      <c r="U55" s="1"/>
      <c r="V55" s="5">
        <f t="shared" ref="V55:V59" si="43">IF(T$12=0,0,T55/T$12)</f>
        <v>2.0032980545291061E-2</v>
      </c>
      <c r="W55" s="1"/>
      <c r="X55" s="1">
        <f t="shared" ref="X55:X59" si="44">+P55-T55</f>
        <v>-945.75</v>
      </c>
      <c r="Y55" s="1"/>
      <c r="Z55" s="5">
        <f t="shared" ref="Z55:Z59" si="45">IF(T55=0,0,X55/T55)</f>
        <v>-1</v>
      </c>
    </row>
    <row r="56" spans="1:26" s="24" customFormat="1" hidden="1" outlineLevel="2" x14ac:dyDescent="0.25">
      <c r="A56" s="29"/>
      <c r="B56" s="11" t="str">
        <f>CONCATENATE("          ", "6239", " - ", "KITCHEN SUPPLIES")</f>
        <v xml:space="preserve">          6239 - KITCHEN SUPPLIES</v>
      </c>
      <c r="C56" s="11"/>
      <c r="D56" s="8"/>
      <c r="E56" s="3"/>
      <c r="F56" s="7">
        <f t="shared" si="38"/>
        <v>0</v>
      </c>
      <c r="G56" s="3"/>
      <c r="H56" s="8">
        <v>116.54</v>
      </c>
      <c r="I56" s="3"/>
      <c r="J56" s="7">
        <f t="shared" si="39"/>
        <v>2.4685631009761779E-3</v>
      </c>
      <c r="K56" s="3"/>
      <c r="L56" s="8">
        <f t="shared" si="40"/>
        <v>-116.54</v>
      </c>
      <c r="M56" s="3"/>
      <c r="N56" s="7">
        <f t="shared" si="41"/>
        <v>-1</v>
      </c>
      <c r="O56" s="11"/>
      <c r="P56" s="8"/>
      <c r="Q56" s="3"/>
      <c r="R56" s="7">
        <f t="shared" si="42"/>
        <v>0</v>
      </c>
      <c r="S56" s="3"/>
      <c r="T56" s="8">
        <v>116.54</v>
      </c>
      <c r="U56" s="3"/>
      <c r="V56" s="7">
        <f t="shared" si="43"/>
        <v>2.4685631009761779E-3</v>
      </c>
      <c r="W56" s="3"/>
      <c r="X56" s="8">
        <f t="shared" si="44"/>
        <v>-116.54</v>
      </c>
      <c r="Y56" s="3"/>
      <c r="Z56" s="7">
        <f t="shared" si="45"/>
        <v>-1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8"/>
      <c r="E57" s="3"/>
      <c r="F57" s="7">
        <f t="shared" si="38"/>
        <v>0</v>
      </c>
      <c r="G57" s="3"/>
      <c r="H57" s="8">
        <v>104.92</v>
      </c>
      <c r="I57" s="3"/>
      <c r="J57" s="7">
        <f t="shared" si="39"/>
        <v>2.22242698261902E-3</v>
      </c>
      <c r="K57" s="3"/>
      <c r="L57" s="8">
        <f t="shared" si="40"/>
        <v>-104.92</v>
      </c>
      <c r="M57" s="3"/>
      <c r="N57" s="7">
        <f t="shared" si="41"/>
        <v>-1</v>
      </c>
      <c r="O57" s="11"/>
      <c r="P57" s="8"/>
      <c r="Q57" s="3"/>
      <c r="R57" s="7">
        <f t="shared" si="42"/>
        <v>0</v>
      </c>
      <c r="S57" s="3"/>
      <c r="T57" s="8">
        <v>104.92</v>
      </c>
      <c r="U57" s="3"/>
      <c r="V57" s="7">
        <f t="shared" si="43"/>
        <v>2.22242698261902E-3</v>
      </c>
      <c r="W57" s="3"/>
      <c r="X57" s="8">
        <f t="shared" si="44"/>
        <v>-104.92</v>
      </c>
      <c r="Y57" s="3"/>
      <c r="Z57" s="7">
        <f t="shared" si="45"/>
        <v>-1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8"/>
      <c r="E58" s="3"/>
      <c r="F58" s="7">
        <f t="shared" si="38"/>
        <v>0</v>
      </c>
      <c r="G58" s="3"/>
      <c r="H58" s="8">
        <v>513.75</v>
      </c>
      <c r="I58" s="3"/>
      <c r="J58" s="7">
        <f t="shared" si="39"/>
        <v>1.0882309019448356E-2</v>
      </c>
      <c r="K58" s="3"/>
      <c r="L58" s="8">
        <f t="shared" si="40"/>
        <v>-513.75</v>
      </c>
      <c r="M58" s="3"/>
      <c r="N58" s="7">
        <f t="shared" si="41"/>
        <v>-1</v>
      </c>
      <c r="O58" s="11"/>
      <c r="P58" s="8"/>
      <c r="Q58" s="3"/>
      <c r="R58" s="7">
        <f t="shared" si="42"/>
        <v>0</v>
      </c>
      <c r="S58" s="3"/>
      <c r="T58" s="8">
        <v>513.75</v>
      </c>
      <c r="U58" s="3"/>
      <c r="V58" s="7">
        <f t="shared" si="43"/>
        <v>1.0882309019448356E-2</v>
      </c>
      <c r="W58" s="3"/>
      <c r="X58" s="8">
        <f t="shared" si="44"/>
        <v>-513.75</v>
      </c>
      <c r="Y58" s="3"/>
      <c r="Z58" s="7">
        <f t="shared" si="45"/>
        <v>-1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8"/>
      <c r="E59" s="3"/>
      <c r="F59" s="7">
        <f t="shared" si="38"/>
        <v>0</v>
      </c>
      <c r="G59" s="3"/>
      <c r="H59" s="8">
        <v>210.54</v>
      </c>
      <c r="I59" s="3"/>
      <c r="J59" s="7">
        <f t="shared" si="39"/>
        <v>4.4596814422475069E-3</v>
      </c>
      <c r="K59" s="3"/>
      <c r="L59" s="8">
        <f t="shared" si="40"/>
        <v>-210.54</v>
      </c>
      <c r="M59" s="3"/>
      <c r="N59" s="7">
        <f t="shared" si="41"/>
        <v>-1</v>
      </c>
      <c r="O59" s="11"/>
      <c r="P59" s="8"/>
      <c r="Q59" s="3"/>
      <c r="R59" s="7">
        <f t="shared" si="42"/>
        <v>0</v>
      </c>
      <c r="S59" s="3"/>
      <c r="T59" s="8">
        <v>210.54</v>
      </c>
      <c r="U59" s="3"/>
      <c r="V59" s="7">
        <f t="shared" si="43"/>
        <v>4.4596814422475069E-3</v>
      </c>
      <c r="W59" s="3"/>
      <c r="X59" s="8">
        <f t="shared" si="44"/>
        <v>-210.54</v>
      </c>
      <c r="Y59" s="3"/>
      <c r="Z59" s="7">
        <f t="shared" si="45"/>
        <v>-1</v>
      </c>
    </row>
    <row r="60" spans="1:26" s="27" customFormat="1" outlineLevel="1" collapsed="1" x14ac:dyDescent="0.25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SUM(OSRRefD22_11x_0)</f>
        <v>53.81</v>
      </c>
      <c r="E60" s="1"/>
      <c r="F60" s="5">
        <f t="shared" ref="F60:F61" si="46">IF(D$12=0,0,D60/D$12)</f>
        <v>0</v>
      </c>
      <c r="G60" s="1"/>
      <c r="H60" s="1">
        <f>SUM(OSRRefH22_11x_0)</f>
        <v>30.25</v>
      </c>
      <c r="I60" s="1"/>
      <c r="J60" s="5">
        <f t="shared" ref="J60:J61" si="47">IF(H$12=0,0,H60/H$12)</f>
        <v>6.4075882790912456E-4</v>
      </c>
      <c r="K60" s="1"/>
      <c r="L60" s="1">
        <f t="shared" ref="L60:L61" si="48">+D60-H60</f>
        <v>23.560000000000002</v>
      </c>
      <c r="M60" s="1"/>
      <c r="N60" s="5">
        <f t="shared" ref="N60:N61" si="49">IF(H60=0,0,L60/H60)</f>
        <v>0.77884297520661161</v>
      </c>
      <c r="O60" s="14"/>
      <c r="P60" s="1">
        <f>SUM(OSRRefP22_11x_0)</f>
        <v>53.81</v>
      </c>
      <c r="Q60" s="1"/>
      <c r="R60" s="5">
        <f t="shared" ref="R60:R61" si="50">IF(P$12=0,0,P60/P$12)</f>
        <v>0</v>
      </c>
      <c r="S60" s="1"/>
      <c r="T60" s="1">
        <f>SUM(OSRRefT22_11x_0)</f>
        <v>30.25</v>
      </c>
      <c r="U60" s="1"/>
      <c r="V60" s="5">
        <f t="shared" ref="V60:V61" si="51">IF(T$12=0,0,T60/T$12)</f>
        <v>6.4075882790912456E-4</v>
      </c>
      <c r="W60" s="1"/>
      <c r="X60" s="1">
        <f t="shared" ref="X60:X61" si="52">+P60-T60</f>
        <v>23.560000000000002</v>
      </c>
      <c r="Y60" s="1"/>
      <c r="Z60" s="5">
        <f t="shared" ref="Z60:Z61" si="53">IF(T60=0,0,X60/T60)</f>
        <v>0.77884297520661161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8">
        <v>53.81</v>
      </c>
      <c r="E61" s="3"/>
      <c r="F61" s="7">
        <f t="shared" si="46"/>
        <v>0</v>
      </c>
      <c r="G61" s="3"/>
      <c r="H61" s="8">
        <v>30.25</v>
      </c>
      <c r="I61" s="3"/>
      <c r="J61" s="7">
        <f t="shared" si="47"/>
        <v>6.4075882790912456E-4</v>
      </c>
      <c r="K61" s="3"/>
      <c r="L61" s="8">
        <f t="shared" si="48"/>
        <v>23.560000000000002</v>
      </c>
      <c r="M61" s="3"/>
      <c r="N61" s="7">
        <f t="shared" si="49"/>
        <v>0.77884297520661161</v>
      </c>
      <c r="O61" s="11"/>
      <c r="P61" s="8">
        <v>53.81</v>
      </c>
      <c r="Q61" s="3"/>
      <c r="R61" s="7">
        <f t="shared" si="50"/>
        <v>0</v>
      </c>
      <c r="S61" s="3"/>
      <c r="T61" s="8">
        <v>30.25</v>
      </c>
      <c r="U61" s="3"/>
      <c r="V61" s="7">
        <f t="shared" si="51"/>
        <v>6.4075882790912456E-4</v>
      </c>
      <c r="W61" s="3"/>
      <c r="X61" s="8">
        <f t="shared" si="52"/>
        <v>23.560000000000002</v>
      </c>
      <c r="Y61" s="3"/>
      <c r="Z61" s="7">
        <f t="shared" si="53"/>
        <v>0.77884297520661161</v>
      </c>
    </row>
    <row r="62" spans="1:26" s="61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5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10"/>
      <c r="B65" s="26" t="s">
        <v>3</v>
      </c>
      <c r="C65" s="26"/>
      <c r="D65" s="19">
        <f>+D19-D21+D63</f>
        <v>-1080.99</v>
      </c>
      <c r="E65" s="13"/>
      <c r="F65" s="20">
        <f>IF(D$12=0,0,D65/D$12)</f>
        <v>0</v>
      </c>
      <c r="G65" s="13"/>
      <c r="H65" s="19">
        <f>+H19-H21+H63</f>
        <v>-27604.779999999992</v>
      </c>
      <c r="I65" s="13"/>
      <c r="J65" s="20">
        <f>IF(H$12=0,0,H65/H$12)</f>
        <v>-0.58472748685914844</v>
      </c>
      <c r="K65" s="16"/>
      <c r="L65" s="19">
        <f>+D65-H65</f>
        <v>26523.78999999999</v>
      </c>
      <c r="M65" s="16"/>
      <c r="N65" s="20">
        <f>IF(H65=0,0,L65/H65)</f>
        <v>-0.9608404776274253</v>
      </c>
      <c r="O65" s="25"/>
      <c r="P65" s="19">
        <f>+P19-P21+P63</f>
        <v>-1080.99</v>
      </c>
      <c r="Q65" s="13"/>
      <c r="R65" s="20">
        <f>IF(P$12=0,0,P65/P$12)</f>
        <v>0</v>
      </c>
      <c r="S65" s="13"/>
      <c r="T65" s="19">
        <f>+T19-T21+T63</f>
        <v>-27604.779999999992</v>
      </c>
      <c r="U65" s="13"/>
      <c r="V65" s="20">
        <f>IF(T$12=0,0,T65/T$12)</f>
        <v>-0.58472748685914844</v>
      </c>
      <c r="W65" s="16"/>
      <c r="X65" s="19">
        <f>+P65-T65</f>
        <v>26523.78999999999</v>
      </c>
      <c r="Y65" s="16"/>
      <c r="Z65" s="20">
        <f>IF(T65=0,0,X65/T65)</f>
        <v>-0.9608404776274253</v>
      </c>
    </row>
    <row r="66" spans="1:26" x14ac:dyDescent="0.25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>
        <v>9816.2800000000007</v>
      </c>
      <c r="I67" s="4"/>
      <c r="J67" s="12">
        <f>IF(H$12=0,0,H67/H$12)</f>
        <v>0.20792952288356303</v>
      </c>
      <c r="K67" s="4"/>
      <c r="L67" s="4">
        <f>+D67-H67</f>
        <v>-9816.2800000000007</v>
      </c>
      <c r="M67" s="4"/>
      <c r="N67" s="12">
        <f>IF(H67=0,0,L67/H67)</f>
        <v>-1</v>
      </c>
      <c r="O67" s="10"/>
      <c r="P67" s="4"/>
      <c r="Q67" s="4"/>
      <c r="R67" s="12">
        <f>IF(P$12=0,0,P67/P$12)</f>
        <v>0</v>
      </c>
      <c r="S67" s="4"/>
      <c r="T67" s="4">
        <v>9816.2800000000007</v>
      </c>
      <c r="U67" s="4"/>
      <c r="V67" s="12">
        <f>IF(T$12=0,0,T67/T$12)</f>
        <v>0.20792952288356303</v>
      </c>
      <c r="W67" s="4"/>
      <c r="X67" s="4">
        <f>+P67-T67</f>
        <v>-9816.2800000000007</v>
      </c>
      <c r="Y67" s="4"/>
      <c r="Z67" s="12">
        <f>IF(T67=0,0,X67/T67)</f>
        <v>-1</v>
      </c>
    </row>
    <row r="68" spans="1:26" x14ac:dyDescent="0.25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.75" thickBot="1" x14ac:dyDescent="0.3">
      <c r="A69" s="10"/>
      <c r="B69" s="26" t="s">
        <v>4</v>
      </c>
      <c r="C69" s="26"/>
      <c r="D69" s="35">
        <f>+D65-D67</f>
        <v>-1080.99</v>
      </c>
      <c r="E69" s="13"/>
      <c r="F69" s="30">
        <f>IF(D$12=0,0,D69/D$12)</f>
        <v>0</v>
      </c>
      <c r="G69" s="13"/>
      <c r="H69" s="35">
        <f>+H65-H67</f>
        <v>-37421.05999999999</v>
      </c>
      <c r="I69" s="13"/>
      <c r="J69" s="30">
        <f>IF(H$12=0,0,H69/H$12)</f>
        <v>-0.79265700974271136</v>
      </c>
      <c r="K69" s="16"/>
      <c r="L69" s="35">
        <f>D69-H69</f>
        <v>36340.069999999992</v>
      </c>
      <c r="M69" s="16"/>
      <c r="N69" s="30">
        <f>IF(H69=0,0,L69/H69)</f>
        <v>-0.97111279049818477</v>
      </c>
      <c r="O69" s="25"/>
      <c r="P69" s="35">
        <f>+P65-P67</f>
        <v>-1080.99</v>
      </c>
      <c r="Q69" s="13"/>
      <c r="R69" s="30">
        <f>IF(P$12=0,0,P69/P$12)</f>
        <v>0</v>
      </c>
      <c r="S69" s="13"/>
      <c r="T69" s="35">
        <f>+T65-T67</f>
        <v>-37421.05999999999</v>
      </c>
      <c r="U69" s="13"/>
      <c r="V69" s="30">
        <f>IF(T$12=0,0,T69/T$12)</f>
        <v>-0.79265700974271136</v>
      </c>
      <c r="W69" s="16"/>
      <c r="X69" s="35">
        <f>P69-T69</f>
        <v>36340.069999999992</v>
      </c>
      <c r="Y69" s="16"/>
      <c r="Z69" s="30">
        <f>IF(T69=0,0,X69/T69)</f>
        <v>-0.97111279049818477</v>
      </c>
    </row>
    <row r="70" spans="1:26" ht="15.75" thickTop="1" x14ac:dyDescent="0.25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25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.75" thickBot="1" x14ac:dyDescent="0.3">
      <c r="A72" s="10"/>
      <c r="B72" s="26" t="s">
        <v>5</v>
      </c>
      <c r="C72" s="26"/>
      <c r="D72" s="31">
        <f>SUM(D69:D71)</f>
        <v>-1080.99</v>
      </c>
      <c r="E72" s="13"/>
      <c r="F72" s="32">
        <f>IF(D$12=0,0,D72/D$12)</f>
        <v>0</v>
      </c>
      <c r="G72" s="13"/>
      <c r="H72" s="31">
        <f>SUM(H69:H71)</f>
        <v>-37421.05999999999</v>
      </c>
      <c r="I72" s="13"/>
      <c r="J72" s="32">
        <f>IF(H$12=0,0,H72/H$12)</f>
        <v>-0.79265700974271136</v>
      </c>
      <c r="K72" s="16"/>
      <c r="L72" s="31">
        <f>+D72-H72</f>
        <v>36340.069999999992</v>
      </c>
      <c r="M72" s="16"/>
      <c r="N72" s="32">
        <f>IF(H72=0,0,L72/H72)</f>
        <v>-0.97111279049818477</v>
      </c>
      <c r="O72" s="25"/>
      <c r="P72" s="31">
        <f>SUM(P69:P71)</f>
        <v>-1080.99</v>
      </c>
      <c r="Q72" s="13"/>
      <c r="R72" s="32">
        <f>IF(P$12=0,0,P72/P$12)</f>
        <v>0</v>
      </c>
      <c r="S72" s="13"/>
      <c r="T72" s="31">
        <f>SUM(T69:T71)</f>
        <v>-37421.05999999999</v>
      </c>
      <c r="U72" s="13"/>
      <c r="V72" s="32">
        <f>IF(T$12=0,0,T72/T$12)</f>
        <v>-0.79265700974271136</v>
      </c>
      <c r="W72" s="16"/>
      <c r="X72" s="31">
        <f>+P72-T72</f>
        <v>36340.069999999992</v>
      </c>
      <c r="Y72" s="16"/>
      <c r="Z72" s="32">
        <f>IF(T72=0,0,X72/T72)</f>
        <v>-0.97111279049818477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9">
        <v>44109.414618020834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6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25">
      <c r="A22" s="10"/>
      <c r="B22" s="26" t="s">
        <v>3</v>
      </c>
      <c r="C22" s="26"/>
      <c r="D22" s="19">
        <f>+D16-D18+D20</f>
        <v>0</v>
      </c>
      <c r="E22" s="13"/>
      <c r="F22" s="20">
        <f>IF(D$12=0,0,D22/D$12)</f>
        <v>0</v>
      </c>
      <c r="G22" s="13"/>
      <c r="H22" s="19">
        <f>+H16-H18+H20</f>
        <v>0</v>
      </c>
      <c r="I22" s="13"/>
      <c r="J22" s="20">
        <f>IF(H$12=0,0,H22/H$12)</f>
        <v>0</v>
      </c>
      <c r="K22" s="16"/>
      <c r="L22" s="19">
        <f>+D22-H22</f>
        <v>0</v>
      </c>
      <c r="M22" s="16"/>
      <c r="N22" s="20">
        <f>IF(H22=0,0,L22/H22)</f>
        <v>0</v>
      </c>
      <c r="O22" s="25"/>
      <c r="P22" s="19">
        <f>+P16-P18+P20</f>
        <v>0</v>
      </c>
      <c r="Q22" s="13"/>
      <c r="R22" s="20">
        <f>IF(P$12=0,0,P22/P$12)</f>
        <v>0</v>
      </c>
      <c r="S22" s="13"/>
      <c r="T22" s="19">
        <f>+T16-T18+T20</f>
        <v>0</v>
      </c>
      <c r="U22" s="13"/>
      <c r="V22" s="20">
        <f>IF(T$12=0,0,T22/T$12)</f>
        <v>0</v>
      </c>
      <c r="W22" s="16"/>
      <c r="X22" s="19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x14ac:dyDescent="0.25">
      <c r="A28" s="9"/>
      <c r="B28" s="9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ht="15.75" thickBot="1" x14ac:dyDescent="0.3">
      <c r="A29" s="10"/>
      <c r="B29" s="26" t="s">
        <v>5</v>
      </c>
      <c r="C29" s="26"/>
      <c r="D29" s="31">
        <f>SUM(D26:D28)</f>
        <v>0</v>
      </c>
      <c r="E29" s="13"/>
      <c r="F29" s="32">
        <f>IF(D$12=0,0,D29/D$12)</f>
        <v>0</v>
      </c>
      <c r="G29" s="13"/>
      <c r="H29" s="31">
        <f>SUM(H26:H28)</f>
        <v>0</v>
      </c>
      <c r="I29" s="13"/>
      <c r="J29" s="32">
        <f>IF(H$12=0,0,H29/H$12)</f>
        <v>0</v>
      </c>
      <c r="K29" s="16"/>
      <c r="L29" s="31">
        <f>+D29-H29</f>
        <v>0</v>
      </c>
      <c r="M29" s="16"/>
      <c r="N29" s="32">
        <f>IF(H29=0,0,L29/H29)</f>
        <v>0</v>
      </c>
      <c r="O29" s="25"/>
      <c r="P29" s="31">
        <f>SUM(P26:P28)</f>
        <v>0</v>
      </c>
      <c r="Q29" s="13"/>
      <c r="R29" s="32">
        <f>IF(P$12=0,0,P29/P$12)</f>
        <v>0</v>
      </c>
      <c r="S29" s="13"/>
      <c r="T29" s="31">
        <f>SUM(T26:T28)</f>
        <v>0</v>
      </c>
      <c r="U29" s="13"/>
      <c r="V29" s="32">
        <f>IF(T$12=0,0,T29/T$12)</f>
        <v>0</v>
      </c>
      <c r="W29" s="16"/>
      <c r="X29" s="31">
        <f>+P29-T29</f>
        <v>0</v>
      </c>
      <c r="Y29" s="16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9">
        <v>44109.414751469907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2" t="s">
        <v>313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6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5827.59</v>
      </c>
      <c r="I12" s="4"/>
      <c r="J12" s="12"/>
      <c r="K12" s="4"/>
      <c r="L12" s="4">
        <f t="shared" ref="L12:L14" si="0">+D12-H12</f>
        <v>-5827.59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5827.59</v>
      </c>
      <c r="U12" s="4"/>
      <c r="V12" s="12"/>
      <c r="W12" s="4"/>
      <c r="X12" s="4">
        <f t="shared" ref="X12:X14" si="2">+P12-T12</f>
        <v>-5827.59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4" si="4">0</f>
        <v>0</v>
      </c>
      <c r="E13" s="3"/>
      <c r="F13" s="22"/>
      <c r="G13" s="3"/>
      <c r="H13" s="3">
        <f>--3505.45</f>
        <v>3505.45</v>
      </c>
      <c r="I13" s="3"/>
      <c r="J13" s="22"/>
      <c r="K13" s="3"/>
      <c r="L13" s="3">
        <f t="shared" si="0"/>
        <v>-3505.45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--3505.45</f>
        <v>3505.45</v>
      </c>
      <c r="U13" s="3"/>
      <c r="V13" s="22"/>
      <c r="W13" s="3"/>
      <c r="X13" s="3">
        <f t="shared" si="2"/>
        <v>-3505.45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--2322.14</f>
        <v>2322.14</v>
      </c>
      <c r="I14" s="3"/>
      <c r="J14" s="22"/>
      <c r="K14" s="3"/>
      <c r="L14" s="3">
        <f t="shared" si="0"/>
        <v>-2322.14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--2322.14</f>
        <v>2322.14</v>
      </c>
      <c r="U14" s="3"/>
      <c r="V14" s="22"/>
      <c r="W14" s="3"/>
      <c r="X14" s="3">
        <f t="shared" si="2"/>
        <v>-2322.14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2649.85</v>
      </c>
      <c r="I16" s="4"/>
      <c r="J16" s="12">
        <f t="shared" ref="J16:J18" si="7">IF(H$12=0,0,H16/H$12)</f>
        <v>0.45470769220209378</v>
      </c>
      <c r="K16" s="4"/>
      <c r="L16" s="4">
        <f t="shared" ref="L16:L18" si="8">+D16-H16</f>
        <v>-2649.85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2649.85</v>
      </c>
      <c r="U16" s="4"/>
      <c r="V16" s="12">
        <f t="shared" ref="V16:V18" si="11">IF(T$12=0,0,T16/T$12)</f>
        <v>0.45470769220209378</v>
      </c>
      <c r="W16" s="4"/>
      <c r="X16" s="4">
        <f t="shared" ref="X16:X18" si="12">+P16-T16</f>
        <v>-2649.85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3361.85</v>
      </c>
      <c r="I17" s="3"/>
      <c r="J17" s="22">
        <f t="shared" si="7"/>
        <v>0.57688512747121878</v>
      </c>
      <c r="K17" s="3"/>
      <c r="L17" s="3">
        <f t="shared" si="8"/>
        <v>-3361.85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3361.85</v>
      </c>
      <c r="U17" s="3"/>
      <c r="V17" s="22">
        <f t="shared" si="11"/>
        <v>0.57688512747121878</v>
      </c>
      <c r="W17" s="3"/>
      <c r="X17" s="3">
        <f t="shared" si="12"/>
        <v>-3361.85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-712</v>
      </c>
      <c r="I18" s="3"/>
      <c r="J18" s="22">
        <f t="shared" si="7"/>
        <v>-0.12217743526912497</v>
      </c>
      <c r="K18" s="3"/>
      <c r="L18" s="3">
        <f t="shared" si="8"/>
        <v>712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-712</v>
      </c>
      <c r="U18" s="3"/>
      <c r="V18" s="22">
        <f t="shared" si="11"/>
        <v>-0.12217743526912497</v>
      </c>
      <c r="W18" s="3"/>
      <c r="X18" s="3">
        <f t="shared" si="12"/>
        <v>712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3177.7400000000002</v>
      </c>
      <c r="I20" s="13"/>
      <c r="J20" s="20">
        <f>IF(H$12=0,0,H20/H$12)</f>
        <v>0.54529230779790616</v>
      </c>
      <c r="K20" s="16"/>
      <c r="L20" s="19">
        <f>+D20-H20</f>
        <v>-3177.7400000000002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3177.7400000000002</v>
      </c>
      <c r="U20" s="13"/>
      <c r="V20" s="20">
        <f>IF(T$12=0,0,T20/T$12)</f>
        <v>0.54529230779790616</v>
      </c>
      <c r="W20" s="16"/>
      <c r="X20" s="19">
        <f>+P20-T20</f>
        <v>-3177.7400000000002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4118.5600000000004</v>
      </c>
      <c r="E22" s="21"/>
      <c r="F22" s="34">
        <f t="shared" ref="F22:F31" si="14">IF(D$12=0,0,D22/D$12)</f>
        <v>0</v>
      </c>
      <c r="G22" s="21"/>
      <c r="H22" s="21">
        <f>SUM(OSRRefH22x_0)</f>
        <v>16723.29</v>
      </c>
      <c r="I22" s="21"/>
      <c r="J22" s="34">
        <f t="shared" ref="J22:J31" si="15">IF(H$12=0,0,H22/H$12)</f>
        <v>2.8696751144126473</v>
      </c>
      <c r="K22" s="4"/>
      <c r="L22" s="21">
        <f t="shared" ref="L22:L31" si="16">+D22-H22</f>
        <v>-12604.73</v>
      </c>
      <c r="M22" s="4"/>
      <c r="N22" s="34">
        <f t="shared" ref="N22:N31" si="17">IF(H22=0,0,L22/H22)</f>
        <v>-0.75372310113619978</v>
      </c>
      <c r="O22" s="10"/>
      <c r="P22" s="21">
        <f>SUM(OSRRefP22x_0)</f>
        <v>4118.5600000000004</v>
      </c>
      <c r="Q22" s="21"/>
      <c r="R22" s="34">
        <f t="shared" ref="R22:R31" si="18">IF(P$12=0,0,P22/P$12)</f>
        <v>0</v>
      </c>
      <c r="S22" s="21"/>
      <c r="T22" s="21">
        <f>SUM(OSRRefT22x_0)</f>
        <v>16723.29</v>
      </c>
      <c r="U22" s="21"/>
      <c r="V22" s="34">
        <f t="shared" ref="V22:V31" si="19">IF(T$12=0,0,T22/T$12)</f>
        <v>2.8696751144126473</v>
      </c>
      <c r="W22" s="4"/>
      <c r="X22" s="21">
        <f t="shared" ref="X22:X31" si="20">+P22-T22</f>
        <v>-12604.73</v>
      </c>
      <c r="Y22" s="4"/>
      <c r="Z22" s="34">
        <f t="shared" ref="Z22:Z31" si="21">IF(T22=0,0,X22/T22)</f>
        <v>-0.75372310113619978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1493.43</v>
      </c>
      <c r="E23" s="1"/>
      <c r="F23" s="5">
        <f t="shared" si="14"/>
        <v>0</v>
      </c>
      <c r="G23" s="1"/>
      <c r="H23" s="1">
        <f>SUM(OSRRefH22_0x_0)</f>
        <v>3433.8400000000006</v>
      </c>
      <c r="I23" s="1"/>
      <c r="J23" s="5">
        <f t="shared" si="15"/>
        <v>0.58923843304007328</v>
      </c>
      <c r="K23" s="1"/>
      <c r="L23" s="1">
        <f t="shared" si="16"/>
        <v>-1940.4100000000005</v>
      </c>
      <c r="M23" s="1"/>
      <c r="N23" s="5">
        <f t="shared" si="17"/>
        <v>-0.56508457004403234</v>
      </c>
      <c r="O23" s="14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3433.8400000000006</v>
      </c>
      <c r="U23" s="1"/>
      <c r="V23" s="5">
        <f t="shared" si="19"/>
        <v>0.58923843304007328</v>
      </c>
      <c r="W23" s="1"/>
      <c r="X23" s="1">
        <f t="shared" si="20"/>
        <v>-1940.4100000000005</v>
      </c>
      <c r="Y23" s="1"/>
      <c r="Z23" s="5">
        <f t="shared" si="21"/>
        <v>-0.56508457004403234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191.51</v>
      </c>
      <c r="E24" s="3"/>
      <c r="F24" s="7">
        <f t="shared" si="14"/>
        <v>0</v>
      </c>
      <c r="G24" s="3"/>
      <c r="H24" s="8">
        <v>517.57000000000005</v>
      </c>
      <c r="I24" s="3"/>
      <c r="J24" s="7">
        <f t="shared" si="15"/>
        <v>8.8813729174495815E-2</v>
      </c>
      <c r="K24" s="3"/>
      <c r="L24" s="8">
        <f t="shared" si="16"/>
        <v>-326.06000000000006</v>
      </c>
      <c r="M24" s="3"/>
      <c r="N24" s="7">
        <f t="shared" si="17"/>
        <v>-0.62998241783720077</v>
      </c>
      <c r="O24" s="11"/>
      <c r="P24" s="8">
        <v>191.51</v>
      </c>
      <c r="Q24" s="3"/>
      <c r="R24" s="7">
        <f t="shared" si="18"/>
        <v>0</v>
      </c>
      <c r="S24" s="3"/>
      <c r="T24" s="8">
        <v>517.57000000000005</v>
      </c>
      <c r="U24" s="3"/>
      <c r="V24" s="7">
        <f t="shared" si="19"/>
        <v>8.8813729174495815E-2</v>
      </c>
      <c r="W24" s="3"/>
      <c r="X24" s="8">
        <f t="shared" si="20"/>
        <v>-326.06000000000006</v>
      </c>
      <c r="Y24" s="3"/>
      <c r="Z24" s="7">
        <f t="shared" si="21"/>
        <v>-0.62998241783720077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284.23</v>
      </c>
      <c r="I25" s="3"/>
      <c r="J25" s="7">
        <f t="shared" si="15"/>
        <v>4.8773163520426113E-2</v>
      </c>
      <c r="K25" s="3"/>
      <c r="L25" s="8">
        <f t="shared" si="16"/>
        <v>-284.23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284.23</v>
      </c>
      <c r="U25" s="3"/>
      <c r="V25" s="7">
        <f t="shared" si="19"/>
        <v>4.8773163520426113E-2</v>
      </c>
      <c r="W25" s="3"/>
      <c r="X25" s="8">
        <f t="shared" si="20"/>
        <v>-284.23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718.51</v>
      </c>
      <c r="E26" s="3"/>
      <c r="F26" s="7">
        <f t="shared" si="14"/>
        <v>0</v>
      </c>
      <c r="G26" s="3"/>
      <c r="H26" s="8">
        <v>1286.5999999999999</v>
      </c>
      <c r="I26" s="3"/>
      <c r="J26" s="7">
        <f t="shared" si="15"/>
        <v>0.22077737109165194</v>
      </c>
      <c r="K26" s="3"/>
      <c r="L26" s="8">
        <f t="shared" si="16"/>
        <v>-568.08999999999992</v>
      </c>
      <c r="M26" s="3"/>
      <c r="N26" s="7">
        <f t="shared" si="17"/>
        <v>-0.44154360329550751</v>
      </c>
      <c r="O26" s="11"/>
      <c r="P26" s="8">
        <v>718.51</v>
      </c>
      <c r="Q26" s="3"/>
      <c r="R26" s="7">
        <f t="shared" si="18"/>
        <v>0</v>
      </c>
      <c r="S26" s="3"/>
      <c r="T26" s="8">
        <v>1286.5999999999999</v>
      </c>
      <c r="U26" s="3"/>
      <c r="V26" s="7">
        <f t="shared" si="19"/>
        <v>0.22077737109165194</v>
      </c>
      <c r="W26" s="3"/>
      <c r="X26" s="8">
        <f t="shared" si="20"/>
        <v>-568.08999999999992</v>
      </c>
      <c r="Y26" s="3"/>
      <c r="Z26" s="7">
        <f t="shared" si="21"/>
        <v>-0.44154360329550751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19.05</v>
      </c>
      <c r="I27" s="3"/>
      <c r="J27" s="7">
        <f t="shared" si="15"/>
        <v>3.2689327835348746E-3</v>
      </c>
      <c r="K27" s="3"/>
      <c r="L27" s="8">
        <f t="shared" si="16"/>
        <v>-19.05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19.05</v>
      </c>
      <c r="U27" s="3"/>
      <c r="V27" s="7">
        <f t="shared" si="19"/>
        <v>3.2689327835348746E-3</v>
      </c>
      <c r="W27" s="3"/>
      <c r="X27" s="8">
        <f t="shared" si="20"/>
        <v>-19.05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377.03</v>
      </c>
      <c r="E28" s="3"/>
      <c r="F28" s="7">
        <f t="shared" si="14"/>
        <v>0</v>
      </c>
      <c r="G28" s="3"/>
      <c r="H28" s="8">
        <v>326.52</v>
      </c>
      <c r="I28" s="3"/>
      <c r="J28" s="7">
        <f t="shared" si="15"/>
        <v>5.6030022702352085E-2</v>
      </c>
      <c r="K28" s="3"/>
      <c r="L28" s="8">
        <f t="shared" si="16"/>
        <v>50.509999999999991</v>
      </c>
      <c r="M28" s="3"/>
      <c r="N28" s="7">
        <f t="shared" si="17"/>
        <v>0.15469190248683079</v>
      </c>
      <c r="O28" s="11"/>
      <c r="P28" s="8">
        <v>377.03</v>
      </c>
      <c r="Q28" s="3"/>
      <c r="R28" s="7">
        <f t="shared" si="18"/>
        <v>0</v>
      </c>
      <c r="S28" s="3"/>
      <c r="T28" s="8">
        <v>326.52</v>
      </c>
      <c r="U28" s="3"/>
      <c r="V28" s="7">
        <f t="shared" si="19"/>
        <v>5.6030022702352085E-2</v>
      </c>
      <c r="W28" s="3"/>
      <c r="X28" s="8">
        <f t="shared" si="20"/>
        <v>50.509999999999991</v>
      </c>
      <c r="Y28" s="3"/>
      <c r="Z28" s="7">
        <f t="shared" si="21"/>
        <v>0.15469190248683079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93.89</v>
      </c>
      <c r="E29" s="3"/>
      <c r="F29" s="7">
        <f t="shared" si="14"/>
        <v>0</v>
      </c>
      <c r="G29" s="3"/>
      <c r="H29" s="8">
        <v>353.47</v>
      </c>
      <c r="I29" s="3"/>
      <c r="J29" s="7">
        <f t="shared" si="15"/>
        <v>6.0654575905305624E-2</v>
      </c>
      <c r="K29" s="3"/>
      <c r="L29" s="8">
        <f t="shared" si="16"/>
        <v>-259.58000000000004</v>
      </c>
      <c r="M29" s="3"/>
      <c r="N29" s="7">
        <f t="shared" si="17"/>
        <v>-0.7343763261380033</v>
      </c>
      <c r="O29" s="11"/>
      <c r="P29" s="8">
        <v>93.89</v>
      </c>
      <c r="Q29" s="3"/>
      <c r="R29" s="7">
        <f t="shared" si="18"/>
        <v>0</v>
      </c>
      <c r="S29" s="3"/>
      <c r="T29" s="8">
        <v>353.47</v>
      </c>
      <c r="U29" s="3"/>
      <c r="V29" s="7">
        <f t="shared" si="19"/>
        <v>6.0654575905305624E-2</v>
      </c>
      <c r="W29" s="3"/>
      <c r="X29" s="8">
        <f t="shared" si="20"/>
        <v>-259.58000000000004</v>
      </c>
      <c r="Y29" s="3"/>
      <c r="Z29" s="7">
        <f t="shared" si="21"/>
        <v>-0.7343763261380033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112.49</v>
      </c>
      <c r="E30" s="3"/>
      <c r="F30" s="7">
        <f t="shared" si="14"/>
        <v>0</v>
      </c>
      <c r="G30" s="3"/>
      <c r="H30" s="8">
        <v>549.51</v>
      </c>
      <c r="I30" s="3"/>
      <c r="J30" s="7">
        <f t="shared" si="15"/>
        <v>9.4294554009461878E-2</v>
      </c>
      <c r="K30" s="3"/>
      <c r="L30" s="8">
        <f t="shared" si="16"/>
        <v>-437.02</v>
      </c>
      <c r="M30" s="3"/>
      <c r="N30" s="7">
        <f t="shared" si="17"/>
        <v>-0.79529034958417499</v>
      </c>
      <c r="O30" s="11"/>
      <c r="P30" s="8">
        <v>112.49</v>
      </c>
      <c r="Q30" s="3"/>
      <c r="R30" s="7">
        <f t="shared" si="18"/>
        <v>0</v>
      </c>
      <c r="S30" s="3"/>
      <c r="T30" s="8">
        <v>549.51</v>
      </c>
      <c r="U30" s="3"/>
      <c r="V30" s="7">
        <f t="shared" si="19"/>
        <v>9.4294554009461878E-2</v>
      </c>
      <c r="W30" s="3"/>
      <c r="X30" s="8">
        <f t="shared" si="20"/>
        <v>-437.02</v>
      </c>
      <c r="Y30" s="3"/>
      <c r="Z30" s="7">
        <f t="shared" si="21"/>
        <v>-0.79529034958417499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96.89</v>
      </c>
      <c r="I31" s="3"/>
      <c r="J31" s="7">
        <f t="shared" si="15"/>
        <v>1.6626083852844829E-2</v>
      </c>
      <c r="K31" s="3"/>
      <c r="L31" s="8">
        <f t="shared" si="16"/>
        <v>-96.89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96.89</v>
      </c>
      <c r="U31" s="3"/>
      <c r="V31" s="7">
        <f t="shared" si="19"/>
        <v>1.6626083852844829E-2</v>
      </c>
      <c r="W31" s="3"/>
      <c r="X31" s="8">
        <f t="shared" si="20"/>
        <v>-96.89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2259.48</v>
      </c>
      <c r="E32" s="1"/>
      <c r="F32" s="5">
        <f t="shared" ref="F32:F35" si="22">IF(D$12=0,0,D32/D$12)</f>
        <v>0</v>
      </c>
      <c r="G32" s="1"/>
      <c r="H32" s="1">
        <f>SUM(OSRRefH22_1x_0)</f>
        <v>7913.7</v>
      </c>
      <c r="I32" s="1"/>
      <c r="J32" s="5">
        <f t="shared" ref="J32:J35" si="23">IF(H$12=0,0,H32/H$12)</f>
        <v>1.3579713054624638</v>
      </c>
      <c r="K32" s="1"/>
      <c r="L32" s="1">
        <f t="shared" ref="L32:L35" si="24">+D32-H32</f>
        <v>-5654.2199999999993</v>
      </c>
      <c r="M32" s="1"/>
      <c r="N32" s="5">
        <f t="shared" ref="N32:N35" si="25">IF(H32=0,0,L32/H32)</f>
        <v>-0.71448500701315432</v>
      </c>
      <c r="O32" s="14"/>
      <c r="P32" s="1">
        <f>SUM(OSRRefP22_1x_0)</f>
        <v>2259.48</v>
      </c>
      <c r="Q32" s="1"/>
      <c r="R32" s="5">
        <f t="shared" ref="R32:R35" si="26">IF(P$12=0,0,P32/P$12)</f>
        <v>0</v>
      </c>
      <c r="S32" s="1"/>
      <c r="T32" s="1">
        <f>SUM(OSRRefT22_1x_0)</f>
        <v>7913.7</v>
      </c>
      <c r="U32" s="1"/>
      <c r="V32" s="5">
        <f t="shared" ref="V32:V35" si="27">IF(T$12=0,0,T32/T$12)</f>
        <v>1.3579713054624638</v>
      </c>
      <c r="W32" s="1"/>
      <c r="X32" s="1">
        <f t="shared" ref="X32:X35" si="28">+P32-T32</f>
        <v>-5654.2199999999993</v>
      </c>
      <c r="Y32" s="1"/>
      <c r="Z32" s="5">
        <f t="shared" ref="Z32:Z35" si="29">IF(T32=0,0,X32/T32)</f>
        <v>-0.71448500701315432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2259.48</v>
      </c>
      <c r="E33" s="3"/>
      <c r="F33" s="7">
        <f t="shared" si="22"/>
        <v>0</v>
      </c>
      <c r="G33" s="3"/>
      <c r="H33" s="8">
        <v>4908.7</v>
      </c>
      <c r="I33" s="3"/>
      <c r="J33" s="7">
        <f t="shared" si="23"/>
        <v>0.84232075351903613</v>
      </c>
      <c r="K33" s="3"/>
      <c r="L33" s="8">
        <f t="shared" si="24"/>
        <v>-2649.22</v>
      </c>
      <c r="M33" s="3"/>
      <c r="N33" s="7">
        <f t="shared" si="25"/>
        <v>-0.53969890194959969</v>
      </c>
      <c r="O33" s="11"/>
      <c r="P33" s="8">
        <v>2259.48</v>
      </c>
      <c r="Q33" s="3"/>
      <c r="R33" s="7">
        <f t="shared" si="26"/>
        <v>0</v>
      </c>
      <c r="S33" s="3"/>
      <c r="T33" s="8">
        <v>4908.7</v>
      </c>
      <c r="U33" s="3"/>
      <c r="V33" s="7">
        <f t="shared" si="27"/>
        <v>0.84232075351903613</v>
      </c>
      <c r="W33" s="3"/>
      <c r="X33" s="8">
        <f t="shared" si="28"/>
        <v>-2649.22</v>
      </c>
      <c r="Y33" s="3"/>
      <c r="Z33" s="7">
        <f t="shared" si="29"/>
        <v>-0.53969890194959969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1008</v>
      </c>
      <c r="I34" s="3"/>
      <c r="J34" s="7">
        <f t="shared" si="23"/>
        <v>0.17297030161696345</v>
      </c>
      <c r="K34" s="3"/>
      <c r="L34" s="8">
        <f t="shared" si="24"/>
        <v>-1008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1008</v>
      </c>
      <c r="U34" s="3"/>
      <c r="V34" s="7">
        <f t="shared" si="27"/>
        <v>0.17297030161696345</v>
      </c>
      <c r="W34" s="3"/>
      <c r="X34" s="8">
        <f t="shared" si="28"/>
        <v>-1008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8"/>
      <c r="E35" s="3"/>
      <c r="F35" s="7">
        <f t="shared" si="22"/>
        <v>0</v>
      </c>
      <c r="G35" s="3"/>
      <c r="H35" s="8">
        <v>1997</v>
      </c>
      <c r="I35" s="3"/>
      <c r="J35" s="7">
        <f t="shared" si="23"/>
        <v>0.34268025032646426</v>
      </c>
      <c r="K35" s="3"/>
      <c r="L35" s="8">
        <f t="shared" si="24"/>
        <v>-1997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1997</v>
      </c>
      <c r="U35" s="3"/>
      <c r="V35" s="7">
        <f t="shared" si="27"/>
        <v>0.34268025032646426</v>
      </c>
      <c r="W35" s="3"/>
      <c r="X35" s="8">
        <f t="shared" si="28"/>
        <v>-1997</v>
      </c>
      <c r="Y35" s="3"/>
      <c r="Z35" s="7">
        <f t="shared" si="29"/>
        <v>-1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30">IF(D$12=0,0,D36/D$12)</f>
        <v>0</v>
      </c>
      <c r="G36" s="1"/>
      <c r="H36" s="1">
        <f>SUM(OSRRefH22_2x_0)</f>
        <v>457.5</v>
      </c>
      <c r="I36" s="1"/>
      <c r="J36" s="5">
        <f t="shared" ref="J36:J50" si="31">IF(H$12=0,0,H36/H$12)</f>
        <v>7.8505866061270607E-2</v>
      </c>
      <c r="K36" s="1"/>
      <c r="L36" s="1">
        <f t="shared" ref="L36:L50" si="32">+D36-H36</f>
        <v>-457.5</v>
      </c>
      <c r="M36" s="1"/>
      <c r="N36" s="5">
        <f t="shared" ref="N36:N50" si="33">IF(H36=0,0,L36/H36)</f>
        <v>-1</v>
      </c>
      <c r="O36" s="14"/>
      <c r="P36" s="1">
        <f>SUM(OSRRefP22_2x_0)</f>
        <v>0</v>
      </c>
      <c r="Q36" s="1"/>
      <c r="R36" s="5">
        <f t="shared" ref="R36:R50" si="34">IF(P$12=0,0,P36/P$12)</f>
        <v>0</v>
      </c>
      <c r="S36" s="1"/>
      <c r="T36" s="1">
        <f>SUM(OSRRefT22_2x_0)</f>
        <v>457.5</v>
      </c>
      <c r="U36" s="1"/>
      <c r="V36" s="5">
        <f t="shared" ref="V36:V50" si="35">IF(T$12=0,0,T36/T$12)</f>
        <v>7.8505866061270607E-2</v>
      </c>
      <c r="W36" s="1"/>
      <c r="X36" s="1">
        <f t="shared" ref="X36:X50" si="36">+P36-T36</f>
        <v>-457.5</v>
      </c>
      <c r="Y36" s="1"/>
      <c r="Z36" s="5">
        <f t="shared" ref="Z36:Z50" si="3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8"/>
      <c r="E37" s="3"/>
      <c r="F37" s="7">
        <f t="shared" si="30"/>
        <v>0</v>
      </c>
      <c r="G37" s="3"/>
      <c r="H37" s="8">
        <v>457.5</v>
      </c>
      <c r="I37" s="3"/>
      <c r="J37" s="7">
        <f t="shared" si="31"/>
        <v>7.8505866061270607E-2</v>
      </c>
      <c r="K37" s="3"/>
      <c r="L37" s="8">
        <f t="shared" si="32"/>
        <v>-457.5</v>
      </c>
      <c r="M37" s="3"/>
      <c r="N37" s="7">
        <f t="shared" si="33"/>
        <v>-1</v>
      </c>
      <c r="O37" s="11"/>
      <c r="P37" s="8"/>
      <c r="Q37" s="3"/>
      <c r="R37" s="7">
        <f t="shared" si="34"/>
        <v>0</v>
      </c>
      <c r="S37" s="3"/>
      <c r="T37" s="8">
        <v>457.5</v>
      </c>
      <c r="U37" s="3"/>
      <c r="V37" s="7">
        <f t="shared" si="35"/>
        <v>7.8505866061270607E-2</v>
      </c>
      <c r="W37" s="3"/>
      <c r="X37" s="8">
        <f t="shared" si="36"/>
        <v>-457.5</v>
      </c>
      <c r="Y37" s="3"/>
      <c r="Z37" s="7">
        <f t="shared" si="37"/>
        <v>-1</v>
      </c>
    </row>
    <row r="38" spans="1:26" s="27" customFormat="1" outlineLevel="1" collapsed="1" x14ac:dyDescent="0.25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30"/>
        <v>0</v>
      </c>
      <c r="G38" s="1"/>
      <c r="H38" s="1">
        <f>SUM(OSRRefH22_3x_0)</f>
        <v>-0.19</v>
      </c>
      <c r="I38" s="1"/>
      <c r="J38" s="5">
        <f t="shared" si="31"/>
        <v>-3.2603529074626049E-5</v>
      </c>
      <c r="K38" s="1"/>
      <c r="L38" s="1">
        <f t="shared" si="32"/>
        <v>0.19</v>
      </c>
      <c r="M38" s="1"/>
      <c r="N38" s="5">
        <f t="shared" si="33"/>
        <v>-1</v>
      </c>
      <c r="O38" s="14"/>
      <c r="P38" s="1">
        <f>SUM(OSRRefP22_3x_0)</f>
        <v>0</v>
      </c>
      <c r="Q38" s="1"/>
      <c r="R38" s="5">
        <f t="shared" si="34"/>
        <v>0</v>
      </c>
      <c r="S38" s="1"/>
      <c r="T38" s="1">
        <f>SUM(OSRRefT22_3x_0)</f>
        <v>-0.19</v>
      </c>
      <c r="U38" s="1"/>
      <c r="V38" s="5">
        <f t="shared" si="35"/>
        <v>-3.2603529074626049E-5</v>
      </c>
      <c r="W38" s="1"/>
      <c r="X38" s="1">
        <f t="shared" si="36"/>
        <v>0.19</v>
      </c>
      <c r="Y38" s="1"/>
      <c r="Z38" s="5">
        <f t="shared" si="37"/>
        <v>-1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8"/>
      <c r="E39" s="3"/>
      <c r="F39" s="7">
        <f t="shared" si="30"/>
        <v>0</v>
      </c>
      <c r="G39" s="3"/>
      <c r="H39" s="8">
        <v>-0.19</v>
      </c>
      <c r="I39" s="3"/>
      <c r="J39" s="7">
        <f t="shared" si="31"/>
        <v>-3.2603529074626049E-5</v>
      </c>
      <c r="K39" s="3"/>
      <c r="L39" s="8">
        <f t="shared" si="32"/>
        <v>0.19</v>
      </c>
      <c r="M39" s="3"/>
      <c r="N39" s="7">
        <f t="shared" si="33"/>
        <v>-1</v>
      </c>
      <c r="O39" s="11"/>
      <c r="P39" s="8"/>
      <c r="Q39" s="3"/>
      <c r="R39" s="7">
        <f t="shared" si="34"/>
        <v>0</v>
      </c>
      <c r="S39" s="3"/>
      <c r="T39" s="8">
        <v>-0.19</v>
      </c>
      <c r="U39" s="3"/>
      <c r="V39" s="7">
        <f t="shared" si="35"/>
        <v>-3.2603529074626049E-5</v>
      </c>
      <c r="W39" s="3"/>
      <c r="X39" s="8">
        <f t="shared" si="36"/>
        <v>0.19</v>
      </c>
      <c r="Y39" s="3"/>
      <c r="Z39" s="7">
        <f t="shared" si="37"/>
        <v>-1</v>
      </c>
    </row>
    <row r="40" spans="1:26" s="27" customFormat="1" outlineLevel="1" collapsed="1" x14ac:dyDescent="0.25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132.5</v>
      </c>
      <c r="I40" s="1"/>
      <c r="J40" s="5">
        <f t="shared" si="31"/>
        <v>2.2736671591515531E-2</v>
      </c>
      <c r="K40" s="1"/>
      <c r="L40" s="1">
        <f t="shared" si="32"/>
        <v>-132.5</v>
      </c>
      <c r="M40" s="1"/>
      <c r="N40" s="5">
        <f t="shared" si="33"/>
        <v>-1</v>
      </c>
      <c r="O40" s="14"/>
      <c r="P40" s="1">
        <f>SUM(OSRRefP22_4x_0)</f>
        <v>0</v>
      </c>
      <c r="Q40" s="1"/>
      <c r="R40" s="5">
        <f t="shared" si="34"/>
        <v>0</v>
      </c>
      <c r="S40" s="1"/>
      <c r="T40" s="1">
        <f>SUM(OSRRefT22_4x_0)</f>
        <v>132.5</v>
      </c>
      <c r="U40" s="1"/>
      <c r="V40" s="5">
        <f t="shared" si="35"/>
        <v>2.2736671591515531E-2</v>
      </c>
      <c r="W40" s="1"/>
      <c r="X40" s="1">
        <f t="shared" si="36"/>
        <v>-132.5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8"/>
      <c r="E41" s="3"/>
      <c r="F41" s="7">
        <f t="shared" si="30"/>
        <v>0</v>
      </c>
      <c r="G41" s="3"/>
      <c r="H41" s="8">
        <v>132.5</v>
      </c>
      <c r="I41" s="3"/>
      <c r="J41" s="7">
        <f t="shared" si="31"/>
        <v>2.2736671591515531E-2</v>
      </c>
      <c r="K41" s="3"/>
      <c r="L41" s="8">
        <f t="shared" si="32"/>
        <v>-132.5</v>
      </c>
      <c r="M41" s="3"/>
      <c r="N41" s="7">
        <f t="shared" si="33"/>
        <v>-1</v>
      </c>
      <c r="O41" s="11"/>
      <c r="P41" s="8"/>
      <c r="Q41" s="3"/>
      <c r="R41" s="7">
        <f t="shared" si="34"/>
        <v>0</v>
      </c>
      <c r="S41" s="3"/>
      <c r="T41" s="8">
        <v>132.5</v>
      </c>
      <c r="U41" s="3"/>
      <c r="V41" s="7">
        <f t="shared" si="35"/>
        <v>2.2736671591515531E-2</v>
      </c>
      <c r="W41" s="3"/>
      <c r="X41" s="8">
        <f t="shared" si="36"/>
        <v>-132.5</v>
      </c>
      <c r="Y41" s="3"/>
      <c r="Z41" s="7">
        <f t="shared" si="37"/>
        <v>-1</v>
      </c>
    </row>
    <row r="42" spans="1:26" s="27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58.03</v>
      </c>
      <c r="E42" s="1"/>
      <c r="F42" s="5">
        <f t="shared" si="30"/>
        <v>0</v>
      </c>
      <c r="G42" s="1"/>
      <c r="H42" s="1">
        <f>SUM(OSRRefH22_5x_0)</f>
        <v>630.21</v>
      </c>
      <c r="I42" s="1"/>
      <c r="J42" s="5">
        <f t="shared" si="31"/>
        <v>0.10814247399010569</v>
      </c>
      <c r="K42" s="1"/>
      <c r="L42" s="1">
        <f t="shared" si="32"/>
        <v>-572.18000000000006</v>
      </c>
      <c r="M42" s="1"/>
      <c r="N42" s="5">
        <f t="shared" si="33"/>
        <v>-0.90791958236143511</v>
      </c>
      <c r="O42" s="14"/>
      <c r="P42" s="1">
        <f>SUM(OSRRefP22_5x_0)</f>
        <v>58.03</v>
      </c>
      <c r="Q42" s="1"/>
      <c r="R42" s="5">
        <f t="shared" si="34"/>
        <v>0</v>
      </c>
      <c r="S42" s="1"/>
      <c r="T42" s="1">
        <f>SUM(OSRRefT22_5x_0)</f>
        <v>630.21</v>
      </c>
      <c r="U42" s="1"/>
      <c r="V42" s="5">
        <f t="shared" si="35"/>
        <v>0.10814247399010569</v>
      </c>
      <c r="W42" s="1"/>
      <c r="X42" s="1">
        <f t="shared" si="36"/>
        <v>-572.18000000000006</v>
      </c>
      <c r="Y42" s="1"/>
      <c r="Z42" s="5">
        <f t="shared" si="37"/>
        <v>-0.90791958236143511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8">
        <v>58.03</v>
      </c>
      <c r="E43" s="3"/>
      <c r="F43" s="7">
        <f t="shared" si="30"/>
        <v>0</v>
      </c>
      <c r="G43" s="3"/>
      <c r="H43" s="8">
        <v>630.21</v>
      </c>
      <c r="I43" s="3"/>
      <c r="J43" s="7">
        <f t="shared" si="31"/>
        <v>0.10814247399010569</v>
      </c>
      <c r="K43" s="3"/>
      <c r="L43" s="8">
        <f t="shared" si="32"/>
        <v>-572.18000000000006</v>
      </c>
      <c r="M43" s="3"/>
      <c r="N43" s="7">
        <f t="shared" si="33"/>
        <v>-0.90791958236143511</v>
      </c>
      <c r="O43" s="11"/>
      <c r="P43" s="8">
        <v>58.03</v>
      </c>
      <c r="Q43" s="3"/>
      <c r="R43" s="7">
        <f t="shared" si="34"/>
        <v>0</v>
      </c>
      <c r="S43" s="3"/>
      <c r="T43" s="8">
        <v>630.21</v>
      </c>
      <c r="U43" s="3"/>
      <c r="V43" s="7">
        <f t="shared" si="35"/>
        <v>0.10814247399010569</v>
      </c>
      <c r="W43" s="3"/>
      <c r="X43" s="8">
        <f t="shared" si="36"/>
        <v>-572.18000000000006</v>
      </c>
      <c r="Y43" s="3"/>
      <c r="Z43" s="7">
        <f t="shared" si="37"/>
        <v>-0.90791958236143511</v>
      </c>
    </row>
    <row r="44" spans="1:26" s="27" customFormat="1" outlineLevel="1" collapsed="1" x14ac:dyDescent="0.25">
      <c r="A44" s="28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si="30"/>
        <v>0</v>
      </c>
      <c r="G44" s="1"/>
      <c r="H44" s="1">
        <f>SUM(OSRRefH22_6x_0)</f>
        <v>749.55</v>
      </c>
      <c r="I44" s="1"/>
      <c r="J44" s="5">
        <f t="shared" si="31"/>
        <v>0.12862092219939975</v>
      </c>
      <c r="K44" s="1"/>
      <c r="L44" s="1">
        <f t="shared" si="32"/>
        <v>-749.55</v>
      </c>
      <c r="M44" s="1"/>
      <c r="N44" s="5">
        <f t="shared" si="33"/>
        <v>-1</v>
      </c>
      <c r="O44" s="14"/>
      <c r="P44" s="1">
        <f>SUM(OSRRefP22_6x_0)</f>
        <v>0</v>
      </c>
      <c r="Q44" s="1"/>
      <c r="R44" s="5">
        <f t="shared" si="34"/>
        <v>0</v>
      </c>
      <c r="S44" s="1"/>
      <c r="T44" s="1">
        <f>SUM(OSRRefT22_6x_0)</f>
        <v>749.55</v>
      </c>
      <c r="U44" s="1"/>
      <c r="V44" s="5">
        <f t="shared" si="35"/>
        <v>0.12862092219939975</v>
      </c>
      <c r="W44" s="1"/>
      <c r="X44" s="1">
        <f t="shared" si="36"/>
        <v>-749.55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"6279", " - ", "GENERAL EXPENSE")</f>
        <v xml:space="preserve">          6279 - GENERAL EXPENSE</v>
      </c>
      <c r="C45" s="11"/>
      <c r="D45" s="8"/>
      <c r="E45" s="3"/>
      <c r="F45" s="7">
        <f t="shared" si="30"/>
        <v>0</v>
      </c>
      <c r="G45" s="3"/>
      <c r="H45" s="8">
        <v>749.55</v>
      </c>
      <c r="I45" s="3"/>
      <c r="J45" s="7">
        <f t="shared" si="31"/>
        <v>0.12862092219939975</v>
      </c>
      <c r="K45" s="3"/>
      <c r="L45" s="8">
        <f t="shared" si="32"/>
        <v>-749.55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749.55</v>
      </c>
      <c r="U45" s="3"/>
      <c r="V45" s="7">
        <f t="shared" si="35"/>
        <v>0.12862092219939975</v>
      </c>
      <c r="W45" s="3"/>
      <c r="X45" s="8">
        <f t="shared" si="36"/>
        <v>-749.55</v>
      </c>
      <c r="Y45" s="3"/>
      <c r="Z45" s="7">
        <f t="shared" si="37"/>
        <v>-1</v>
      </c>
    </row>
    <row r="46" spans="1:26" s="27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0</v>
      </c>
      <c r="E46" s="1"/>
      <c r="F46" s="5">
        <f t="shared" si="30"/>
        <v>0</v>
      </c>
      <c r="G46" s="1"/>
      <c r="H46" s="1">
        <f>SUM(OSRRefH22_7x_0)</f>
        <v>2819.21</v>
      </c>
      <c r="I46" s="1"/>
      <c r="J46" s="5">
        <f t="shared" si="31"/>
        <v>0.48376944843408681</v>
      </c>
      <c r="K46" s="1"/>
      <c r="L46" s="1">
        <f t="shared" si="32"/>
        <v>-2819.21</v>
      </c>
      <c r="M46" s="1"/>
      <c r="N46" s="5">
        <f t="shared" si="33"/>
        <v>-1</v>
      </c>
      <c r="O46" s="14"/>
      <c r="P46" s="1">
        <f>SUM(OSRRefP22_7x_0)</f>
        <v>0</v>
      </c>
      <c r="Q46" s="1"/>
      <c r="R46" s="5">
        <f t="shared" si="34"/>
        <v>0</v>
      </c>
      <c r="S46" s="1"/>
      <c r="T46" s="1">
        <f>SUM(OSRRefT22_7x_0)</f>
        <v>2819.21</v>
      </c>
      <c r="U46" s="1"/>
      <c r="V46" s="5">
        <f t="shared" si="35"/>
        <v>0.48376944843408681</v>
      </c>
      <c r="W46" s="1"/>
      <c r="X46" s="1">
        <f t="shared" si="36"/>
        <v>-2819.21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8"/>
      <c r="E47" s="3"/>
      <c r="F47" s="7">
        <f t="shared" si="30"/>
        <v>0</v>
      </c>
      <c r="G47" s="3"/>
      <c r="H47" s="8">
        <v>2819.21</v>
      </c>
      <c r="I47" s="3"/>
      <c r="J47" s="7">
        <f t="shared" si="31"/>
        <v>0.48376944843408681</v>
      </c>
      <c r="K47" s="3"/>
      <c r="L47" s="8">
        <f t="shared" si="32"/>
        <v>-2819.21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2819.21</v>
      </c>
      <c r="U47" s="3"/>
      <c r="V47" s="7">
        <f t="shared" si="35"/>
        <v>0.48376944843408681</v>
      </c>
      <c r="W47" s="3"/>
      <c r="X47" s="8">
        <f t="shared" si="36"/>
        <v>-2819.21</v>
      </c>
      <c r="Y47" s="3"/>
      <c r="Z47" s="7">
        <f t="shared" si="37"/>
        <v>-1</v>
      </c>
    </row>
    <row r="48" spans="1:26" s="27" customFormat="1" outlineLevel="1" collapsed="1" x14ac:dyDescent="0.25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286.62</v>
      </c>
      <c r="E48" s="1"/>
      <c r="F48" s="5">
        <f t="shared" si="30"/>
        <v>0</v>
      </c>
      <c r="G48" s="1"/>
      <c r="H48" s="1">
        <f>SUM(OSRRefH22_8x_0)</f>
        <v>6.5</v>
      </c>
      <c r="I48" s="1"/>
      <c r="J48" s="5">
        <f t="shared" si="31"/>
        <v>1.1153838893951016E-3</v>
      </c>
      <c r="K48" s="1"/>
      <c r="L48" s="1">
        <f t="shared" si="32"/>
        <v>280.12</v>
      </c>
      <c r="M48" s="1"/>
      <c r="N48" s="5">
        <f t="shared" si="33"/>
        <v>43.095384615384617</v>
      </c>
      <c r="O48" s="14"/>
      <c r="P48" s="1">
        <f>SUM(OSRRefP22_8x_0)</f>
        <v>286.62</v>
      </c>
      <c r="Q48" s="1"/>
      <c r="R48" s="5">
        <f t="shared" si="34"/>
        <v>0</v>
      </c>
      <c r="S48" s="1"/>
      <c r="T48" s="1">
        <f>SUM(OSRRefT22_8x_0)</f>
        <v>6.5</v>
      </c>
      <c r="U48" s="1"/>
      <c r="V48" s="5">
        <f t="shared" si="35"/>
        <v>1.1153838893951016E-3</v>
      </c>
      <c r="W48" s="1"/>
      <c r="X48" s="1">
        <f t="shared" si="36"/>
        <v>280.12</v>
      </c>
      <c r="Y48" s="1"/>
      <c r="Z48" s="5">
        <f t="shared" si="37"/>
        <v>43.095384615384617</v>
      </c>
    </row>
    <row r="49" spans="1:26" s="24" customFormat="1" hidden="1" outlineLevel="2" x14ac:dyDescent="0.25">
      <c r="A49" s="29"/>
      <c r="B49" s="11" t="str">
        <f>CONCATENATE("          ", "6282", " - ", "JANITORIAL/EXTERMINATOR EXPENS")</f>
        <v xml:space="preserve">          6282 - JANITORIAL/EXTERMINATOR EXPENS</v>
      </c>
      <c r="C49" s="11"/>
      <c r="D49" s="8">
        <v>286.62</v>
      </c>
      <c r="E49" s="3"/>
      <c r="F49" s="7">
        <f t="shared" si="30"/>
        <v>0</v>
      </c>
      <c r="G49" s="3"/>
      <c r="H49" s="8"/>
      <c r="I49" s="3"/>
      <c r="J49" s="7">
        <f t="shared" si="31"/>
        <v>0</v>
      </c>
      <c r="K49" s="3"/>
      <c r="L49" s="8">
        <f t="shared" si="32"/>
        <v>286.62</v>
      </c>
      <c r="M49" s="3"/>
      <c r="N49" s="7">
        <f t="shared" si="33"/>
        <v>0</v>
      </c>
      <c r="O49" s="11"/>
      <c r="P49" s="8">
        <v>286.62</v>
      </c>
      <c r="Q49" s="3"/>
      <c r="R49" s="7">
        <f t="shared" si="34"/>
        <v>0</v>
      </c>
      <c r="S49" s="3"/>
      <c r="T49" s="8"/>
      <c r="U49" s="3"/>
      <c r="V49" s="7">
        <f t="shared" si="35"/>
        <v>0</v>
      </c>
      <c r="W49" s="3"/>
      <c r="X49" s="8">
        <f t="shared" si="36"/>
        <v>286.62</v>
      </c>
      <c r="Y49" s="3"/>
      <c r="Z49" s="7">
        <f t="shared" si="37"/>
        <v>0</v>
      </c>
    </row>
    <row r="50" spans="1:26" s="24" customFormat="1" hidden="1" outlineLevel="2" x14ac:dyDescent="0.25">
      <c r="A50" s="29"/>
      <c r="B50" s="11" t="str">
        <f>CONCATENATE("          ", "6286", " - ", "LAUNDRY EXPENSE")</f>
        <v xml:space="preserve">          6286 - LAUNDRY EXPENSE</v>
      </c>
      <c r="C50" s="11"/>
      <c r="D50" s="8"/>
      <c r="E50" s="3"/>
      <c r="F50" s="7">
        <f t="shared" si="30"/>
        <v>0</v>
      </c>
      <c r="G50" s="3"/>
      <c r="H50" s="8">
        <v>6.5</v>
      </c>
      <c r="I50" s="3"/>
      <c r="J50" s="7">
        <f t="shared" si="31"/>
        <v>1.1153838893951016E-3</v>
      </c>
      <c r="K50" s="3"/>
      <c r="L50" s="8">
        <f t="shared" si="32"/>
        <v>-6.5</v>
      </c>
      <c r="M50" s="3"/>
      <c r="N50" s="7">
        <f t="shared" si="33"/>
        <v>-1</v>
      </c>
      <c r="O50" s="11"/>
      <c r="P50" s="8"/>
      <c r="Q50" s="3"/>
      <c r="R50" s="7">
        <f t="shared" si="34"/>
        <v>0</v>
      </c>
      <c r="S50" s="3"/>
      <c r="T50" s="8">
        <v>6.5</v>
      </c>
      <c r="U50" s="3"/>
      <c r="V50" s="7">
        <f t="shared" si="35"/>
        <v>1.1153838893951016E-3</v>
      </c>
      <c r="W50" s="3"/>
      <c r="X50" s="8">
        <f t="shared" si="36"/>
        <v>-6.5</v>
      </c>
      <c r="Y50" s="3"/>
      <c r="Z50" s="7">
        <f t="shared" si="37"/>
        <v>-1</v>
      </c>
    </row>
    <row r="51" spans="1:26" s="27" customFormat="1" outlineLevel="1" collapsed="1" x14ac:dyDescent="0.25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SUM(OSRRefD22_9x_0)</f>
        <v>0</v>
      </c>
      <c r="E51" s="1"/>
      <c r="F51" s="5">
        <f t="shared" ref="F51:F53" si="38">IF(D$12=0,0,D51/D$12)</f>
        <v>0</v>
      </c>
      <c r="G51" s="1"/>
      <c r="H51" s="1">
        <f>SUM(OSRRefH22_9x_0)</f>
        <v>583.47</v>
      </c>
      <c r="I51" s="1"/>
      <c r="J51" s="5">
        <f t="shared" ref="J51:J53" si="39">IF(H$12=0,0,H51/H$12)</f>
        <v>0.10012200583774768</v>
      </c>
      <c r="K51" s="1"/>
      <c r="L51" s="1">
        <f t="shared" ref="L51:L53" si="40">+D51-H51</f>
        <v>-583.47</v>
      </c>
      <c r="M51" s="1"/>
      <c r="N51" s="5">
        <f t="shared" ref="N51:N53" si="41">IF(H51=0,0,L51/H51)</f>
        <v>-1</v>
      </c>
      <c r="O51" s="14"/>
      <c r="P51" s="1">
        <f>SUM(OSRRefP22_9x_0)</f>
        <v>0</v>
      </c>
      <c r="Q51" s="1"/>
      <c r="R51" s="5">
        <f t="shared" ref="R51:R53" si="42">IF(P$12=0,0,P51/P$12)</f>
        <v>0</v>
      </c>
      <c r="S51" s="1"/>
      <c r="T51" s="1">
        <f>SUM(OSRRefT22_9x_0)</f>
        <v>583.47</v>
      </c>
      <c r="U51" s="1"/>
      <c r="V51" s="5">
        <f t="shared" ref="V51:V53" si="43">IF(T$12=0,0,T51/T$12)</f>
        <v>0.10012200583774768</v>
      </c>
      <c r="W51" s="1"/>
      <c r="X51" s="1">
        <f t="shared" ref="X51:X53" si="44">+P51-T51</f>
        <v>-583.47</v>
      </c>
      <c r="Y51" s="1"/>
      <c r="Z51" s="5">
        <f t="shared" ref="Z51:Z53" si="45">IF(T51=0,0,X51/T51)</f>
        <v>-1</v>
      </c>
    </row>
    <row r="52" spans="1:26" s="24" customFormat="1" hidden="1" outlineLevel="2" x14ac:dyDescent="0.25">
      <c r="A52" s="29"/>
      <c r="B52" s="11" t="str">
        <f>CONCATENATE("          ", "6239", " - ", "KITCHEN SUPPLIES")</f>
        <v xml:space="preserve">          6239 - KITCHEN SUPPLIES</v>
      </c>
      <c r="C52" s="11"/>
      <c r="D52" s="8"/>
      <c r="E52" s="3"/>
      <c r="F52" s="7">
        <f t="shared" si="38"/>
        <v>0</v>
      </c>
      <c r="G52" s="3"/>
      <c r="H52" s="8">
        <v>540.89</v>
      </c>
      <c r="I52" s="3"/>
      <c r="J52" s="7">
        <f t="shared" si="39"/>
        <v>9.2815383374602531E-2</v>
      </c>
      <c r="K52" s="3"/>
      <c r="L52" s="8">
        <f t="shared" si="40"/>
        <v>-540.89</v>
      </c>
      <c r="M52" s="3"/>
      <c r="N52" s="7">
        <f t="shared" si="41"/>
        <v>-1</v>
      </c>
      <c r="O52" s="11"/>
      <c r="P52" s="8"/>
      <c r="Q52" s="3"/>
      <c r="R52" s="7">
        <f t="shared" si="42"/>
        <v>0</v>
      </c>
      <c r="S52" s="3"/>
      <c r="T52" s="8">
        <v>540.89</v>
      </c>
      <c r="U52" s="3"/>
      <c r="V52" s="7">
        <f t="shared" si="43"/>
        <v>9.2815383374602531E-2</v>
      </c>
      <c r="W52" s="3"/>
      <c r="X52" s="8">
        <f t="shared" si="44"/>
        <v>-540.89</v>
      </c>
      <c r="Y52" s="3"/>
      <c r="Z52" s="7">
        <f t="shared" si="45"/>
        <v>-1</v>
      </c>
    </row>
    <row r="53" spans="1:26" s="24" customFormat="1" hidden="1" outlineLevel="2" x14ac:dyDescent="0.25">
      <c r="A53" s="29"/>
      <c r="B53" s="11" t="str">
        <f>CONCATENATE("          ", "6243", " - ", "PAPER SUPPLIES")</f>
        <v xml:space="preserve">          6243 - PAPER SUPPLIES</v>
      </c>
      <c r="C53" s="11"/>
      <c r="D53" s="8"/>
      <c r="E53" s="3"/>
      <c r="F53" s="7">
        <f t="shared" si="38"/>
        <v>0</v>
      </c>
      <c r="G53" s="3"/>
      <c r="H53" s="8">
        <v>42.58</v>
      </c>
      <c r="I53" s="3"/>
      <c r="J53" s="7">
        <f t="shared" si="39"/>
        <v>7.3066224631451416E-3</v>
      </c>
      <c r="K53" s="3"/>
      <c r="L53" s="8">
        <f t="shared" si="40"/>
        <v>-42.58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42.58</v>
      </c>
      <c r="U53" s="3"/>
      <c r="V53" s="7">
        <f t="shared" si="43"/>
        <v>7.3066224631451416E-3</v>
      </c>
      <c r="W53" s="3"/>
      <c r="X53" s="8">
        <f t="shared" si="44"/>
        <v>-42.58</v>
      </c>
      <c r="Y53" s="3"/>
      <c r="Z53" s="7">
        <f t="shared" si="45"/>
        <v>-1</v>
      </c>
    </row>
    <row r="54" spans="1:26" s="27" customFormat="1" outlineLevel="1" collapsed="1" x14ac:dyDescent="0.25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SUM(OSRRefD22_10x_0)</f>
        <v>21</v>
      </c>
      <c r="E54" s="1"/>
      <c r="F54" s="5">
        <f t="shared" ref="F54:F55" si="46">IF(D$12=0,0,D54/D$12)</f>
        <v>0</v>
      </c>
      <c r="G54" s="1"/>
      <c r="H54" s="1">
        <f>SUM(OSRRefH22_10x_0)</f>
        <v>-3</v>
      </c>
      <c r="I54" s="1"/>
      <c r="J54" s="5">
        <f t="shared" ref="J54:J55" si="47">IF(H$12=0,0,H54/H$12)</f>
        <v>-5.1479256433620074E-4</v>
      </c>
      <c r="K54" s="1"/>
      <c r="L54" s="1">
        <f t="shared" ref="L54:L55" si="48">+D54-H54</f>
        <v>24</v>
      </c>
      <c r="M54" s="1"/>
      <c r="N54" s="5">
        <f t="shared" ref="N54:N55" si="49">IF(H54=0,0,L54/H54)</f>
        <v>-8</v>
      </c>
      <c r="O54" s="14"/>
      <c r="P54" s="1">
        <f>SUM(OSRRefP22_10x_0)</f>
        <v>21</v>
      </c>
      <c r="Q54" s="1"/>
      <c r="R54" s="5">
        <f t="shared" ref="R54:R55" si="50">IF(P$12=0,0,P54/P$12)</f>
        <v>0</v>
      </c>
      <c r="S54" s="1"/>
      <c r="T54" s="1">
        <f>SUM(OSRRefT22_10x_0)</f>
        <v>-3</v>
      </c>
      <c r="U54" s="1"/>
      <c r="V54" s="5">
        <f t="shared" ref="V54:V55" si="51">IF(T$12=0,0,T54/T$12)</f>
        <v>-5.1479256433620074E-4</v>
      </c>
      <c r="W54" s="1"/>
      <c r="X54" s="1">
        <f t="shared" ref="X54:X55" si="52">+P54-T54</f>
        <v>24</v>
      </c>
      <c r="Y54" s="1"/>
      <c r="Z54" s="5">
        <f t="shared" ref="Z54:Z55" si="53">IF(T54=0,0,X54/T54)</f>
        <v>-8</v>
      </c>
    </row>
    <row r="55" spans="1:26" s="24" customFormat="1" hidden="1" outlineLevel="2" x14ac:dyDescent="0.25">
      <c r="A55" s="29"/>
      <c r="B55" s="11" t="str">
        <f>CONCATENATE("          ", "6309", " - ", "TELEPHONE")</f>
        <v xml:space="preserve">          6309 - TELEPHONE</v>
      </c>
      <c r="C55" s="11"/>
      <c r="D55" s="8">
        <v>21</v>
      </c>
      <c r="E55" s="3"/>
      <c r="F55" s="7">
        <f t="shared" si="46"/>
        <v>0</v>
      </c>
      <c r="G55" s="3"/>
      <c r="H55" s="8">
        <v>-3</v>
      </c>
      <c r="I55" s="3"/>
      <c r="J55" s="7">
        <f t="shared" si="47"/>
        <v>-5.1479256433620074E-4</v>
      </c>
      <c r="K55" s="3"/>
      <c r="L55" s="8">
        <f t="shared" si="48"/>
        <v>24</v>
      </c>
      <c r="M55" s="3"/>
      <c r="N55" s="7">
        <f t="shared" si="49"/>
        <v>-8</v>
      </c>
      <c r="O55" s="11"/>
      <c r="P55" s="8">
        <v>21</v>
      </c>
      <c r="Q55" s="3"/>
      <c r="R55" s="7">
        <f t="shared" si="50"/>
        <v>0</v>
      </c>
      <c r="S55" s="3"/>
      <c r="T55" s="8">
        <v>-3</v>
      </c>
      <c r="U55" s="3"/>
      <c r="V55" s="7">
        <f t="shared" si="51"/>
        <v>-5.1479256433620074E-4</v>
      </c>
      <c r="W55" s="3"/>
      <c r="X55" s="8">
        <f t="shared" si="52"/>
        <v>24</v>
      </c>
      <c r="Y55" s="3"/>
      <c r="Z55" s="7">
        <f t="shared" si="53"/>
        <v>-8</v>
      </c>
    </row>
    <row r="56" spans="1:26" s="61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0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O58" s="10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x14ac:dyDescent="0.25">
      <c r="A59" s="10"/>
      <c r="B59" s="26" t="s">
        <v>3</v>
      </c>
      <c r="C59" s="26"/>
      <c r="D59" s="19">
        <f>+D20-D22+D57</f>
        <v>-4118.5600000000004</v>
      </c>
      <c r="E59" s="13"/>
      <c r="F59" s="20">
        <f>IF(D$12=0,0,D59/D$12)</f>
        <v>0</v>
      </c>
      <c r="G59" s="13"/>
      <c r="H59" s="19">
        <f>+H20-H22+H57</f>
        <v>-13545.550000000001</v>
      </c>
      <c r="I59" s="13"/>
      <c r="J59" s="20">
        <f>IF(H$12=0,0,H59/H$12)</f>
        <v>-2.3243828066147412</v>
      </c>
      <c r="K59" s="16"/>
      <c r="L59" s="19">
        <f>+D59-H59</f>
        <v>9426.9900000000016</v>
      </c>
      <c r="M59" s="16"/>
      <c r="N59" s="20">
        <f>IF(H59=0,0,L59/H59)</f>
        <v>-0.69594737755203739</v>
      </c>
      <c r="O59" s="25"/>
      <c r="P59" s="19">
        <f>+P20-P22+P57</f>
        <v>-4118.5600000000004</v>
      </c>
      <c r="Q59" s="13"/>
      <c r="R59" s="20">
        <f>IF(P$12=0,0,P59/P$12)</f>
        <v>0</v>
      </c>
      <c r="S59" s="13"/>
      <c r="T59" s="19">
        <f>+T20-T22+T57</f>
        <v>-13545.550000000001</v>
      </c>
      <c r="U59" s="13"/>
      <c r="V59" s="20">
        <f>IF(T$12=0,0,T59/T$12)</f>
        <v>-2.3243828066147412</v>
      </c>
      <c r="W59" s="16"/>
      <c r="X59" s="19">
        <f>+P59-T59</f>
        <v>9426.9900000000016</v>
      </c>
      <c r="Y59" s="16"/>
      <c r="Z59" s="20">
        <f>IF(T59=0,0,X59/T59)</f>
        <v>-0.69594737755203739</v>
      </c>
    </row>
    <row r="60" spans="1:26" x14ac:dyDescent="0.25">
      <c r="A60" s="9"/>
      <c r="B60" s="10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x14ac:dyDescent="0.25">
      <c r="A61" s="51"/>
      <c r="B61" s="10" t="s">
        <v>13</v>
      </c>
      <c r="C61" s="10"/>
      <c r="D61" s="4"/>
      <c r="E61" s="4"/>
      <c r="F61" s="12">
        <f>IF(D$12=0,0,D61/D$12)</f>
        <v>0</v>
      </c>
      <c r="G61" s="4"/>
      <c r="H61" s="4">
        <v>1211.73</v>
      </c>
      <c r="I61" s="4"/>
      <c r="J61" s="12">
        <f>IF(H$12=0,0,H61/H$12)</f>
        <v>0.20792986466103483</v>
      </c>
      <c r="K61" s="4"/>
      <c r="L61" s="4">
        <f>+D61-H61</f>
        <v>-1211.73</v>
      </c>
      <c r="M61" s="4"/>
      <c r="N61" s="12">
        <f>IF(H61=0,0,L61/H61)</f>
        <v>-1</v>
      </c>
      <c r="O61" s="10"/>
      <c r="P61" s="4"/>
      <c r="Q61" s="4"/>
      <c r="R61" s="12">
        <f>IF(P$12=0,0,P61/P$12)</f>
        <v>0</v>
      </c>
      <c r="S61" s="4"/>
      <c r="T61" s="4">
        <v>1211.73</v>
      </c>
      <c r="U61" s="4"/>
      <c r="V61" s="12">
        <f>IF(T$12=0,0,T61/T$12)</f>
        <v>0.20792986466103483</v>
      </c>
      <c r="W61" s="4"/>
      <c r="X61" s="4">
        <f>+P61-T61</f>
        <v>-1211.73</v>
      </c>
      <c r="Y61" s="4"/>
      <c r="Z61" s="12">
        <f>IF(T61=0,0,X61/T61)</f>
        <v>-1</v>
      </c>
    </row>
    <row r="62" spans="1:26" x14ac:dyDescent="0.25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ht="15.75" thickBot="1" x14ac:dyDescent="0.3">
      <c r="A63" s="10"/>
      <c r="B63" s="26" t="s">
        <v>4</v>
      </c>
      <c r="C63" s="26"/>
      <c r="D63" s="35">
        <f>+D59-D61</f>
        <v>-4118.5600000000004</v>
      </c>
      <c r="E63" s="13"/>
      <c r="F63" s="30">
        <f>IF(D$12=0,0,D63/D$12)</f>
        <v>0</v>
      </c>
      <c r="G63" s="13"/>
      <c r="H63" s="35">
        <f>+H59-H61</f>
        <v>-14757.28</v>
      </c>
      <c r="I63" s="13"/>
      <c r="J63" s="30">
        <f>IF(H$12=0,0,H63/H$12)</f>
        <v>-2.532312671275776</v>
      </c>
      <c r="K63" s="16"/>
      <c r="L63" s="35">
        <f>D63-H63</f>
        <v>10638.720000000001</v>
      </c>
      <c r="M63" s="16"/>
      <c r="N63" s="30">
        <f>IF(H63=0,0,L63/H63)</f>
        <v>-0.7209133390435094</v>
      </c>
      <c r="O63" s="25"/>
      <c r="P63" s="35">
        <f>+P59-P61</f>
        <v>-4118.5600000000004</v>
      </c>
      <c r="Q63" s="13"/>
      <c r="R63" s="30">
        <f>IF(P$12=0,0,P63/P$12)</f>
        <v>0</v>
      </c>
      <c r="S63" s="13"/>
      <c r="T63" s="35">
        <f>+T59-T61</f>
        <v>-14757.28</v>
      </c>
      <c r="U63" s="13"/>
      <c r="V63" s="30">
        <f>IF(T$12=0,0,T63/T$12)</f>
        <v>-2.532312671275776</v>
      </c>
      <c r="W63" s="16"/>
      <c r="X63" s="35">
        <f>P63-T63</f>
        <v>10638.720000000001</v>
      </c>
      <c r="Y63" s="16"/>
      <c r="Z63" s="30">
        <f>IF(T63=0,0,X63/T63)</f>
        <v>-0.7209133390435094</v>
      </c>
    </row>
    <row r="64" spans="1:26" ht="15.75" thickTop="1" x14ac:dyDescent="0.25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x14ac:dyDescent="0.25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.75" thickBot="1" x14ac:dyDescent="0.3">
      <c r="A66" s="10"/>
      <c r="B66" s="26" t="s">
        <v>5</v>
      </c>
      <c r="C66" s="26"/>
      <c r="D66" s="31">
        <f>SUM(D63:D65)</f>
        <v>-4118.5600000000004</v>
      </c>
      <c r="E66" s="13"/>
      <c r="F66" s="32">
        <f>IF(D$12=0,0,D66/D$12)</f>
        <v>0</v>
      </c>
      <c r="G66" s="13"/>
      <c r="H66" s="31">
        <f>SUM(H63:H65)</f>
        <v>-14757.28</v>
      </c>
      <c r="I66" s="13"/>
      <c r="J66" s="32">
        <f>IF(H$12=0,0,H66/H$12)</f>
        <v>-2.532312671275776</v>
      </c>
      <c r="K66" s="16"/>
      <c r="L66" s="31">
        <f>+D66-H66</f>
        <v>10638.720000000001</v>
      </c>
      <c r="M66" s="16"/>
      <c r="N66" s="32">
        <f>IF(H66=0,0,L66/H66)</f>
        <v>-0.7209133390435094</v>
      </c>
      <c r="O66" s="25"/>
      <c r="P66" s="31">
        <f>SUM(P63:P65)</f>
        <v>-4118.5600000000004</v>
      </c>
      <c r="Q66" s="13"/>
      <c r="R66" s="32">
        <f>IF(P$12=0,0,P66/P$12)</f>
        <v>0</v>
      </c>
      <c r="S66" s="13"/>
      <c r="T66" s="31">
        <f>SUM(T63:T65)</f>
        <v>-14757.28</v>
      </c>
      <c r="U66" s="13"/>
      <c r="V66" s="32">
        <f>IF(T$12=0,0,T66/T$12)</f>
        <v>-2.532312671275776</v>
      </c>
      <c r="W66" s="16"/>
      <c r="X66" s="31">
        <f>+P66-T66</f>
        <v>10638.720000000001</v>
      </c>
      <c r="Y66" s="16"/>
      <c r="Z66" s="32">
        <f>IF(T66=0,0,X66/T66)</f>
        <v>-0.7209133390435094</v>
      </c>
    </row>
    <row r="67" spans="1:26" ht="15.75" thickTop="1" x14ac:dyDescent="0.25">
      <c r="A67" s="9"/>
      <c r="C67" s="9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59">
        <v>44109.414636076392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62" t="s">
        <v>313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974.91</v>
      </c>
      <c r="E12" s="4"/>
      <c r="F12" s="12"/>
      <c r="G12" s="4"/>
      <c r="H12" s="4">
        <f>SUM(OSRRefH13x_0)</f>
        <v>17961.349999999999</v>
      </c>
      <c r="I12" s="4"/>
      <c r="J12" s="12"/>
      <c r="K12" s="4"/>
      <c r="L12" s="4">
        <f t="shared" ref="L12:L14" si="0">+D12-H12</f>
        <v>-16986.439999999999</v>
      </c>
      <c r="M12" s="4"/>
      <c r="N12" s="12">
        <f t="shared" ref="N12:N14" si="1">IF(H12=0,0,L12/H12)</f>
        <v>-0.94572178594593392</v>
      </c>
      <c r="O12" s="10"/>
      <c r="P12" s="4">
        <f>SUM(OSRRefP13x_0)</f>
        <v>974.91</v>
      </c>
      <c r="Q12" s="4"/>
      <c r="R12" s="12"/>
      <c r="S12" s="4"/>
      <c r="T12" s="4">
        <f>SUM(OSRRefT13x_0)</f>
        <v>17961.349999999999</v>
      </c>
      <c r="U12" s="4"/>
      <c r="V12" s="12"/>
      <c r="W12" s="4"/>
      <c r="X12" s="4">
        <f t="shared" ref="X12:X14" si="2">+P12-T12</f>
        <v>-16986.439999999999</v>
      </c>
      <c r="Y12" s="4"/>
      <c r="Z12" s="12">
        <f t="shared" ref="Z12:Z14" si="3">IF(T12=0,0,X12/T12)</f>
        <v>-0.94572178594593392</v>
      </c>
    </row>
    <row r="13" spans="1:26" s="24" customFormat="1" hidden="1" outlineLevel="1" x14ac:dyDescent="0.25">
      <c r="A13" s="50"/>
      <c r="B13" s="11" t="str">
        <f>CONCATENATE("          ", "4058", " - ", "TAXABLE SALES-FOOD")</f>
        <v xml:space="preserve">          4058 - TAXABLE SALES-FOOD</v>
      </c>
      <c r="C13" s="11"/>
      <c r="D13" s="3">
        <f>--974.91</f>
        <v>974.91</v>
      </c>
      <c r="E13" s="3"/>
      <c r="F13" s="22"/>
      <c r="G13" s="3"/>
      <c r="H13" s="3">
        <f>--8401.66</f>
        <v>8401.66</v>
      </c>
      <c r="I13" s="3"/>
      <c r="J13" s="22"/>
      <c r="K13" s="3"/>
      <c r="L13" s="3">
        <f t="shared" si="0"/>
        <v>-7426.75</v>
      </c>
      <c r="M13" s="3"/>
      <c r="N13" s="22">
        <f t="shared" si="1"/>
        <v>-0.88396221699045185</v>
      </c>
      <c r="O13" s="11"/>
      <c r="P13" s="3">
        <f>--974.91</f>
        <v>974.91</v>
      </c>
      <c r="Q13" s="3"/>
      <c r="R13" s="22"/>
      <c r="S13" s="3"/>
      <c r="T13" s="3">
        <f>--8401.66</f>
        <v>8401.66</v>
      </c>
      <c r="U13" s="3"/>
      <c r="V13" s="22"/>
      <c r="W13" s="3"/>
      <c r="X13" s="3">
        <f t="shared" si="2"/>
        <v>-7426.75</v>
      </c>
      <c r="Y13" s="3"/>
      <c r="Z13" s="22">
        <f t="shared" si="3"/>
        <v>-0.88396221699045185</v>
      </c>
    </row>
    <row r="14" spans="1:26" s="24" customFormat="1" hidden="1" outlineLevel="1" x14ac:dyDescent="0.25">
      <c r="A14" s="50"/>
      <c r="B14" s="11" t="str">
        <f>CONCATENATE("          ", "4158", " - ", "NON-TAXABLE SALES-FOOD")</f>
        <v xml:space="preserve">          4158 - NON-TAXABLE SALES-FOOD</v>
      </c>
      <c r="C14" s="11"/>
      <c r="D14" s="3">
        <f>0</f>
        <v>0</v>
      </c>
      <c r="E14" s="3"/>
      <c r="F14" s="22"/>
      <c r="G14" s="3"/>
      <c r="H14" s="3">
        <f>--9559.69</f>
        <v>9559.69</v>
      </c>
      <c r="I14" s="3"/>
      <c r="J14" s="22"/>
      <c r="K14" s="3"/>
      <c r="L14" s="3">
        <f t="shared" si="0"/>
        <v>-9559.69</v>
      </c>
      <c r="M14" s="3"/>
      <c r="N14" s="22">
        <f t="shared" si="1"/>
        <v>-1</v>
      </c>
      <c r="O14" s="11"/>
      <c r="P14" s="3">
        <f>0</f>
        <v>0</v>
      </c>
      <c r="Q14" s="3"/>
      <c r="R14" s="22"/>
      <c r="S14" s="3"/>
      <c r="T14" s="3">
        <f>--9559.69</f>
        <v>9559.69</v>
      </c>
      <c r="U14" s="3"/>
      <c r="V14" s="22"/>
      <c r="W14" s="3"/>
      <c r="X14" s="3">
        <f t="shared" si="2"/>
        <v>-9559.69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4">IF(D$12=0,0,D16/D$12)</f>
        <v>0</v>
      </c>
      <c r="G16" s="4"/>
      <c r="H16" s="4">
        <f>SUM(OSRRefH16x_0)</f>
        <v>8256.07</v>
      </c>
      <c r="I16" s="4"/>
      <c r="J16" s="12">
        <f t="shared" ref="J16:J18" si="5">IF(H$12=0,0,H16/H$12)</f>
        <v>0.45965754244530621</v>
      </c>
      <c r="K16" s="4"/>
      <c r="L16" s="4">
        <f t="shared" ref="L16:L18" si="6">+D16-H16</f>
        <v>-8256.07</v>
      </c>
      <c r="M16" s="4"/>
      <c r="N16" s="12">
        <f t="shared" ref="N16:N18" si="7">IF(H16=0,0,L16/H16)</f>
        <v>-1</v>
      </c>
      <c r="O16" s="10"/>
      <c r="P16" s="4">
        <f>SUM(OSRRefP16x_0)</f>
        <v>0</v>
      </c>
      <c r="Q16" s="4"/>
      <c r="R16" s="12">
        <f t="shared" ref="R16:R18" si="8">IF(P$12=0,0,P16/P$12)</f>
        <v>0</v>
      </c>
      <c r="S16" s="4"/>
      <c r="T16" s="4">
        <f>SUM(OSRRefT16x_0)</f>
        <v>8256.07</v>
      </c>
      <c r="U16" s="4"/>
      <c r="V16" s="12">
        <f t="shared" ref="V16:V18" si="9">IF(T$12=0,0,T16/T$12)</f>
        <v>0.45965754244530621</v>
      </c>
      <c r="W16" s="4"/>
      <c r="X16" s="4">
        <f t="shared" ref="X16:X18" si="10">+P16-T16</f>
        <v>-8256.07</v>
      </c>
      <c r="Y16" s="4"/>
      <c r="Z16" s="12">
        <f t="shared" ref="Z16:Z18" si="11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4"/>
        <v>0</v>
      </c>
      <c r="G17" s="3"/>
      <c r="H17" s="3">
        <v>6729.07</v>
      </c>
      <c r="I17" s="3"/>
      <c r="J17" s="22">
        <f t="shared" si="5"/>
        <v>0.37464166112235442</v>
      </c>
      <c r="K17" s="3"/>
      <c r="L17" s="3">
        <f t="shared" si="6"/>
        <v>-6729.07</v>
      </c>
      <c r="M17" s="3"/>
      <c r="N17" s="22">
        <f t="shared" si="7"/>
        <v>-1</v>
      </c>
      <c r="O17" s="11"/>
      <c r="P17" s="3"/>
      <c r="Q17" s="3"/>
      <c r="R17" s="22">
        <f t="shared" si="8"/>
        <v>0</v>
      </c>
      <c r="S17" s="3"/>
      <c r="T17" s="3">
        <v>6729.07</v>
      </c>
      <c r="U17" s="3"/>
      <c r="V17" s="22">
        <f t="shared" si="9"/>
        <v>0.37464166112235442</v>
      </c>
      <c r="W17" s="3"/>
      <c r="X17" s="3">
        <f t="shared" si="10"/>
        <v>-6729.07</v>
      </c>
      <c r="Y17" s="3"/>
      <c r="Z17" s="22">
        <f t="shared" si="11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4"/>
        <v>0</v>
      </c>
      <c r="G18" s="3"/>
      <c r="H18" s="3">
        <v>1527</v>
      </c>
      <c r="I18" s="3"/>
      <c r="J18" s="22">
        <f t="shared" si="5"/>
        <v>8.5015881322951792E-2</v>
      </c>
      <c r="K18" s="3"/>
      <c r="L18" s="3">
        <f t="shared" si="6"/>
        <v>-1527</v>
      </c>
      <c r="M18" s="3"/>
      <c r="N18" s="22">
        <f t="shared" si="7"/>
        <v>-1</v>
      </c>
      <c r="O18" s="11"/>
      <c r="P18" s="3"/>
      <c r="Q18" s="3"/>
      <c r="R18" s="22">
        <f t="shared" si="8"/>
        <v>0</v>
      </c>
      <c r="S18" s="3"/>
      <c r="T18" s="3">
        <v>1527</v>
      </c>
      <c r="U18" s="3"/>
      <c r="V18" s="22">
        <f t="shared" si="9"/>
        <v>8.5015881322951792E-2</v>
      </c>
      <c r="W18" s="3"/>
      <c r="X18" s="3">
        <f t="shared" si="10"/>
        <v>-1527</v>
      </c>
      <c r="Y18" s="3"/>
      <c r="Z18" s="22">
        <f t="shared" si="11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974.91</v>
      </c>
      <c r="E20" s="13"/>
      <c r="F20" s="20">
        <f>IF(D$12=0,0,D20/D$12)</f>
        <v>1</v>
      </c>
      <c r="G20" s="13"/>
      <c r="H20" s="19">
        <f>H12-H16</f>
        <v>9705.2799999999988</v>
      </c>
      <c r="I20" s="13"/>
      <c r="J20" s="20">
        <f>IF(H$12=0,0,H20/H$12)</f>
        <v>0.54034245755469379</v>
      </c>
      <c r="K20" s="16"/>
      <c r="L20" s="19">
        <f>+D20-H20</f>
        <v>-8730.369999999999</v>
      </c>
      <c r="M20" s="16"/>
      <c r="N20" s="20">
        <f>IF(H20=0,0,L20/H20)</f>
        <v>-0.89954849319133501</v>
      </c>
      <c r="O20" s="25"/>
      <c r="P20" s="19">
        <f>P12-P16</f>
        <v>974.91</v>
      </c>
      <c r="Q20" s="13"/>
      <c r="R20" s="20">
        <f>IF(P$12=0,0,P20/P$12)</f>
        <v>1</v>
      </c>
      <c r="S20" s="13"/>
      <c r="T20" s="19">
        <f>T12-T16</f>
        <v>9705.2799999999988</v>
      </c>
      <c r="U20" s="13"/>
      <c r="V20" s="20">
        <f>IF(T$12=0,0,T20/T$12)</f>
        <v>0.54034245755469379</v>
      </c>
      <c r="W20" s="16"/>
      <c r="X20" s="19">
        <f>+P20-T20</f>
        <v>-8730.369999999999</v>
      </c>
      <c r="Y20" s="16"/>
      <c r="Z20" s="20">
        <f>IF(T20=0,0,X20/T20)</f>
        <v>-0.89954849319133501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2674.56</v>
      </c>
      <c r="E22" s="21"/>
      <c r="F22" s="34">
        <f t="shared" ref="F22:F30" si="12">IF(D$12=0,0,D22/D$12)</f>
        <v>2.7433916976951718</v>
      </c>
      <c r="G22" s="21"/>
      <c r="H22" s="21">
        <f>SUM(OSRRefH22x_0)</f>
        <v>23375.780000000002</v>
      </c>
      <c r="I22" s="21"/>
      <c r="J22" s="34">
        <f t="shared" ref="J22:J30" si="13">IF(H$12=0,0,H22/H$12)</f>
        <v>1.301448944539247</v>
      </c>
      <c r="K22" s="4"/>
      <c r="L22" s="21">
        <f t="shared" ref="L22:L30" si="14">+D22-H22</f>
        <v>-20701.22</v>
      </c>
      <c r="M22" s="4"/>
      <c r="N22" s="34">
        <f t="shared" ref="N22:N30" si="15">IF(H22=0,0,L22/H22)</f>
        <v>-0.88558413879665188</v>
      </c>
      <c r="O22" s="10"/>
      <c r="P22" s="21">
        <f>SUM(OSRRefP22x_0)</f>
        <v>2674.56</v>
      </c>
      <c r="Q22" s="21"/>
      <c r="R22" s="34">
        <f t="shared" ref="R22:R30" si="16">IF(P$12=0,0,P22/P$12)</f>
        <v>2.7433916976951718</v>
      </c>
      <c r="S22" s="21"/>
      <c r="T22" s="21">
        <f>SUM(OSRRefT22x_0)</f>
        <v>23375.780000000002</v>
      </c>
      <c r="U22" s="21"/>
      <c r="V22" s="34">
        <f t="shared" ref="V22:V30" si="17">IF(T$12=0,0,T22/T$12)</f>
        <v>1.301448944539247</v>
      </c>
      <c r="W22" s="4"/>
      <c r="X22" s="21">
        <f t="shared" ref="X22:X30" si="18">+P22-T22</f>
        <v>-20701.22</v>
      </c>
      <c r="Y22" s="4"/>
      <c r="Z22" s="34">
        <f t="shared" ref="Z22:Z30" si="19">IF(T22=0,0,X22/T22)</f>
        <v>-0.88558413879665188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702.51</v>
      </c>
      <c r="E23" s="1"/>
      <c r="F23" s="5">
        <f t="shared" si="12"/>
        <v>0.72058959288549718</v>
      </c>
      <c r="G23" s="1"/>
      <c r="H23" s="1">
        <f>SUM(OSRRefH22_0x_0)</f>
        <v>2278.0699999999997</v>
      </c>
      <c r="I23" s="1"/>
      <c r="J23" s="5">
        <f t="shared" si="13"/>
        <v>0.12683178046193633</v>
      </c>
      <c r="K23" s="1"/>
      <c r="L23" s="1">
        <f t="shared" si="14"/>
        <v>-1575.5599999999997</v>
      </c>
      <c r="M23" s="1"/>
      <c r="N23" s="5">
        <f t="shared" si="15"/>
        <v>-0.69162053843823934</v>
      </c>
      <c r="O23" s="14"/>
      <c r="P23" s="1">
        <f>SUM(OSRRefP22_0x_0)</f>
        <v>702.51</v>
      </c>
      <c r="Q23" s="1"/>
      <c r="R23" s="5">
        <f t="shared" si="16"/>
        <v>0.72058959288549718</v>
      </c>
      <c r="S23" s="1"/>
      <c r="T23" s="1">
        <f>SUM(OSRRefT22_0x_0)</f>
        <v>2278.0699999999997</v>
      </c>
      <c r="U23" s="1"/>
      <c r="V23" s="5">
        <f t="shared" si="17"/>
        <v>0.12683178046193633</v>
      </c>
      <c r="W23" s="1"/>
      <c r="X23" s="1">
        <f t="shared" si="18"/>
        <v>-1575.5599999999997</v>
      </c>
      <c r="Y23" s="1"/>
      <c r="Z23" s="5">
        <f t="shared" si="19"/>
        <v>-0.69162053843823934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/>
      <c r="E24" s="3"/>
      <c r="F24" s="7">
        <f t="shared" si="12"/>
        <v>0</v>
      </c>
      <c r="G24" s="3"/>
      <c r="H24" s="8">
        <v>639.17999999999995</v>
      </c>
      <c r="I24" s="3"/>
      <c r="J24" s="7">
        <f t="shared" si="13"/>
        <v>3.5586411934514943E-2</v>
      </c>
      <c r="K24" s="3"/>
      <c r="L24" s="8">
        <f t="shared" si="14"/>
        <v>-639.17999999999995</v>
      </c>
      <c r="M24" s="3"/>
      <c r="N24" s="7">
        <f t="shared" si="15"/>
        <v>-1</v>
      </c>
      <c r="O24" s="11"/>
      <c r="P24" s="8"/>
      <c r="Q24" s="3"/>
      <c r="R24" s="7">
        <f t="shared" si="16"/>
        <v>0</v>
      </c>
      <c r="S24" s="3"/>
      <c r="T24" s="8">
        <v>639.17999999999995</v>
      </c>
      <c r="U24" s="3"/>
      <c r="V24" s="7">
        <f t="shared" si="17"/>
        <v>3.5586411934514943E-2</v>
      </c>
      <c r="W24" s="3"/>
      <c r="X24" s="8">
        <f t="shared" si="18"/>
        <v>-639.17999999999995</v>
      </c>
      <c r="Y24" s="3"/>
      <c r="Z24" s="7">
        <f t="shared" si="19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2"/>
        <v>0</v>
      </c>
      <c r="G25" s="3"/>
      <c r="H25" s="8">
        <v>395.46</v>
      </c>
      <c r="I25" s="3"/>
      <c r="J25" s="7">
        <f t="shared" si="13"/>
        <v>2.2017275984266216E-2</v>
      </c>
      <c r="K25" s="3"/>
      <c r="L25" s="8">
        <f t="shared" si="14"/>
        <v>-395.46</v>
      </c>
      <c r="M25" s="3"/>
      <c r="N25" s="7">
        <f t="shared" si="15"/>
        <v>-1</v>
      </c>
      <c r="O25" s="11"/>
      <c r="P25" s="8"/>
      <c r="Q25" s="3"/>
      <c r="R25" s="7">
        <f t="shared" si="16"/>
        <v>0</v>
      </c>
      <c r="S25" s="3"/>
      <c r="T25" s="8">
        <v>395.46</v>
      </c>
      <c r="U25" s="3"/>
      <c r="V25" s="7">
        <f t="shared" si="17"/>
        <v>2.2017275984266216E-2</v>
      </c>
      <c r="W25" s="3"/>
      <c r="X25" s="8">
        <f t="shared" si="18"/>
        <v>-395.46</v>
      </c>
      <c r="Y25" s="3"/>
      <c r="Z25" s="7">
        <f t="shared" si="19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702.51</v>
      </c>
      <c r="E26" s="3"/>
      <c r="F26" s="7">
        <f t="shared" si="12"/>
        <v>0.72058959288549718</v>
      </c>
      <c r="G26" s="3"/>
      <c r="H26" s="8">
        <v>650.39</v>
      </c>
      <c r="I26" s="3"/>
      <c r="J26" s="7">
        <f t="shared" si="13"/>
        <v>3.6210529832111732E-2</v>
      </c>
      <c r="K26" s="3"/>
      <c r="L26" s="8">
        <f t="shared" si="14"/>
        <v>52.120000000000005</v>
      </c>
      <c r="M26" s="3"/>
      <c r="N26" s="7">
        <f t="shared" si="15"/>
        <v>8.0136533464536669E-2</v>
      </c>
      <c r="O26" s="11"/>
      <c r="P26" s="8">
        <v>702.51</v>
      </c>
      <c r="Q26" s="3"/>
      <c r="R26" s="7">
        <f t="shared" si="16"/>
        <v>0.72058959288549718</v>
      </c>
      <c r="S26" s="3"/>
      <c r="T26" s="8">
        <v>650.39</v>
      </c>
      <c r="U26" s="3"/>
      <c r="V26" s="7">
        <f t="shared" si="17"/>
        <v>3.6210529832111732E-2</v>
      </c>
      <c r="W26" s="3"/>
      <c r="X26" s="8">
        <f t="shared" si="18"/>
        <v>52.120000000000005</v>
      </c>
      <c r="Y26" s="3"/>
      <c r="Z26" s="7">
        <f t="shared" si="19"/>
        <v>8.0136533464536669E-2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2"/>
        <v>0</v>
      </c>
      <c r="G27" s="3"/>
      <c r="H27" s="8">
        <v>26.5</v>
      </c>
      <c r="I27" s="3"/>
      <c r="J27" s="7">
        <f t="shared" si="13"/>
        <v>1.475390212873754E-3</v>
      </c>
      <c r="K27" s="3"/>
      <c r="L27" s="8">
        <f t="shared" si="14"/>
        <v>-26.5</v>
      </c>
      <c r="M27" s="3"/>
      <c r="N27" s="7">
        <f t="shared" si="15"/>
        <v>-1</v>
      </c>
      <c r="O27" s="11"/>
      <c r="P27" s="8"/>
      <c r="Q27" s="3"/>
      <c r="R27" s="7">
        <f t="shared" si="16"/>
        <v>0</v>
      </c>
      <c r="S27" s="3"/>
      <c r="T27" s="8">
        <v>26.5</v>
      </c>
      <c r="U27" s="3"/>
      <c r="V27" s="7">
        <f t="shared" si="17"/>
        <v>1.475390212873754E-3</v>
      </c>
      <c r="W27" s="3"/>
      <c r="X27" s="8">
        <f t="shared" si="18"/>
        <v>-26.5</v>
      </c>
      <c r="Y27" s="3"/>
      <c r="Z27" s="7">
        <f t="shared" si="19"/>
        <v>-1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8"/>
      <c r="E28" s="3"/>
      <c r="F28" s="7">
        <f t="shared" si="12"/>
        <v>0</v>
      </c>
      <c r="G28" s="3"/>
      <c r="H28" s="8">
        <v>192.5</v>
      </c>
      <c r="I28" s="3"/>
      <c r="J28" s="7">
        <f t="shared" si="13"/>
        <v>1.0717457206724439E-2</v>
      </c>
      <c r="K28" s="3"/>
      <c r="L28" s="8">
        <f t="shared" si="14"/>
        <v>-192.5</v>
      </c>
      <c r="M28" s="3"/>
      <c r="N28" s="7">
        <f t="shared" si="15"/>
        <v>-1</v>
      </c>
      <c r="O28" s="11"/>
      <c r="P28" s="8"/>
      <c r="Q28" s="3"/>
      <c r="R28" s="7">
        <f t="shared" si="16"/>
        <v>0</v>
      </c>
      <c r="S28" s="3"/>
      <c r="T28" s="8">
        <v>192.5</v>
      </c>
      <c r="U28" s="3"/>
      <c r="V28" s="7">
        <f t="shared" si="17"/>
        <v>1.0717457206724439E-2</v>
      </c>
      <c r="W28" s="3"/>
      <c r="X28" s="8">
        <f t="shared" si="18"/>
        <v>-192.5</v>
      </c>
      <c r="Y28" s="3"/>
      <c r="Z28" s="7">
        <f t="shared" si="19"/>
        <v>-1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8"/>
      <c r="E29" s="3"/>
      <c r="F29" s="7">
        <f t="shared" si="12"/>
        <v>0</v>
      </c>
      <c r="G29" s="3"/>
      <c r="H29" s="8">
        <v>230.62</v>
      </c>
      <c r="I29" s="3"/>
      <c r="J29" s="7">
        <f t="shared" si="13"/>
        <v>1.2839792109167742E-2</v>
      </c>
      <c r="K29" s="3"/>
      <c r="L29" s="8">
        <f t="shared" si="14"/>
        <v>-230.62</v>
      </c>
      <c r="M29" s="3"/>
      <c r="N29" s="7">
        <f t="shared" si="15"/>
        <v>-1</v>
      </c>
      <c r="O29" s="11"/>
      <c r="P29" s="8"/>
      <c r="Q29" s="3"/>
      <c r="R29" s="7">
        <f t="shared" si="16"/>
        <v>0</v>
      </c>
      <c r="S29" s="3"/>
      <c r="T29" s="8">
        <v>230.62</v>
      </c>
      <c r="U29" s="3"/>
      <c r="V29" s="7">
        <f t="shared" si="17"/>
        <v>1.2839792109167742E-2</v>
      </c>
      <c r="W29" s="3"/>
      <c r="X29" s="8">
        <f t="shared" si="18"/>
        <v>-230.62</v>
      </c>
      <c r="Y29" s="3"/>
      <c r="Z29" s="7">
        <f t="shared" si="19"/>
        <v>-1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8"/>
      <c r="E30" s="3"/>
      <c r="F30" s="7">
        <f t="shared" si="12"/>
        <v>0</v>
      </c>
      <c r="G30" s="3"/>
      <c r="H30" s="8">
        <v>143.41999999999999</v>
      </c>
      <c r="I30" s="3"/>
      <c r="J30" s="7">
        <f t="shared" si="13"/>
        <v>7.9849231822775018E-3</v>
      </c>
      <c r="K30" s="3"/>
      <c r="L30" s="8">
        <f t="shared" si="14"/>
        <v>-143.41999999999999</v>
      </c>
      <c r="M30" s="3"/>
      <c r="N30" s="7">
        <f t="shared" si="15"/>
        <v>-1</v>
      </c>
      <c r="O30" s="11"/>
      <c r="P30" s="8"/>
      <c r="Q30" s="3"/>
      <c r="R30" s="7">
        <f t="shared" si="16"/>
        <v>0</v>
      </c>
      <c r="S30" s="3"/>
      <c r="T30" s="8">
        <v>143.41999999999999</v>
      </c>
      <c r="U30" s="3"/>
      <c r="V30" s="7">
        <f t="shared" si="17"/>
        <v>7.9849231822775018E-3</v>
      </c>
      <c r="W30" s="3"/>
      <c r="X30" s="8">
        <f t="shared" si="18"/>
        <v>-143.41999999999999</v>
      </c>
      <c r="Y30" s="3"/>
      <c r="Z30" s="7">
        <f t="shared" si="19"/>
        <v>-1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4" si="20">IF(D$12=0,0,D31/D$12)</f>
        <v>0</v>
      </c>
      <c r="G31" s="1"/>
      <c r="H31" s="1">
        <f>SUM(OSRRefH22_1x_0)</f>
        <v>10898.380000000001</v>
      </c>
      <c r="I31" s="1"/>
      <c r="J31" s="5">
        <f t="shared" ref="J31:J34" si="21">IF(H$12=0,0,H31/H$12)</f>
        <v>0.60676842219543636</v>
      </c>
      <c r="K31" s="1"/>
      <c r="L31" s="1">
        <f t="shared" ref="L31:L34" si="22">+D31-H31</f>
        <v>-10898.380000000001</v>
      </c>
      <c r="M31" s="1"/>
      <c r="N31" s="5">
        <f t="shared" ref="N31:N34" si="23">IF(H31=0,0,L31/H31)</f>
        <v>-1</v>
      </c>
      <c r="O31" s="14"/>
      <c r="P31" s="1">
        <f>SUM(OSRRefP22_1x_0)</f>
        <v>0</v>
      </c>
      <c r="Q31" s="1"/>
      <c r="R31" s="5">
        <f t="shared" ref="R31:R34" si="24">IF(P$12=0,0,P31/P$12)</f>
        <v>0</v>
      </c>
      <c r="S31" s="1"/>
      <c r="T31" s="1">
        <f>SUM(OSRRefT22_1x_0)</f>
        <v>10898.380000000001</v>
      </c>
      <c r="U31" s="1"/>
      <c r="V31" s="5">
        <f t="shared" ref="V31:V34" si="25">IF(T$12=0,0,T31/T$12)</f>
        <v>0.60676842219543636</v>
      </c>
      <c r="W31" s="1"/>
      <c r="X31" s="1">
        <f t="shared" ref="X31:X34" si="26">+P31-T31</f>
        <v>-10898.380000000001</v>
      </c>
      <c r="Y31" s="1"/>
      <c r="Z31" s="5">
        <f t="shared" ref="Z31:Z34" si="27">IF(T31=0,0,X31/T31)</f>
        <v>-1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8"/>
      <c r="E32" s="3"/>
      <c r="F32" s="7">
        <f t="shared" si="20"/>
        <v>0</v>
      </c>
      <c r="G32" s="3"/>
      <c r="H32" s="8">
        <v>5328.12</v>
      </c>
      <c r="I32" s="3"/>
      <c r="J32" s="7">
        <f t="shared" si="21"/>
        <v>0.29664362645346815</v>
      </c>
      <c r="K32" s="3"/>
      <c r="L32" s="8">
        <f t="shared" si="22"/>
        <v>-5328.12</v>
      </c>
      <c r="M32" s="3"/>
      <c r="N32" s="7">
        <f t="shared" si="23"/>
        <v>-1</v>
      </c>
      <c r="O32" s="11"/>
      <c r="P32" s="8"/>
      <c r="Q32" s="3"/>
      <c r="R32" s="7">
        <f t="shared" si="24"/>
        <v>0</v>
      </c>
      <c r="S32" s="3"/>
      <c r="T32" s="8">
        <v>5328.12</v>
      </c>
      <c r="U32" s="3"/>
      <c r="V32" s="7">
        <f t="shared" si="25"/>
        <v>0.29664362645346815</v>
      </c>
      <c r="W32" s="3"/>
      <c r="X32" s="8">
        <f t="shared" si="26"/>
        <v>-5328.12</v>
      </c>
      <c r="Y32" s="3"/>
      <c r="Z32" s="7">
        <f t="shared" si="27"/>
        <v>-1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8"/>
      <c r="E33" s="3"/>
      <c r="F33" s="7">
        <f t="shared" si="20"/>
        <v>0</v>
      </c>
      <c r="G33" s="3"/>
      <c r="H33" s="8">
        <v>816</v>
      </c>
      <c r="I33" s="3"/>
      <c r="J33" s="7">
        <f t="shared" si="21"/>
        <v>4.5430883536037109E-2</v>
      </c>
      <c r="K33" s="3"/>
      <c r="L33" s="8">
        <f t="shared" si="22"/>
        <v>-816</v>
      </c>
      <c r="M33" s="3"/>
      <c r="N33" s="7">
        <f t="shared" si="23"/>
        <v>-1</v>
      </c>
      <c r="O33" s="11"/>
      <c r="P33" s="8"/>
      <c r="Q33" s="3"/>
      <c r="R33" s="7">
        <f t="shared" si="24"/>
        <v>0</v>
      </c>
      <c r="S33" s="3"/>
      <c r="T33" s="8">
        <v>816</v>
      </c>
      <c r="U33" s="3"/>
      <c r="V33" s="7">
        <f t="shared" si="25"/>
        <v>4.5430883536037109E-2</v>
      </c>
      <c r="W33" s="3"/>
      <c r="X33" s="8">
        <f t="shared" si="26"/>
        <v>-816</v>
      </c>
      <c r="Y33" s="3"/>
      <c r="Z33" s="7">
        <f t="shared" si="27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8"/>
      <c r="E34" s="3"/>
      <c r="F34" s="7">
        <f t="shared" si="20"/>
        <v>0</v>
      </c>
      <c r="G34" s="3"/>
      <c r="H34" s="8">
        <v>4754.26</v>
      </c>
      <c r="I34" s="3"/>
      <c r="J34" s="7">
        <f t="shared" si="21"/>
        <v>0.26469391220593108</v>
      </c>
      <c r="K34" s="3"/>
      <c r="L34" s="8">
        <f t="shared" si="22"/>
        <v>-4754.26</v>
      </c>
      <c r="M34" s="3"/>
      <c r="N34" s="7">
        <f t="shared" si="23"/>
        <v>-1</v>
      </c>
      <c r="O34" s="11"/>
      <c r="P34" s="8"/>
      <c r="Q34" s="3"/>
      <c r="R34" s="7">
        <f t="shared" si="24"/>
        <v>0</v>
      </c>
      <c r="S34" s="3"/>
      <c r="T34" s="8">
        <v>4754.26</v>
      </c>
      <c r="U34" s="3"/>
      <c r="V34" s="7">
        <f t="shared" si="25"/>
        <v>0.26469391220593108</v>
      </c>
      <c r="W34" s="3"/>
      <c r="X34" s="8">
        <f t="shared" si="26"/>
        <v>-4754.26</v>
      </c>
      <c r="Y34" s="3"/>
      <c r="Z34" s="7">
        <f t="shared" si="27"/>
        <v>-1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57" si="28">IF(D$12=0,0,D35/D$12)</f>
        <v>0</v>
      </c>
      <c r="G35" s="1"/>
      <c r="H35" s="1">
        <f>SUM(OSRRefH22_2x_0)</f>
        <v>63.52</v>
      </c>
      <c r="I35" s="1"/>
      <c r="J35" s="5">
        <f t="shared" ref="J35:J57" si="29">IF(H$12=0,0,H35/H$12)</f>
        <v>3.5364825027072023E-3</v>
      </c>
      <c r="K35" s="1"/>
      <c r="L35" s="1">
        <f t="shared" ref="L35:L57" si="30">+D35-H35</f>
        <v>-63.52</v>
      </c>
      <c r="M35" s="1"/>
      <c r="N35" s="5">
        <f t="shared" ref="N35:N57" si="31">IF(H35=0,0,L35/H35)</f>
        <v>-1</v>
      </c>
      <c r="O35" s="14"/>
      <c r="P35" s="1">
        <f>SUM(OSRRefP22_2x_0)</f>
        <v>0</v>
      </c>
      <c r="Q35" s="1"/>
      <c r="R35" s="5">
        <f t="shared" ref="R35:R57" si="32">IF(P$12=0,0,P35/P$12)</f>
        <v>0</v>
      </c>
      <c r="S35" s="1"/>
      <c r="T35" s="1">
        <f>SUM(OSRRefT22_2x_0)</f>
        <v>63.52</v>
      </c>
      <c r="U35" s="1"/>
      <c r="V35" s="5">
        <f t="shared" ref="V35:V57" si="33">IF(T$12=0,0,T35/T$12)</f>
        <v>3.5364825027072023E-3</v>
      </c>
      <c r="W35" s="1"/>
      <c r="X35" s="1">
        <f t="shared" ref="X35:X57" si="34">+P35-T35</f>
        <v>-63.52</v>
      </c>
      <c r="Y35" s="1"/>
      <c r="Z35" s="5">
        <f t="shared" ref="Z35:Z57" si="35">IF(T35=0,0,X35/T35)</f>
        <v>-1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8"/>
      <c r="E36" s="3"/>
      <c r="F36" s="7">
        <f t="shared" si="28"/>
        <v>0</v>
      </c>
      <c r="G36" s="3"/>
      <c r="H36" s="8">
        <v>63.52</v>
      </c>
      <c r="I36" s="3"/>
      <c r="J36" s="7">
        <f t="shared" si="29"/>
        <v>3.5364825027072023E-3</v>
      </c>
      <c r="K36" s="3"/>
      <c r="L36" s="8">
        <f t="shared" si="30"/>
        <v>-63.52</v>
      </c>
      <c r="M36" s="3"/>
      <c r="N36" s="7">
        <f t="shared" si="31"/>
        <v>-1</v>
      </c>
      <c r="O36" s="11"/>
      <c r="P36" s="8"/>
      <c r="Q36" s="3"/>
      <c r="R36" s="7">
        <f t="shared" si="32"/>
        <v>0</v>
      </c>
      <c r="S36" s="3"/>
      <c r="T36" s="8">
        <v>63.52</v>
      </c>
      <c r="U36" s="3"/>
      <c r="V36" s="7">
        <f t="shared" si="33"/>
        <v>3.5364825027072023E-3</v>
      </c>
      <c r="W36" s="3"/>
      <c r="X36" s="8">
        <f t="shared" si="34"/>
        <v>-63.52</v>
      </c>
      <c r="Y36" s="3"/>
      <c r="Z36" s="7">
        <f t="shared" si="35"/>
        <v>-1</v>
      </c>
    </row>
    <row r="37" spans="1:26" s="27" customFormat="1" outlineLevel="1" collapsed="1" x14ac:dyDescent="0.25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0</v>
      </c>
      <c r="E37" s="1"/>
      <c r="F37" s="5">
        <f t="shared" si="28"/>
        <v>0</v>
      </c>
      <c r="G37" s="1"/>
      <c r="H37" s="1">
        <f>SUM(OSRRefH22_3x_0)</f>
        <v>-15.89</v>
      </c>
      <c r="I37" s="1"/>
      <c r="J37" s="5">
        <f t="shared" si="29"/>
        <v>-8.8467737670052651E-4</v>
      </c>
      <c r="K37" s="1"/>
      <c r="L37" s="1">
        <f t="shared" si="30"/>
        <v>15.89</v>
      </c>
      <c r="M37" s="1"/>
      <c r="N37" s="5">
        <f t="shared" si="31"/>
        <v>-1</v>
      </c>
      <c r="O37" s="14"/>
      <c r="P37" s="1">
        <f>SUM(OSRRefP22_3x_0)</f>
        <v>0</v>
      </c>
      <c r="Q37" s="1"/>
      <c r="R37" s="5">
        <f t="shared" si="32"/>
        <v>0</v>
      </c>
      <c r="S37" s="1"/>
      <c r="T37" s="1">
        <f>SUM(OSRRefT22_3x_0)</f>
        <v>-15.89</v>
      </c>
      <c r="U37" s="1"/>
      <c r="V37" s="5">
        <f t="shared" si="33"/>
        <v>-8.8467737670052651E-4</v>
      </c>
      <c r="W37" s="1"/>
      <c r="X37" s="1">
        <f t="shared" si="34"/>
        <v>15.89</v>
      </c>
      <c r="Y37" s="1"/>
      <c r="Z37" s="5">
        <f t="shared" si="35"/>
        <v>-1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8"/>
      <c r="E38" s="3"/>
      <c r="F38" s="7">
        <f t="shared" si="28"/>
        <v>0</v>
      </c>
      <c r="G38" s="3"/>
      <c r="H38" s="8">
        <v>-15.89</v>
      </c>
      <c r="I38" s="3"/>
      <c r="J38" s="7">
        <f t="shared" si="29"/>
        <v>-8.8467737670052651E-4</v>
      </c>
      <c r="K38" s="3"/>
      <c r="L38" s="8">
        <f t="shared" si="30"/>
        <v>15.89</v>
      </c>
      <c r="M38" s="3"/>
      <c r="N38" s="7">
        <f t="shared" si="31"/>
        <v>-1</v>
      </c>
      <c r="O38" s="11"/>
      <c r="P38" s="8"/>
      <c r="Q38" s="3"/>
      <c r="R38" s="7">
        <f t="shared" si="32"/>
        <v>0</v>
      </c>
      <c r="S38" s="3"/>
      <c r="T38" s="8">
        <v>-15.89</v>
      </c>
      <c r="U38" s="3"/>
      <c r="V38" s="7">
        <f t="shared" si="33"/>
        <v>-8.8467737670052651E-4</v>
      </c>
      <c r="W38" s="3"/>
      <c r="X38" s="8">
        <f t="shared" si="34"/>
        <v>15.89</v>
      </c>
      <c r="Y38" s="3"/>
      <c r="Z38" s="7">
        <f t="shared" si="35"/>
        <v>-1</v>
      </c>
    </row>
    <row r="39" spans="1:26" s="27" customFormat="1" outlineLevel="1" collapsed="1" x14ac:dyDescent="0.25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0</v>
      </c>
      <c r="E39" s="1"/>
      <c r="F39" s="5">
        <f t="shared" si="28"/>
        <v>0</v>
      </c>
      <c r="G39" s="1"/>
      <c r="H39" s="1">
        <f>SUM(OSRRefH22_4x_0)</f>
        <v>362.01</v>
      </c>
      <c r="I39" s="1"/>
      <c r="J39" s="5">
        <f t="shared" si="29"/>
        <v>2.0154943809902931E-2</v>
      </c>
      <c r="K39" s="1"/>
      <c r="L39" s="1">
        <f t="shared" si="30"/>
        <v>-362.01</v>
      </c>
      <c r="M39" s="1"/>
      <c r="N39" s="5">
        <f t="shared" si="31"/>
        <v>-1</v>
      </c>
      <c r="O39" s="14"/>
      <c r="P39" s="1">
        <f>SUM(OSRRefP22_4x_0)</f>
        <v>0</v>
      </c>
      <c r="Q39" s="1"/>
      <c r="R39" s="5">
        <f t="shared" si="32"/>
        <v>0</v>
      </c>
      <c r="S39" s="1"/>
      <c r="T39" s="1">
        <f>SUM(OSRRefT22_4x_0)</f>
        <v>362.01</v>
      </c>
      <c r="U39" s="1"/>
      <c r="V39" s="5">
        <f t="shared" si="33"/>
        <v>2.0154943809902931E-2</v>
      </c>
      <c r="W39" s="1"/>
      <c r="X39" s="1">
        <f t="shared" si="34"/>
        <v>-362.01</v>
      </c>
      <c r="Y39" s="1"/>
      <c r="Z39" s="5">
        <f t="shared" si="35"/>
        <v>-1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8"/>
      <c r="E40" s="3"/>
      <c r="F40" s="7">
        <f t="shared" si="28"/>
        <v>0</v>
      </c>
      <c r="G40" s="3"/>
      <c r="H40" s="8">
        <v>362.01</v>
      </c>
      <c r="I40" s="3"/>
      <c r="J40" s="7">
        <f t="shared" si="29"/>
        <v>2.0154943809902931E-2</v>
      </c>
      <c r="K40" s="3"/>
      <c r="L40" s="8">
        <f t="shared" si="30"/>
        <v>-362.01</v>
      </c>
      <c r="M40" s="3"/>
      <c r="N40" s="7">
        <f t="shared" si="31"/>
        <v>-1</v>
      </c>
      <c r="O40" s="11"/>
      <c r="P40" s="8"/>
      <c r="Q40" s="3"/>
      <c r="R40" s="7">
        <f t="shared" si="32"/>
        <v>0</v>
      </c>
      <c r="S40" s="3"/>
      <c r="T40" s="8">
        <v>362.01</v>
      </c>
      <c r="U40" s="3"/>
      <c r="V40" s="7">
        <f t="shared" si="33"/>
        <v>2.0154943809902931E-2</v>
      </c>
      <c r="W40" s="3"/>
      <c r="X40" s="8">
        <f t="shared" si="34"/>
        <v>-362.01</v>
      </c>
      <c r="Y40" s="3"/>
      <c r="Z40" s="7">
        <f t="shared" si="35"/>
        <v>-1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1972.05</v>
      </c>
      <c r="E41" s="1"/>
      <c r="F41" s="5">
        <f t="shared" si="28"/>
        <v>2.0228021048096747</v>
      </c>
      <c r="G41" s="1"/>
      <c r="H41" s="1">
        <f>SUM(OSRRefH22_5x_0)</f>
        <v>1647.59</v>
      </c>
      <c r="I41" s="1"/>
      <c r="J41" s="5">
        <f t="shared" si="29"/>
        <v>9.1729741918062949E-2</v>
      </c>
      <c r="K41" s="1"/>
      <c r="L41" s="1">
        <f t="shared" si="30"/>
        <v>324.46000000000004</v>
      </c>
      <c r="M41" s="1"/>
      <c r="N41" s="5">
        <f t="shared" si="31"/>
        <v>0.19693006148374295</v>
      </c>
      <c r="O41" s="14"/>
      <c r="P41" s="1">
        <f>SUM(OSRRefP22_5x_0)</f>
        <v>1972.05</v>
      </c>
      <c r="Q41" s="1"/>
      <c r="R41" s="5">
        <f t="shared" si="32"/>
        <v>2.0228021048096747</v>
      </c>
      <c r="S41" s="1"/>
      <c r="T41" s="1">
        <f>SUM(OSRRefT22_5x_0)</f>
        <v>1647.59</v>
      </c>
      <c r="U41" s="1"/>
      <c r="V41" s="5">
        <f t="shared" si="33"/>
        <v>9.1729741918062949E-2</v>
      </c>
      <c r="W41" s="1"/>
      <c r="X41" s="1">
        <f t="shared" si="34"/>
        <v>324.46000000000004</v>
      </c>
      <c r="Y41" s="1"/>
      <c r="Z41" s="5">
        <f t="shared" si="35"/>
        <v>0.19693006148374295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8">
        <v>1972.05</v>
      </c>
      <c r="E42" s="3"/>
      <c r="F42" s="7">
        <f t="shared" si="28"/>
        <v>2.0228021048096747</v>
      </c>
      <c r="G42" s="3"/>
      <c r="H42" s="8">
        <v>1647.59</v>
      </c>
      <c r="I42" s="3"/>
      <c r="J42" s="7">
        <f t="shared" si="29"/>
        <v>9.1729741918062949E-2</v>
      </c>
      <c r="K42" s="3"/>
      <c r="L42" s="8">
        <f t="shared" si="30"/>
        <v>324.46000000000004</v>
      </c>
      <c r="M42" s="3"/>
      <c r="N42" s="7">
        <f t="shared" si="31"/>
        <v>0.19693006148374295</v>
      </c>
      <c r="O42" s="11"/>
      <c r="P42" s="8">
        <v>1972.05</v>
      </c>
      <c r="Q42" s="3"/>
      <c r="R42" s="7">
        <f t="shared" si="32"/>
        <v>2.0228021048096747</v>
      </c>
      <c r="S42" s="3"/>
      <c r="T42" s="8">
        <v>1647.59</v>
      </c>
      <c r="U42" s="3"/>
      <c r="V42" s="7">
        <f t="shared" si="33"/>
        <v>9.1729741918062949E-2</v>
      </c>
      <c r="W42" s="3"/>
      <c r="X42" s="8">
        <f t="shared" si="34"/>
        <v>324.46000000000004</v>
      </c>
      <c r="Y42" s="3"/>
      <c r="Z42" s="7">
        <f t="shared" si="35"/>
        <v>0.19693006148374295</v>
      </c>
    </row>
    <row r="43" spans="1:26" s="27" customFormat="1" outlineLevel="1" collapsed="1" x14ac:dyDescent="0.25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SUM(OSRRefD22_6x_0)</f>
        <v>0</v>
      </c>
      <c r="E43" s="1"/>
      <c r="F43" s="5">
        <f t="shared" si="28"/>
        <v>0</v>
      </c>
      <c r="G43" s="1"/>
      <c r="H43" s="1">
        <f>SUM(OSRRefH22_6x_0)</f>
        <v>118.91</v>
      </c>
      <c r="I43" s="1"/>
      <c r="J43" s="5">
        <f t="shared" si="29"/>
        <v>6.6203264231252112E-3</v>
      </c>
      <c r="K43" s="1"/>
      <c r="L43" s="1">
        <f t="shared" si="30"/>
        <v>-118.91</v>
      </c>
      <c r="M43" s="1"/>
      <c r="N43" s="5">
        <f t="shared" si="31"/>
        <v>-1</v>
      </c>
      <c r="O43" s="14"/>
      <c r="P43" s="1">
        <f>SUM(OSRRefP22_6x_0)</f>
        <v>0</v>
      </c>
      <c r="Q43" s="1"/>
      <c r="R43" s="5">
        <f t="shared" si="32"/>
        <v>0</v>
      </c>
      <c r="S43" s="1"/>
      <c r="T43" s="1">
        <f>SUM(OSRRefT22_6x_0)</f>
        <v>118.91</v>
      </c>
      <c r="U43" s="1"/>
      <c r="V43" s="5">
        <f t="shared" si="33"/>
        <v>6.6203264231252112E-3</v>
      </c>
      <c r="W43" s="1"/>
      <c r="X43" s="1">
        <f t="shared" si="34"/>
        <v>-118.91</v>
      </c>
      <c r="Y43" s="1"/>
      <c r="Z43" s="5">
        <f t="shared" si="35"/>
        <v>-1</v>
      </c>
    </row>
    <row r="44" spans="1:26" s="24" customFormat="1" hidden="1" outlineLevel="2" x14ac:dyDescent="0.25">
      <c r="A44" s="29"/>
      <c r="B44" s="11" t="str">
        <f>CONCATENATE("          ", "6351", " - ", "EQUIPMENT RENTAL")</f>
        <v xml:space="preserve">          6351 - EQUIPMENT RENTAL</v>
      </c>
      <c r="C44" s="11"/>
      <c r="D44" s="8"/>
      <c r="E44" s="3"/>
      <c r="F44" s="7">
        <f t="shared" si="28"/>
        <v>0</v>
      </c>
      <c r="G44" s="3"/>
      <c r="H44" s="8">
        <v>118.91</v>
      </c>
      <c r="I44" s="3"/>
      <c r="J44" s="7">
        <f t="shared" si="29"/>
        <v>6.6203264231252112E-3</v>
      </c>
      <c r="K44" s="3"/>
      <c r="L44" s="8">
        <f t="shared" si="30"/>
        <v>-118.91</v>
      </c>
      <c r="M44" s="3"/>
      <c r="N44" s="7">
        <f t="shared" si="31"/>
        <v>-1</v>
      </c>
      <c r="O44" s="11"/>
      <c r="P44" s="8"/>
      <c r="Q44" s="3"/>
      <c r="R44" s="7">
        <f t="shared" si="32"/>
        <v>0</v>
      </c>
      <c r="S44" s="3"/>
      <c r="T44" s="8">
        <v>118.91</v>
      </c>
      <c r="U44" s="3"/>
      <c r="V44" s="7">
        <f t="shared" si="33"/>
        <v>6.6203264231252112E-3</v>
      </c>
      <c r="W44" s="3"/>
      <c r="X44" s="8">
        <f t="shared" si="34"/>
        <v>-118.91</v>
      </c>
      <c r="Y44" s="3"/>
      <c r="Z44" s="7">
        <f t="shared" si="35"/>
        <v>-1</v>
      </c>
    </row>
    <row r="45" spans="1:26" s="27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8"/>
        <v>0</v>
      </c>
      <c r="G45" s="1"/>
      <c r="H45" s="1">
        <f>SUM(OSRRefH22_7x_0)</f>
        <v>1066.07</v>
      </c>
      <c r="I45" s="1"/>
      <c r="J45" s="5">
        <f t="shared" si="29"/>
        <v>5.9353556386351806E-2</v>
      </c>
      <c r="K45" s="1"/>
      <c r="L45" s="1">
        <f t="shared" si="30"/>
        <v>-1066.07</v>
      </c>
      <c r="M45" s="1"/>
      <c r="N45" s="5">
        <f t="shared" si="31"/>
        <v>-1</v>
      </c>
      <c r="O45" s="14"/>
      <c r="P45" s="1">
        <f>SUM(OSRRefP22_7x_0)</f>
        <v>0</v>
      </c>
      <c r="Q45" s="1"/>
      <c r="R45" s="5">
        <f t="shared" si="32"/>
        <v>0</v>
      </c>
      <c r="S45" s="1"/>
      <c r="T45" s="1">
        <f>SUM(OSRRefT22_7x_0)</f>
        <v>1066.07</v>
      </c>
      <c r="U45" s="1"/>
      <c r="V45" s="5">
        <f t="shared" si="33"/>
        <v>5.9353556386351806E-2</v>
      </c>
      <c r="W45" s="1"/>
      <c r="X45" s="1">
        <f t="shared" si="34"/>
        <v>-1066.07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8"/>
      <c r="E46" s="3"/>
      <c r="F46" s="7">
        <f t="shared" si="28"/>
        <v>0</v>
      </c>
      <c r="G46" s="3"/>
      <c r="H46" s="8">
        <v>1066.07</v>
      </c>
      <c r="I46" s="3"/>
      <c r="J46" s="7">
        <f t="shared" si="29"/>
        <v>5.9353556386351806E-2</v>
      </c>
      <c r="K46" s="3"/>
      <c r="L46" s="8">
        <f t="shared" si="30"/>
        <v>-1066.07</v>
      </c>
      <c r="M46" s="3"/>
      <c r="N46" s="7">
        <f t="shared" si="31"/>
        <v>-1</v>
      </c>
      <c r="O46" s="11"/>
      <c r="P46" s="8"/>
      <c r="Q46" s="3"/>
      <c r="R46" s="7">
        <f t="shared" si="32"/>
        <v>0</v>
      </c>
      <c r="S46" s="3"/>
      <c r="T46" s="8">
        <v>1066.07</v>
      </c>
      <c r="U46" s="3"/>
      <c r="V46" s="7">
        <f t="shared" si="33"/>
        <v>5.9353556386351806E-2</v>
      </c>
      <c r="W46" s="3"/>
      <c r="X46" s="8">
        <f t="shared" si="34"/>
        <v>-1066.07</v>
      </c>
      <c r="Y46" s="3"/>
      <c r="Z46" s="7">
        <f t="shared" si="35"/>
        <v>-1</v>
      </c>
    </row>
    <row r="47" spans="1:26" s="27" customFormat="1" outlineLevel="1" collapsed="1" x14ac:dyDescent="0.25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0</v>
      </c>
      <c r="E47" s="1"/>
      <c r="F47" s="5">
        <f t="shared" si="28"/>
        <v>0</v>
      </c>
      <c r="G47" s="1"/>
      <c r="H47" s="1">
        <f>SUM(OSRRefH22_8x_0)</f>
        <v>2646.57</v>
      </c>
      <c r="I47" s="1"/>
      <c r="J47" s="5">
        <f t="shared" si="29"/>
        <v>0.14734805568623741</v>
      </c>
      <c r="K47" s="1"/>
      <c r="L47" s="1">
        <f t="shared" si="30"/>
        <v>-2646.57</v>
      </c>
      <c r="M47" s="1"/>
      <c r="N47" s="5">
        <f t="shared" si="31"/>
        <v>-1</v>
      </c>
      <c r="O47" s="14"/>
      <c r="P47" s="1">
        <f>SUM(OSRRefP22_8x_0)</f>
        <v>0</v>
      </c>
      <c r="Q47" s="1"/>
      <c r="R47" s="5">
        <f t="shared" si="32"/>
        <v>0</v>
      </c>
      <c r="S47" s="1"/>
      <c r="T47" s="1">
        <f>SUM(OSRRefT22_8x_0)</f>
        <v>2646.57</v>
      </c>
      <c r="U47" s="1"/>
      <c r="V47" s="5">
        <f t="shared" si="33"/>
        <v>0.14734805568623741</v>
      </c>
      <c r="W47" s="1"/>
      <c r="X47" s="1">
        <f t="shared" si="34"/>
        <v>-2646.57</v>
      </c>
      <c r="Y47" s="1"/>
      <c r="Z47" s="5">
        <f t="shared" si="35"/>
        <v>-1</v>
      </c>
    </row>
    <row r="48" spans="1:26" s="24" customFormat="1" hidden="1" outlineLevel="2" x14ac:dyDescent="0.25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8"/>
      <c r="E48" s="3"/>
      <c r="F48" s="7">
        <f t="shared" si="28"/>
        <v>0</v>
      </c>
      <c r="G48" s="3"/>
      <c r="H48" s="8">
        <v>2646.57</v>
      </c>
      <c r="I48" s="3"/>
      <c r="J48" s="7">
        <f t="shared" si="29"/>
        <v>0.14734805568623741</v>
      </c>
      <c r="K48" s="3"/>
      <c r="L48" s="8">
        <f t="shared" si="30"/>
        <v>-2646.57</v>
      </c>
      <c r="M48" s="3"/>
      <c r="N48" s="7">
        <f t="shared" si="31"/>
        <v>-1</v>
      </c>
      <c r="O48" s="11"/>
      <c r="P48" s="8"/>
      <c r="Q48" s="3"/>
      <c r="R48" s="7">
        <f t="shared" si="32"/>
        <v>0</v>
      </c>
      <c r="S48" s="3"/>
      <c r="T48" s="8">
        <v>2646.57</v>
      </c>
      <c r="U48" s="3"/>
      <c r="V48" s="7">
        <f t="shared" si="33"/>
        <v>0.14734805568623741</v>
      </c>
      <c r="W48" s="3"/>
      <c r="X48" s="8">
        <f t="shared" si="34"/>
        <v>-2646.57</v>
      </c>
      <c r="Y48" s="3"/>
      <c r="Z48" s="7">
        <f t="shared" si="35"/>
        <v>-1</v>
      </c>
    </row>
    <row r="49" spans="1:26" s="27" customFormat="1" outlineLevel="1" collapsed="1" x14ac:dyDescent="0.25">
      <c r="A49" s="28"/>
      <c r="B49" s="14" t="str">
        <f>CONCATENATE("     ","Royalty &amp; Commissions                             ")</f>
        <v xml:space="preserve">     Royalty &amp; Commissions                             </v>
      </c>
      <c r="C49" s="14"/>
      <c r="D49" s="1">
        <f>SUM(OSRRefD22_9x_0)</f>
        <v>0</v>
      </c>
      <c r="E49" s="1"/>
      <c r="F49" s="5">
        <f t="shared" si="28"/>
        <v>0</v>
      </c>
      <c r="G49" s="1"/>
      <c r="H49" s="1">
        <f>SUM(OSRRefH22_9x_0)</f>
        <v>1436.88</v>
      </c>
      <c r="I49" s="1"/>
      <c r="J49" s="5">
        <f t="shared" si="29"/>
        <v>7.9998441097133582E-2</v>
      </c>
      <c r="K49" s="1"/>
      <c r="L49" s="1">
        <f t="shared" si="30"/>
        <v>-1436.88</v>
      </c>
      <c r="M49" s="1"/>
      <c r="N49" s="5">
        <f t="shared" si="31"/>
        <v>-1</v>
      </c>
      <c r="O49" s="14"/>
      <c r="P49" s="1">
        <f>SUM(OSRRefP22_9x_0)</f>
        <v>0</v>
      </c>
      <c r="Q49" s="1"/>
      <c r="R49" s="5">
        <f t="shared" si="32"/>
        <v>0</v>
      </c>
      <c r="S49" s="1"/>
      <c r="T49" s="1">
        <f>SUM(OSRRefT22_9x_0)</f>
        <v>1436.88</v>
      </c>
      <c r="U49" s="1"/>
      <c r="V49" s="5">
        <f t="shared" si="33"/>
        <v>7.9998441097133582E-2</v>
      </c>
      <c r="W49" s="1"/>
      <c r="X49" s="1">
        <f t="shared" si="34"/>
        <v>-1436.88</v>
      </c>
      <c r="Y49" s="1"/>
      <c r="Z49" s="5">
        <f t="shared" si="35"/>
        <v>-1</v>
      </c>
    </row>
    <row r="50" spans="1:26" s="24" customFormat="1" hidden="1" outlineLevel="2" x14ac:dyDescent="0.25">
      <c r="A50" s="29"/>
      <c r="B50" s="11" t="str">
        <f>CONCATENATE("          ", "6259", " - ", "ROYALTY &amp; COMMISSIONS")</f>
        <v xml:space="preserve">          6259 - ROYALTY &amp; COMMISSIONS</v>
      </c>
      <c r="C50" s="11"/>
      <c r="D50" s="8"/>
      <c r="E50" s="3"/>
      <c r="F50" s="7">
        <f t="shared" si="28"/>
        <v>0</v>
      </c>
      <c r="G50" s="3"/>
      <c r="H50" s="8">
        <v>1436.88</v>
      </c>
      <c r="I50" s="3"/>
      <c r="J50" s="7">
        <f t="shared" si="29"/>
        <v>7.9998441097133582E-2</v>
      </c>
      <c r="K50" s="3"/>
      <c r="L50" s="8">
        <f t="shared" si="30"/>
        <v>-1436.88</v>
      </c>
      <c r="M50" s="3"/>
      <c r="N50" s="7">
        <f t="shared" si="31"/>
        <v>-1</v>
      </c>
      <c r="O50" s="11"/>
      <c r="P50" s="8"/>
      <c r="Q50" s="3"/>
      <c r="R50" s="7">
        <f t="shared" si="32"/>
        <v>0</v>
      </c>
      <c r="S50" s="3"/>
      <c r="T50" s="8">
        <v>1436.88</v>
      </c>
      <c r="U50" s="3"/>
      <c r="V50" s="7">
        <f t="shared" si="33"/>
        <v>7.9998441097133582E-2</v>
      </c>
      <c r="W50" s="3"/>
      <c r="X50" s="8">
        <f t="shared" si="34"/>
        <v>-1436.88</v>
      </c>
      <c r="Y50" s="3"/>
      <c r="Z50" s="7">
        <f t="shared" si="35"/>
        <v>-1</v>
      </c>
    </row>
    <row r="51" spans="1:26" s="27" customFormat="1" outlineLevel="1" collapsed="1" x14ac:dyDescent="0.25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SUM(OSRRefD22_10x_0)</f>
        <v>0</v>
      </c>
      <c r="E51" s="1"/>
      <c r="F51" s="5">
        <f t="shared" si="28"/>
        <v>0</v>
      </c>
      <c r="G51" s="1"/>
      <c r="H51" s="1">
        <f>SUM(OSRRefH22_10x_0)</f>
        <v>37.36</v>
      </c>
      <c r="I51" s="1"/>
      <c r="J51" s="5">
        <f t="shared" si="29"/>
        <v>2.0800218246401301E-3</v>
      </c>
      <c r="K51" s="1"/>
      <c r="L51" s="1">
        <f t="shared" si="30"/>
        <v>-37.36</v>
      </c>
      <c r="M51" s="1"/>
      <c r="N51" s="5">
        <f t="shared" si="31"/>
        <v>-1</v>
      </c>
      <c r="O51" s="14"/>
      <c r="P51" s="1">
        <f>SUM(OSRRefP22_10x_0)</f>
        <v>0</v>
      </c>
      <c r="Q51" s="1"/>
      <c r="R51" s="5">
        <f t="shared" si="32"/>
        <v>0</v>
      </c>
      <c r="S51" s="1"/>
      <c r="T51" s="1">
        <f>SUM(OSRRefT22_10x_0)</f>
        <v>37.36</v>
      </c>
      <c r="U51" s="1"/>
      <c r="V51" s="5">
        <f t="shared" si="33"/>
        <v>2.0800218246401301E-3</v>
      </c>
      <c r="W51" s="1"/>
      <c r="X51" s="1">
        <f t="shared" si="34"/>
        <v>-37.36</v>
      </c>
      <c r="Y51" s="1"/>
      <c r="Z51" s="5">
        <f t="shared" si="35"/>
        <v>-1</v>
      </c>
    </row>
    <row r="52" spans="1:26" s="24" customFormat="1" hidden="1" outlineLevel="2" x14ac:dyDescent="0.25">
      <c r="A52" s="29"/>
      <c r="B52" s="11" t="str">
        <f>CONCATENATE("          ", "6286", " - ", "LAUNDRY EXPENSE")</f>
        <v xml:space="preserve">          6286 - LAUNDRY EXPENSE</v>
      </c>
      <c r="C52" s="11"/>
      <c r="D52" s="8"/>
      <c r="E52" s="3"/>
      <c r="F52" s="7">
        <f t="shared" si="28"/>
        <v>0</v>
      </c>
      <c r="G52" s="3"/>
      <c r="H52" s="8">
        <v>37.36</v>
      </c>
      <c r="I52" s="3"/>
      <c r="J52" s="7">
        <f t="shared" si="29"/>
        <v>2.0800218246401301E-3</v>
      </c>
      <c r="K52" s="3"/>
      <c r="L52" s="8">
        <f t="shared" si="30"/>
        <v>-37.36</v>
      </c>
      <c r="M52" s="3"/>
      <c r="N52" s="7">
        <f t="shared" si="31"/>
        <v>-1</v>
      </c>
      <c r="O52" s="11"/>
      <c r="P52" s="8"/>
      <c r="Q52" s="3"/>
      <c r="R52" s="7">
        <f t="shared" si="32"/>
        <v>0</v>
      </c>
      <c r="S52" s="3"/>
      <c r="T52" s="8">
        <v>37.36</v>
      </c>
      <c r="U52" s="3"/>
      <c r="V52" s="7">
        <f t="shared" si="33"/>
        <v>2.0800218246401301E-3</v>
      </c>
      <c r="W52" s="3"/>
      <c r="X52" s="8">
        <f t="shared" si="34"/>
        <v>-37.36</v>
      </c>
      <c r="Y52" s="3"/>
      <c r="Z52" s="7">
        <f t="shared" si="35"/>
        <v>-1</v>
      </c>
    </row>
    <row r="53" spans="1:26" s="27" customFormat="1" outlineLevel="1" collapsed="1" x14ac:dyDescent="0.25">
      <c r="A53" s="28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SUM(OSRRefD22_11x_0)</f>
        <v>0</v>
      </c>
      <c r="E53" s="1"/>
      <c r="F53" s="5">
        <f t="shared" si="28"/>
        <v>0</v>
      </c>
      <c r="G53" s="1"/>
      <c r="H53" s="1">
        <f>SUM(OSRRefH22_11x_0)</f>
        <v>2931.3099999999995</v>
      </c>
      <c r="I53" s="1"/>
      <c r="J53" s="5">
        <f t="shared" si="29"/>
        <v>0.16320098433580993</v>
      </c>
      <c r="K53" s="1"/>
      <c r="L53" s="1">
        <f t="shared" si="30"/>
        <v>-2931.3099999999995</v>
      </c>
      <c r="M53" s="1"/>
      <c r="N53" s="5">
        <f t="shared" si="31"/>
        <v>-1</v>
      </c>
      <c r="O53" s="14"/>
      <c r="P53" s="1">
        <f>SUM(OSRRefP22_11x_0)</f>
        <v>0</v>
      </c>
      <c r="Q53" s="1"/>
      <c r="R53" s="5">
        <f t="shared" si="32"/>
        <v>0</v>
      </c>
      <c r="S53" s="1"/>
      <c r="T53" s="1">
        <f>SUM(OSRRefT22_11x_0)</f>
        <v>2931.3099999999995</v>
      </c>
      <c r="U53" s="1"/>
      <c r="V53" s="5">
        <f t="shared" si="33"/>
        <v>0.16320098433580993</v>
      </c>
      <c r="W53" s="1"/>
      <c r="X53" s="1">
        <f t="shared" si="34"/>
        <v>-2931.3099999999995</v>
      </c>
      <c r="Y53" s="1"/>
      <c r="Z53" s="5">
        <f t="shared" si="35"/>
        <v>-1</v>
      </c>
    </row>
    <row r="54" spans="1:26" s="24" customFormat="1" hidden="1" outlineLevel="2" x14ac:dyDescent="0.25">
      <c r="A54" s="29"/>
      <c r="B54" s="11" t="str">
        <f>CONCATENATE("          ", "6239", " - ", "KITCHEN SUPPLIES")</f>
        <v xml:space="preserve">          6239 - KITCHEN SUPPLIES</v>
      </c>
      <c r="C54" s="11"/>
      <c r="D54" s="8"/>
      <c r="E54" s="3"/>
      <c r="F54" s="7">
        <f t="shared" si="28"/>
        <v>0</v>
      </c>
      <c r="G54" s="3"/>
      <c r="H54" s="8">
        <v>1176.58</v>
      </c>
      <c r="I54" s="3"/>
      <c r="J54" s="7">
        <f t="shared" si="29"/>
        <v>6.5506211949547227E-2</v>
      </c>
      <c r="K54" s="3"/>
      <c r="L54" s="8">
        <f t="shared" si="30"/>
        <v>-1176.58</v>
      </c>
      <c r="M54" s="3"/>
      <c r="N54" s="7">
        <f t="shared" si="31"/>
        <v>-1</v>
      </c>
      <c r="O54" s="11"/>
      <c r="P54" s="8"/>
      <c r="Q54" s="3"/>
      <c r="R54" s="7">
        <f t="shared" si="32"/>
        <v>0</v>
      </c>
      <c r="S54" s="3"/>
      <c r="T54" s="8">
        <v>1176.58</v>
      </c>
      <c r="U54" s="3"/>
      <c r="V54" s="7">
        <f t="shared" si="33"/>
        <v>6.5506211949547227E-2</v>
      </c>
      <c r="W54" s="3"/>
      <c r="X54" s="8">
        <f t="shared" si="34"/>
        <v>-1176.58</v>
      </c>
      <c r="Y54" s="3"/>
      <c r="Z54" s="7">
        <f t="shared" si="35"/>
        <v>-1</v>
      </c>
    </row>
    <row r="55" spans="1:26" s="24" customFormat="1" hidden="1" outlineLevel="2" x14ac:dyDescent="0.25">
      <c r="A55" s="29"/>
      <c r="B55" s="11" t="str">
        <f>CONCATENATE("          ", "6241", " - ", "OFFICE EXPENSE")</f>
        <v xml:space="preserve">          6241 - OFFICE EXPENSE</v>
      </c>
      <c r="C55" s="11"/>
      <c r="D55" s="8"/>
      <c r="E55" s="3"/>
      <c r="F55" s="7">
        <f t="shared" si="28"/>
        <v>0</v>
      </c>
      <c r="G55" s="3"/>
      <c r="H55" s="8">
        <v>1074.28</v>
      </c>
      <c r="I55" s="3"/>
      <c r="J55" s="7">
        <f t="shared" si="29"/>
        <v>5.9810648976830812E-2</v>
      </c>
      <c r="K55" s="3"/>
      <c r="L55" s="8">
        <f t="shared" si="30"/>
        <v>-1074.28</v>
      </c>
      <c r="M55" s="3"/>
      <c r="N55" s="7">
        <f t="shared" si="31"/>
        <v>-1</v>
      </c>
      <c r="O55" s="11"/>
      <c r="P55" s="8"/>
      <c r="Q55" s="3"/>
      <c r="R55" s="7">
        <f t="shared" si="32"/>
        <v>0</v>
      </c>
      <c r="S55" s="3"/>
      <c r="T55" s="8">
        <v>1074.28</v>
      </c>
      <c r="U55" s="3"/>
      <c r="V55" s="7">
        <f t="shared" si="33"/>
        <v>5.9810648976830812E-2</v>
      </c>
      <c r="W55" s="3"/>
      <c r="X55" s="8">
        <f t="shared" si="34"/>
        <v>-1074.28</v>
      </c>
      <c r="Y55" s="3"/>
      <c r="Z55" s="7">
        <f t="shared" si="35"/>
        <v>-1</v>
      </c>
    </row>
    <row r="56" spans="1:26" s="24" customFormat="1" hidden="1" outlineLevel="2" x14ac:dyDescent="0.25">
      <c r="A56" s="29"/>
      <c r="B56" s="11" t="str">
        <f>CONCATENATE("          ", "6243", " - ", "PAPER SUPPLIES")</f>
        <v xml:space="preserve">          6243 - PAPER SUPPLIES</v>
      </c>
      <c r="C56" s="11"/>
      <c r="D56" s="8"/>
      <c r="E56" s="3"/>
      <c r="F56" s="7">
        <f t="shared" si="28"/>
        <v>0</v>
      </c>
      <c r="G56" s="3"/>
      <c r="H56" s="8">
        <v>565.70000000000005</v>
      </c>
      <c r="I56" s="3"/>
      <c r="J56" s="7">
        <f t="shared" si="29"/>
        <v>3.1495405412176707E-2</v>
      </c>
      <c r="K56" s="3"/>
      <c r="L56" s="8">
        <f t="shared" si="30"/>
        <v>-565.70000000000005</v>
      </c>
      <c r="M56" s="3"/>
      <c r="N56" s="7">
        <f t="shared" si="31"/>
        <v>-1</v>
      </c>
      <c r="O56" s="11"/>
      <c r="P56" s="8"/>
      <c r="Q56" s="3"/>
      <c r="R56" s="7">
        <f t="shared" si="32"/>
        <v>0</v>
      </c>
      <c r="S56" s="3"/>
      <c r="T56" s="8">
        <v>565.70000000000005</v>
      </c>
      <c r="U56" s="3"/>
      <c r="V56" s="7">
        <f t="shared" si="33"/>
        <v>3.1495405412176707E-2</v>
      </c>
      <c r="W56" s="3"/>
      <c r="X56" s="8">
        <f t="shared" si="34"/>
        <v>-565.70000000000005</v>
      </c>
      <c r="Y56" s="3"/>
      <c r="Z56" s="7">
        <f t="shared" si="35"/>
        <v>-1</v>
      </c>
    </row>
    <row r="57" spans="1:26" s="24" customFormat="1" hidden="1" outlineLevel="2" x14ac:dyDescent="0.25">
      <c r="A57" s="29"/>
      <c r="B57" s="11" t="str">
        <f>CONCATENATE("          ", "6245", " - ", "PRINTING")</f>
        <v xml:space="preserve">          6245 - PRINTING</v>
      </c>
      <c r="C57" s="11"/>
      <c r="D57" s="8"/>
      <c r="E57" s="3"/>
      <c r="F57" s="7">
        <f t="shared" si="28"/>
        <v>0</v>
      </c>
      <c r="G57" s="3"/>
      <c r="H57" s="8">
        <v>114.75</v>
      </c>
      <c r="I57" s="3"/>
      <c r="J57" s="7">
        <f t="shared" si="29"/>
        <v>6.388717997255218E-3</v>
      </c>
      <c r="K57" s="3"/>
      <c r="L57" s="8">
        <f t="shared" si="30"/>
        <v>-114.75</v>
      </c>
      <c r="M57" s="3"/>
      <c r="N57" s="7">
        <f t="shared" si="31"/>
        <v>-1</v>
      </c>
      <c r="O57" s="11"/>
      <c r="P57" s="8"/>
      <c r="Q57" s="3"/>
      <c r="R57" s="7">
        <f t="shared" si="32"/>
        <v>0</v>
      </c>
      <c r="S57" s="3"/>
      <c r="T57" s="8">
        <v>114.75</v>
      </c>
      <c r="U57" s="3"/>
      <c r="V57" s="7">
        <f t="shared" si="33"/>
        <v>6.388717997255218E-3</v>
      </c>
      <c r="W57" s="3"/>
      <c r="X57" s="8">
        <f t="shared" si="34"/>
        <v>-114.75</v>
      </c>
      <c r="Y57" s="3"/>
      <c r="Z57" s="7">
        <f t="shared" si="35"/>
        <v>-1</v>
      </c>
    </row>
    <row r="58" spans="1:26" s="27" customFormat="1" outlineLevel="1" collapsed="1" x14ac:dyDescent="0.25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SUM(OSRRefD22_12x_0)</f>
        <v>0</v>
      </c>
      <c r="E58" s="1"/>
      <c r="F58" s="5">
        <f t="shared" ref="F58:F59" si="36">IF(D$12=0,0,D58/D$12)</f>
        <v>0</v>
      </c>
      <c r="G58" s="1"/>
      <c r="H58" s="1">
        <f>SUM(OSRRefH22_12x_0)</f>
        <v>-95</v>
      </c>
      <c r="I58" s="1"/>
      <c r="J58" s="5">
        <f t="shared" ref="J58:J59" si="37">IF(H$12=0,0,H58/H$12)</f>
        <v>-5.2891347253964764E-3</v>
      </c>
      <c r="K58" s="1"/>
      <c r="L58" s="1">
        <f t="shared" ref="L58:L59" si="38">+D58-H58</f>
        <v>95</v>
      </c>
      <c r="M58" s="1"/>
      <c r="N58" s="5">
        <f t="shared" ref="N58:N59" si="39">IF(H58=0,0,L58/H58)</f>
        <v>-1</v>
      </c>
      <c r="O58" s="14"/>
      <c r="P58" s="1">
        <f>SUM(OSRRefP22_12x_0)</f>
        <v>0</v>
      </c>
      <c r="Q58" s="1"/>
      <c r="R58" s="5">
        <f t="shared" ref="R58:R59" si="40">IF(P$12=0,0,P58/P$12)</f>
        <v>0</v>
      </c>
      <c r="S58" s="1"/>
      <c r="T58" s="1">
        <f>SUM(OSRRefT22_12x_0)</f>
        <v>-95</v>
      </c>
      <c r="U58" s="1"/>
      <c r="V58" s="5">
        <f t="shared" ref="V58:V59" si="41">IF(T$12=0,0,T58/T$12)</f>
        <v>-5.2891347253964764E-3</v>
      </c>
      <c r="W58" s="1"/>
      <c r="X58" s="1">
        <f t="shared" ref="X58:X59" si="42">+P58-T58</f>
        <v>95</v>
      </c>
      <c r="Y58" s="1"/>
      <c r="Z58" s="5">
        <f t="shared" ref="Z58:Z59" si="43">IF(T58=0,0,X58/T58)</f>
        <v>-1</v>
      </c>
    </row>
    <row r="59" spans="1:26" s="24" customFormat="1" hidden="1" outlineLevel="2" x14ac:dyDescent="0.25">
      <c r="A59" s="29"/>
      <c r="B59" s="11" t="str">
        <f>CONCATENATE("          ", "6309", " - ", "TELEPHONE")</f>
        <v xml:space="preserve">          6309 - TELEPHONE</v>
      </c>
      <c r="C59" s="11"/>
      <c r="D59" s="8"/>
      <c r="E59" s="3"/>
      <c r="F59" s="7">
        <f t="shared" si="36"/>
        <v>0</v>
      </c>
      <c r="G59" s="3"/>
      <c r="H59" s="8">
        <v>-95</v>
      </c>
      <c r="I59" s="3"/>
      <c r="J59" s="7">
        <f t="shared" si="37"/>
        <v>-5.2891347253964764E-3</v>
      </c>
      <c r="K59" s="3"/>
      <c r="L59" s="8">
        <f t="shared" si="38"/>
        <v>95</v>
      </c>
      <c r="M59" s="3"/>
      <c r="N59" s="7">
        <f t="shared" si="39"/>
        <v>-1</v>
      </c>
      <c r="O59" s="11"/>
      <c r="P59" s="8"/>
      <c r="Q59" s="3"/>
      <c r="R59" s="7">
        <f t="shared" si="40"/>
        <v>0</v>
      </c>
      <c r="S59" s="3"/>
      <c r="T59" s="8">
        <v>-95</v>
      </c>
      <c r="U59" s="3"/>
      <c r="V59" s="7">
        <f t="shared" si="41"/>
        <v>-5.2891347253964764E-3</v>
      </c>
      <c r="W59" s="3"/>
      <c r="X59" s="8">
        <f t="shared" si="42"/>
        <v>95</v>
      </c>
      <c r="Y59" s="3"/>
      <c r="Z59" s="7">
        <f t="shared" si="43"/>
        <v>-1</v>
      </c>
    </row>
    <row r="60" spans="1:26" s="61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25">
      <c r="A63" s="10"/>
      <c r="B63" s="26" t="s">
        <v>3</v>
      </c>
      <c r="C63" s="26"/>
      <c r="D63" s="19">
        <f>+D20-D22+D61</f>
        <v>-1699.65</v>
      </c>
      <c r="E63" s="13"/>
      <c r="F63" s="20">
        <f>IF(D$12=0,0,D63/D$12)</f>
        <v>-1.743391697695172</v>
      </c>
      <c r="G63" s="13"/>
      <c r="H63" s="19">
        <f>+H20-H22+H61</f>
        <v>-13670.500000000004</v>
      </c>
      <c r="I63" s="13"/>
      <c r="J63" s="20">
        <f>IF(H$12=0,0,H63/H$12)</f>
        <v>-0.76110648698455319</v>
      </c>
      <c r="K63" s="16"/>
      <c r="L63" s="19">
        <f>+D63-H63</f>
        <v>11970.850000000004</v>
      </c>
      <c r="M63" s="16"/>
      <c r="N63" s="20">
        <f>IF(H63=0,0,L63/H63)</f>
        <v>-0.8756702388354487</v>
      </c>
      <c r="O63" s="25"/>
      <c r="P63" s="19">
        <f>+P20-P22+P61</f>
        <v>-1699.65</v>
      </c>
      <c r="Q63" s="13"/>
      <c r="R63" s="20">
        <f>IF(P$12=0,0,P63/P$12)</f>
        <v>-1.743391697695172</v>
      </c>
      <c r="S63" s="13"/>
      <c r="T63" s="19">
        <f>+T20-T22+T61</f>
        <v>-13670.500000000004</v>
      </c>
      <c r="U63" s="13"/>
      <c r="V63" s="20">
        <f>IF(T$12=0,0,T63/T$12)</f>
        <v>-0.76110648698455319</v>
      </c>
      <c r="W63" s="16"/>
      <c r="X63" s="19">
        <f>+P63-T63</f>
        <v>11970.850000000004</v>
      </c>
      <c r="Y63" s="16"/>
      <c r="Z63" s="20">
        <f>IF(T63=0,0,X63/T63)</f>
        <v>-0.8756702388354487</v>
      </c>
    </row>
    <row r="64" spans="1:26" x14ac:dyDescent="0.25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25">
      <c r="A65" s="51"/>
      <c r="B65" s="10" t="s">
        <v>13</v>
      </c>
      <c r="C65" s="10"/>
      <c r="D65" s="4">
        <v>468.88</v>
      </c>
      <c r="E65" s="4"/>
      <c r="F65" s="12">
        <f>IF(D$12=0,0,D65/D$12)</f>
        <v>0.48094695920649089</v>
      </c>
      <c r="G65" s="4"/>
      <c r="H65" s="4">
        <v>3734.69</v>
      </c>
      <c r="I65" s="4"/>
      <c r="J65" s="12">
        <f>IF(H$12=0,0,H65/H$12)</f>
        <v>0.20792924807990493</v>
      </c>
      <c r="K65" s="4"/>
      <c r="L65" s="4">
        <f>+D65-H65</f>
        <v>-3265.81</v>
      </c>
      <c r="M65" s="4"/>
      <c r="N65" s="12">
        <f>IF(H65=0,0,L65/H65)</f>
        <v>-0.87445276582527598</v>
      </c>
      <c r="O65" s="10"/>
      <c r="P65" s="4">
        <v>468.88</v>
      </c>
      <c r="Q65" s="4"/>
      <c r="R65" s="12">
        <f>IF(P$12=0,0,P65/P$12)</f>
        <v>0.48094695920649089</v>
      </c>
      <c r="S65" s="4"/>
      <c r="T65" s="4">
        <v>3734.69</v>
      </c>
      <c r="U65" s="4"/>
      <c r="V65" s="12">
        <f>IF(T$12=0,0,T65/T$12)</f>
        <v>0.20792924807990493</v>
      </c>
      <c r="W65" s="4"/>
      <c r="X65" s="4">
        <f>+P65-T65</f>
        <v>-3265.81</v>
      </c>
      <c r="Y65" s="4"/>
      <c r="Z65" s="12">
        <f>IF(T65=0,0,X65/T65)</f>
        <v>-0.87445276582527598</v>
      </c>
    </row>
    <row r="66" spans="1:26" x14ac:dyDescent="0.25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.75" thickBot="1" x14ac:dyDescent="0.3">
      <c r="A67" s="10"/>
      <c r="B67" s="26" t="s">
        <v>4</v>
      </c>
      <c r="C67" s="26"/>
      <c r="D67" s="35">
        <f>+D63-D65</f>
        <v>-2168.5300000000002</v>
      </c>
      <c r="E67" s="13"/>
      <c r="F67" s="30">
        <f>IF(D$12=0,0,D67/D$12)</f>
        <v>-2.2243386569016632</v>
      </c>
      <c r="G67" s="13"/>
      <c r="H67" s="35">
        <f>+H63-H65</f>
        <v>-17405.190000000002</v>
      </c>
      <c r="I67" s="13"/>
      <c r="J67" s="30">
        <f>IF(H$12=0,0,H67/H$12)</f>
        <v>-0.96903573506445806</v>
      </c>
      <c r="K67" s="16"/>
      <c r="L67" s="35">
        <f>D67-H67</f>
        <v>15236.660000000002</v>
      </c>
      <c r="M67" s="16"/>
      <c r="N67" s="30">
        <f>IF(H67=0,0,L67/H67)</f>
        <v>-0.87540900156792312</v>
      </c>
      <c r="O67" s="25"/>
      <c r="P67" s="35">
        <f>+P63-P65</f>
        <v>-2168.5300000000002</v>
      </c>
      <c r="Q67" s="13"/>
      <c r="R67" s="30">
        <f>IF(P$12=0,0,P67/P$12)</f>
        <v>-2.2243386569016632</v>
      </c>
      <c r="S67" s="13"/>
      <c r="T67" s="35">
        <f>+T63-T65</f>
        <v>-17405.190000000002</v>
      </c>
      <c r="U67" s="13"/>
      <c r="V67" s="30">
        <f>IF(T$12=0,0,T67/T$12)</f>
        <v>-0.96903573506445806</v>
      </c>
      <c r="W67" s="16"/>
      <c r="X67" s="35">
        <f>P67-T67</f>
        <v>15236.660000000002</v>
      </c>
      <c r="Y67" s="16"/>
      <c r="Z67" s="30">
        <f>IF(T67=0,0,X67/T67)</f>
        <v>-0.87540900156792312</v>
      </c>
    </row>
    <row r="68" spans="1:26" ht="15.75" thickTop="1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25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.75" thickBot="1" x14ac:dyDescent="0.3">
      <c r="A70" s="10"/>
      <c r="B70" s="26" t="s">
        <v>5</v>
      </c>
      <c r="C70" s="26"/>
      <c r="D70" s="31">
        <f>SUM(D67:D69)</f>
        <v>-2168.5300000000002</v>
      </c>
      <c r="E70" s="13"/>
      <c r="F70" s="32">
        <f>IF(D$12=0,0,D70/D$12)</f>
        <v>-2.2243386569016632</v>
      </c>
      <c r="G70" s="13"/>
      <c r="H70" s="31">
        <f>SUM(H67:H69)</f>
        <v>-17405.190000000002</v>
      </c>
      <c r="I70" s="13"/>
      <c r="J70" s="32">
        <f>IF(H$12=0,0,H70/H$12)</f>
        <v>-0.96903573506445806</v>
      </c>
      <c r="K70" s="16"/>
      <c r="L70" s="31">
        <f>+D70-H70</f>
        <v>15236.660000000002</v>
      </c>
      <c r="M70" s="16"/>
      <c r="N70" s="32">
        <f>IF(H70=0,0,L70/H70)</f>
        <v>-0.87540900156792312</v>
      </c>
      <c r="O70" s="25"/>
      <c r="P70" s="31">
        <f>SUM(P67:P69)</f>
        <v>-2168.5300000000002</v>
      </c>
      <c r="Q70" s="13"/>
      <c r="R70" s="32">
        <f>IF(P$12=0,0,P70/P$12)</f>
        <v>-2.2243386569016632</v>
      </c>
      <c r="S70" s="13"/>
      <c r="T70" s="31">
        <f>SUM(T67:T69)</f>
        <v>-17405.190000000002</v>
      </c>
      <c r="U70" s="13"/>
      <c r="V70" s="32">
        <f>IF(T$12=0,0,T70/T$12)</f>
        <v>-0.96903573506445806</v>
      </c>
      <c r="W70" s="16"/>
      <c r="X70" s="31">
        <f>+P70-T70</f>
        <v>15236.660000000002</v>
      </c>
      <c r="Y70" s="16"/>
      <c r="Z70" s="32">
        <f>IF(T70=0,0,X70/T70)</f>
        <v>-0.87540900156792312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9">
        <v>44109.414669872684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25312.87</v>
      </c>
      <c r="I12" s="4"/>
      <c r="J12" s="12"/>
      <c r="K12" s="4"/>
      <c r="L12" s="4">
        <f t="shared" ref="L12:L14" si="0">+D12-H12</f>
        <v>-25312.87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25312.87</v>
      </c>
      <c r="U12" s="4"/>
      <c r="V12" s="12"/>
      <c r="W12" s="4"/>
      <c r="X12" s="4">
        <f t="shared" ref="X12:X14" si="2">+P12-T12</f>
        <v>-25312.87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3">
        <f t="shared" ref="D13:D14" si="4">0</f>
        <v>0</v>
      </c>
      <c r="E13" s="3"/>
      <c r="F13" s="22"/>
      <c r="G13" s="3"/>
      <c r="H13" s="3">
        <f>--9771.4</f>
        <v>9771.4</v>
      </c>
      <c r="I13" s="3"/>
      <c r="J13" s="22"/>
      <c r="K13" s="3"/>
      <c r="L13" s="3">
        <f t="shared" si="0"/>
        <v>-9771.4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--9771.4</f>
        <v>9771.4</v>
      </c>
      <c r="U13" s="3"/>
      <c r="V13" s="22"/>
      <c r="W13" s="3"/>
      <c r="X13" s="3">
        <f t="shared" si="2"/>
        <v>-9771.4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--15541.47</f>
        <v>15541.47</v>
      </c>
      <c r="I14" s="3"/>
      <c r="J14" s="22"/>
      <c r="K14" s="3"/>
      <c r="L14" s="3">
        <f t="shared" si="0"/>
        <v>-15541.47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--15541.47</f>
        <v>15541.47</v>
      </c>
      <c r="U14" s="3"/>
      <c r="V14" s="22"/>
      <c r="W14" s="3"/>
      <c r="X14" s="3">
        <f t="shared" si="2"/>
        <v>-15541.47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6079.92</v>
      </c>
      <c r="I16" s="4"/>
      <c r="J16" s="12">
        <f t="shared" ref="J16:J18" si="7">IF(H$12=0,0,H16/H$12)</f>
        <v>0.24019085943237573</v>
      </c>
      <c r="K16" s="4"/>
      <c r="L16" s="4">
        <f t="shared" ref="L16:L18" si="8">+D16-H16</f>
        <v>-6079.92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6079.92</v>
      </c>
      <c r="U16" s="4"/>
      <c r="V16" s="12">
        <f t="shared" ref="V16:V18" si="11">IF(T$12=0,0,T16/T$12)</f>
        <v>0.24019085943237573</v>
      </c>
      <c r="W16" s="4"/>
      <c r="X16" s="4">
        <f t="shared" ref="X16:X18" si="12">+P16-T16</f>
        <v>-6079.92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8059.92</v>
      </c>
      <c r="I17" s="3"/>
      <c r="J17" s="22">
        <f t="shared" si="7"/>
        <v>0.31841193827487757</v>
      </c>
      <c r="K17" s="3"/>
      <c r="L17" s="3">
        <f t="shared" si="8"/>
        <v>-8059.92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8059.92</v>
      </c>
      <c r="U17" s="3"/>
      <c r="V17" s="22">
        <f t="shared" si="11"/>
        <v>0.31841193827487757</v>
      </c>
      <c r="W17" s="3"/>
      <c r="X17" s="3">
        <f t="shared" si="12"/>
        <v>-8059.92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-1980</v>
      </c>
      <c r="I18" s="3"/>
      <c r="J18" s="22">
        <f t="shared" si="7"/>
        <v>-7.8221078842501859E-2</v>
      </c>
      <c r="K18" s="3"/>
      <c r="L18" s="3">
        <f t="shared" si="8"/>
        <v>1980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-1980</v>
      </c>
      <c r="U18" s="3"/>
      <c r="V18" s="22">
        <f t="shared" si="11"/>
        <v>-7.8221078842501859E-2</v>
      </c>
      <c r="W18" s="3"/>
      <c r="X18" s="3">
        <f t="shared" si="12"/>
        <v>1980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19232.949999999997</v>
      </c>
      <c r="I20" s="13"/>
      <c r="J20" s="20">
        <f>IF(H$12=0,0,H20/H$12)</f>
        <v>0.75980914056762416</v>
      </c>
      <c r="K20" s="16"/>
      <c r="L20" s="19">
        <f>+D20-H20</f>
        <v>-19232.949999999997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19232.949999999997</v>
      </c>
      <c r="U20" s="13"/>
      <c r="V20" s="20">
        <f>IF(T$12=0,0,T20/T$12)</f>
        <v>0.75980914056762416</v>
      </c>
      <c r="W20" s="16"/>
      <c r="X20" s="19">
        <f>+P20-T20</f>
        <v>-19232.949999999997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56656.840000000004</v>
      </c>
      <c r="E22" s="21"/>
      <c r="F22" s="34">
        <f t="shared" ref="F22:F31" si="14">IF(D$12=0,0,D22/D$12)</f>
        <v>0</v>
      </c>
      <c r="G22" s="21"/>
      <c r="H22" s="21">
        <f>SUM(OSRRefH22x_0)</f>
        <v>62615.51</v>
      </c>
      <c r="I22" s="21"/>
      <c r="J22" s="34">
        <f t="shared" ref="J22:J31" si="15">IF(H$12=0,0,H22/H$12)</f>
        <v>2.4736630022593253</v>
      </c>
      <c r="K22" s="4"/>
      <c r="L22" s="21">
        <f t="shared" ref="L22:L31" si="16">+D22-H22</f>
        <v>-5958.6699999999983</v>
      </c>
      <c r="M22" s="4"/>
      <c r="N22" s="34">
        <f t="shared" ref="N22:N31" si="17">IF(H22=0,0,L22/H22)</f>
        <v>-9.5162843838531352E-2</v>
      </c>
      <c r="O22" s="10"/>
      <c r="P22" s="21">
        <f>SUM(OSRRefP22x_0)</f>
        <v>56656.840000000004</v>
      </c>
      <c r="Q22" s="21"/>
      <c r="R22" s="34">
        <f t="shared" ref="R22:R31" si="18">IF(P$12=0,0,P22/P$12)</f>
        <v>0</v>
      </c>
      <c r="S22" s="21"/>
      <c r="T22" s="21">
        <f>SUM(OSRRefT22x_0)</f>
        <v>62615.51</v>
      </c>
      <c r="U22" s="21"/>
      <c r="V22" s="34">
        <f t="shared" ref="V22:V31" si="19">IF(T$12=0,0,T22/T$12)</f>
        <v>2.4736630022593253</v>
      </c>
      <c r="W22" s="4"/>
      <c r="X22" s="21">
        <f t="shared" ref="X22:X31" si="20">+P22-T22</f>
        <v>-5958.6699999999983</v>
      </c>
      <c r="Y22" s="4"/>
      <c r="Z22" s="34">
        <f t="shared" ref="Z22:Z31" si="21">IF(T22=0,0,X22/T22)</f>
        <v>-9.5162843838531352E-2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7755.9</v>
      </c>
      <c r="E23" s="1"/>
      <c r="F23" s="5">
        <f t="shared" si="14"/>
        <v>0</v>
      </c>
      <c r="G23" s="1"/>
      <c r="H23" s="1">
        <f>SUM(OSRRefH22_0x_0)</f>
        <v>11148.38</v>
      </c>
      <c r="I23" s="1"/>
      <c r="J23" s="5">
        <f t="shared" si="15"/>
        <v>0.44042338936675296</v>
      </c>
      <c r="K23" s="1"/>
      <c r="L23" s="1">
        <f t="shared" si="16"/>
        <v>-3392.4799999999996</v>
      </c>
      <c r="M23" s="1"/>
      <c r="N23" s="5">
        <f t="shared" si="17"/>
        <v>-0.3043025085259024</v>
      </c>
      <c r="O23" s="14"/>
      <c r="P23" s="1">
        <f>SUM(OSRRefP22_0x_0)</f>
        <v>7755.9</v>
      </c>
      <c r="Q23" s="1"/>
      <c r="R23" s="5">
        <f t="shared" si="18"/>
        <v>0</v>
      </c>
      <c r="S23" s="1"/>
      <c r="T23" s="1">
        <f>SUM(OSRRefT22_0x_0)</f>
        <v>11148.38</v>
      </c>
      <c r="U23" s="1"/>
      <c r="V23" s="5">
        <f t="shared" si="19"/>
        <v>0.44042338936675296</v>
      </c>
      <c r="W23" s="1"/>
      <c r="X23" s="1">
        <f t="shared" si="20"/>
        <v>-3392.4799999999996</v>
      </c>
      <c r="Y23" s="1"/>
      <c r="Z23" s="5">
        <f t="shared" si="21"/>
        <v>-0.3043025085259024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1011.28</v>
      </c>
      <c r="E24" s="3"/>
      <c r="F24" s="7">
        <f t="shared" si="14"/>
        <v>0</v>
      </c>
      <c r="G24" s="3"/>
      <c r="H24" s="8">
        <v>1109.3800000000001</v>
      </c>
      <c r="I24" s="3"/>
      <c r="J24" s="7">
        <f t="shared" si="15"/>
        <v>4.3826717397118548E-2</v>
      </c>
      <c r="K24" s="3"/>
      <c r="L24" s="8">
        <f t="shared" si="16"/>
        <v>-98.100000000000136</v>
      </c>
      <c r="M24" s="3"/>
      <c r="N24" s="7">
        <f t="shared" si="17"/>
        <v>-8.8427770466386751E-2</v>
      </c>
      <c r="O24" s="11"/>
      <c r="P24" s="8">
        <v>1011.28</v>
      </c>
      <c r="Q24" s="3"/>
      <c r="R24" s="7">
        <f t="shared" si="18"/>
        <v>0</v>
      </c>
      <c r="S24" s="3"/>
      <c r="T24" s="8">
        <v>1109.3800000000001</v>
      </c>
      <c r="U24" s="3"/>
      <c r="V24" s="7">
        <f t="shared" si="19"/>
        <v>4.3826717397118548E-2</v>
      </c>
      <c r="W24" s="3"/>
      <c r="X24" s="8">
        <f t="shared" si="20"/>
        <v>-98.100000000000136</v>
      </c>
      <c r="Y24" s="3"/>
      <c r="Z24" s="7">
        <f t="shared" si="21"/>
        <v>-8.8427770466386751E-2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>
        <v>443.14</v>
      </c>
      <c r="E25" s="3"/>
      <c r="F25" s="7">
        <f t="shared" si="14"/>
        <v>0</v>
      </c>
      <c r="G25" s="3"/>
      <c r="H25" s="8">
        <v>564.29999999999995</v>
      </c>
      <c r="I25" s="3"/>
      <c r="J25" s="7">
        <f t="shared" si="15"/>
        <v>2.2293007470113028E-2</v>
      </c>
      <c r="K25" s="3"/>
      <c r="L25" s="8">
        <f t="shared" si="16"/>
        <v>-121.15999999999997</v>
      </c>
      <c r="M25" s="3"/>
      <c r="N25" s="7">
        <f t="shared" si="17"/>
        <v>-0.21470848839269888</v>
      </c>
      <c r="O25" s="11"/>
      <c r="P25" s="8">
        <v>443.14</v>
      </c>
      <c r="Q25" s="3"/>
      <c r="R25" s="7">
        <f t="shared" si="18"/>
        <v>0</v>
      </c>
      <c r="S25" s="3"/>
      <c r="T25" s="8">
        <v>564.29999999999995</v>
      </c>
      <c r="U25" s="3"/>
      <c r="V25" s="7">
        <f t="shared" si="19"/>
        <v>2.2293007470113028E-2</v>
      </c>
      <c r="W25" s="3"/>
      <c r="X25" s="8">
        <f t="shared" si="20"/>
        <v>-121.15999999999997</v>
      </c>
      <c r="Y25" s="3"/>
      <c r="Z25" s="7">
        <f t="shared" si="21"/>
        <v>-0.21470848839269888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3371.81</v>
      </c>
      <c r="E26" s="3"/>
      <c r="F26" s="7">
        <f t="shared" si="14"/>
        <v>0</v>
      </c>
      <c r="G26" s="3"/>
      <c r="H26" s="8">
        <v>3090.11</v>
      </c>
      <c r="I26" s="3"/>
      <c r="J26" s="7">
        <f t="shared" si="15"/>
        <v>0.12207663532424416</v>
      </c>
      <c r="K26" s="3"/>
      <c r="L26" s="8">
        <f t="shared" si="16"/>
        <v>281.69999999999982</v>
      </c>
      <c r="M26" s="3"/>
      <c r="N26" s="7">
        <f t="shared" si="17"/>
        <v>9.1161803301500532E-2</v>
      </c>
      <c r="O26" s="11"/>
      <c r="P26" s="8">
        <v>3371.81</v>
      </c>
      <c r="Q26" s="3"/>
      <c r="R26" s="7">
        <f t="shared" si="18"/>
        <v>0</v>
      </c>
      <c r="S26" s="3"/>
      <c r="T26" s="8">
        <v>3090.11</v>
      </c>
      <c r="U26" s="3"/>
      <c r="V26" s="7">
        <f t="shared" si="19"/>
        <v>0.12207663532424416</v>
      </c>
      <c r="W26" s="3"/>
      <c r="X26" s="8">
        <f t="shared" si="20"/>
        <v>281.69999999999982</v>
      </c>
      <c r="Y26" s="3"/>
      <c r="Z26" s="7">
        <f t="shared" si="21"/>
        <v>9.1161803301500532E-2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>
        <v>47.76</v>
      </c>
      <c r="E27" s="3"/>
      <c r="F27" s="7">
        <f t="shared" si="14"/>
        <v>0</v>
      </c>
      <c r="G27" s="3"/>
      <c r="H27" s="8">
        <v>37.81</v>
      </c>
      <c r="I27" s="3"/>
      <c r="J27" s="7">
        <f t="shared" si="15"/>
        <v>1.4937065611287856E-3</v>
      </c>
      <c r="K27" s="3"/>
      <c r="L27" s="8">
        <f t="shared" si="16"/>
        <v>9.9499999999999957</v>
      </c>
      <c r="M27" s="3"/>
      <c r="N27" s="7">
        <f t="shared" si="17"/>
        <v>0.26315789473684198</v>
      </c>
      <c r="O27" s="11"/>
      <c r="P27" s="8">
        <v>47.76</v>
      </c>
      <c r="Q27" s="3"/>
      <c r="R27" s="7">
        <f t="shared" si="18"/>
        <v>0</v>
      </c>
      <c r="S27" s="3"/>
      <c r="T27" s="8">
        <v>37.81</v>
      </c>
      <c r="U27" s="3"/>
      <c r="V27" s="7">
        <f t="shared" si="19"/>
        <v>1.4937065611287856E-3</v>
      </c>
      <c r="W27" s="3"/>
      <c r="X27" s="8">
        <f t="shared" si="20"/>
        <v>9.9499999999999957</v>
      </c>
      <c r="Y27" s="3"/>
      <c r="Z27" s="7">
        <f t="shared" si="21"/>
        <v>0.26315789473684198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1085.25</v>
      </c>
      <c r="E28" s="3"/>
      <c r="F28" s="7">
        <f t="shared" si="14"/>
        <v>0</v>
      </c>
      <c r="G28" s="3"/>
      <c r="H28" s="8">
        <v>581.80999999999995</v>
      </c>
      <c r="I28" s="3"/>
      <c r="J28" s="7">
        <f t="shared" si="15"/>
        <v>2.2984750445129296E-2</v>
      </c>
      <c r="K28" s="3"/>
      <c r="L28" s="8">
        <f t="shared" si="16"/>
        <v>503.44000000000005</v>
      </c>
      <c r="M28" s="3"/>
      <c r="N28" s="7">
        <f t="shared" si="17"/>
        <v>0.86529966827658533</v>
      </c>
      <c r="O28" s="11"/>
      <c r="P28" s="8">
        <v>1085.25</v>
      </c>
      <c r="Q28" s="3"/>
      <c r="R28" s="7">
        <f t="shared" si="18"/>
        <v>0</v>
      </c>
      <c r="S28" s="3"/>
      <c r="T28" s="8">
        <v>581.80999999999995</v>
      </c>
      <c r="U28" s="3"/>
      <c r="V28" s="7">
        <f t="shared" si="19"/>
        <v>2.2984750445129296E-2</v>
      </c>
      <c r="W28" s="3"/>
      <c r="X28" s="8">
        <f t="shared" si="20"/>
        <v>503.44000000000005</v>
      </c>
      <c r="Y28" s="3"/>
      <c r="Z28" s="7">
        <f t="shared" si="21"/>
        <v>0.86529966827658533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915.11</v>
      </c>
      <c r="E29" s="3"/>
      <c r="F29" s="7">
        <f t="shared" si="14"/>
        <v>0</v>
      </c>
      <c r="G29" s="3"/>
      <c r="H29" s="8">
        <v>1739.39</v>
      </c>
      <c r="I29" s="3"/>
      <c r="J29" s="7">
        <f t="shared" si="15"/>
        <v>6.8715637539322888E-2</v>
      </c>
      <c r="K29" s="3"/>
      <c r="L29" s="8">
        <f t="shared" si="16"/>
        <v>-824.28000000000009</v>
      </c>
      <c r="M29" s="3"/>
      <c r="N29" s="7">
        <f t="shared" si="17"/>
        <v>-0.4738902718769224</v>
      </c>
      <c r="O29" s="11"/>
      <c r="P29" s="8">
        <v>915.11</v>
      </c>
      <c r="Q29" s="3"/>
      <c r="R29" s="7">
        <f t="shared" si="18"/>
        <v>0</v>
      </c>
      <c r="S29" s="3"/>
      <c r="T29" s="8">
        <v>1739.39</v>
      </c>
      <c r="U29" s="3"/>
      <c r="V29" s="7">
        <f t="shared" si="19"/>
        <v>6.8715637539322888E-2</v>
      </c>
      <c r="W29" s="3"/>
      <c r="X29" s="8">
        <f t="shared" si="20"/>
        <v>-824.28000000000009</v>
      </c>
      <c r="Y29" s="3"/>
      <c r="Z29" s="7">
        <f t="shared" si="21"/>
        <v>-0.4738902718769224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609.79999999999995</v>
      </c>
      <c r="E30" s="3"/>
      <c r="F30" s="7">
        <f t="shared" si="14"/>
        <v>0</v>
      </c>
      <c r="G30" s="3"/>
      <c r="H30" s="8">
        <v>3757.53</v>
      </c>
      <c r="I30" s="3"/>
      <c r="J30" s="7">
        <f t="shared" si="15"/>
        <v>0.1484434597894273</v>
      </c>
      <c r="K30" s="3"/>
      <c r="L30" s="8">
        <f t="shared" si="16"/>
        <v>-3147.7300000000005</v>
      </c>
      <c r="M30" s="3"/>
      <c r="N30" s="7">
        <f t="shared" si="17"/>
        <v>-0.83771253988657446</v>
      </c>
      <c r="O30" s="11"/>
      <c r="P30" s="8">
        <v>609.79999999999995</v>
      </c>
      <c r="Q30" s="3"/>
      <c r="R30" s="7">
        <f t="shared" si="18"/>
        <v>0</v>
      </c>
      <c r="S30" s="3"/>
      <c r="T30" s="8">
        <v>3757.53</v>
      </c>
      <c r="U30" s="3"/>
      <c r="V30" s="7">
        <f t="shared" si="19"/>
        <v>0.1484434597894273</v>
      </c>
      <c r="W30" s="3"/>
      <c r="X30" s="8">
        <f t="shared" si="20"/>
        <v>-3147.7300000000005</v>
      </c>
      <c r="Y30" s="3"/>
      <c r="Z30" s="7">
        <f t="shared" si="21"/>
        <v>-0.83771253988657446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>
        <v>271.75</v>
      </c>
      <c r="E31" s="3"/>
      <c r="F31" s="7">
        <f t="shared" si="14"/>
        <v>0</v>
      </c>
      <c r="G31" s="3"/>
      <c r="H31" s="8">
        <v>268.05</v>
      </c>
      <c r="I31" s="3"/>
      <c r="J31" s="7">
        <f t="shared" si="15"/>
        <v>1.0589474840269002E-2</v>
      </c>
      <c r="K31" s="3"/>
      <c r="L31" s="8">
        <f t="shared" si="16"/>
        <v>3.6999999999999886</v>
      </c>
      <c r="M31" s="3"/>
      <c r="N31" s="7">
        <f t="shared" si="17"/>
        <v>1.38033948890132E-2</v>
      </c>
      <c r="O31" s="11"/>
      <c r="P31" s="8">
        <v>271.75</v>
      </c>
      <c r="Q31" s="3"/>
      <c r="R31" s="7">
        <f t="shared" si="18"/>
        <v>0</v>
      </c>
      <c r="S31" s="3"/>
      <c r="T31" s="8">
        <v>268.05</v>
      </c>
      <c r="U31" s="3"/>
      <c r="V31" s="7">
        <f t="shared" si="19"/>
        <v>1.0589474840269002E-2</v>
      </c>
      <c r="W31" s="3"/>
      <c r="X31" s="8">
        <f t="shared" si="20"/>
        <v>3.6999999999999886</v>
      </c>
      <c r="Y31" s="3"/>
      <c r="Z31" s="7">
        <f t="shared" si="21"/>
        <v>1.38033948890132E-2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17350.91</v>
      </c>
      <c r="E32" s="1"/>
      <c r="F32" s="5">
        <f t="shared" ref="F32:F36" si="22">IF(D$12=0,0,D32/D$12)</f>
        <v>0</v>
      </c>
      <c r="G32" s="1"/>
      <c r="H32" s="1">
        <f>SUM(OSRRefH22_1x_0)</f>
        <v>17485.48</v>
      </c>
      <c r="I32" s="1"/>
      <c r="J32" s="5">
        <f t="shared" ref="J32:J36" si="23">IF(H$12=0,0,H32/H$12)</f>
        <v>0.69077429781767141</v>
      </c>
      <c r="K32" s="1"/>
      <c r="L32" s="1">
        <f t="shared" ref="L32:L36" si="24">+D32-H32</f>
        <v>-134.56999999999971</v>
      </c>
      <c r="M32" s="1"/>
      <c r="N32" s="5">
        <f t="shared" ref="N32:N36" si="25">IF(H32=0,0,L32/H32)</f>
        <v>-7.6960998497038521E-3</v>
      </c>
      <c r="O32" s="14"/>
      <c r="P32" s="1">
        <f>SUM(OSRRefP22_1x_0)</f>
        <v>17350.91</v>
      </c>
      <c r="Q32" s="1"/>
      <c r="R32" s="5">
        <f t="shared" ref="R32:R36" si="26">IF(P$12=0,0,P32/P$12)</f>
        <v>0</v>
      </c>
      <c r="S32" s="1"/>
      <c r="T32" s="1">
        <f>SUM(OSRRefT22_1x_0)</f>
        <v>17485.48</v>
      </c>
      <c r="U32" s="1"/>
      <c r="V32" s="5">
        <f t="shared" ref="V32:V36" si="27">IF(T$12=0,0,T32/T$12)</f>
        <v>0.69077429781767141</v>
      </c>
      <c r="W32" s="1"/>
      <c r="X32" s="1">
        <f t="shared" ref="X32:X36" si="28">+P32-T32</f>
        <v>-134.56999999999971</v>
      </c>
      <c r="Y32" s="1"/>
      <c r="Z32" s="5">
        <f t="shared" ref="Z32:Z36" si="29">IF(T32=0,0,X32/T32)</f>
        <v>-7.6960998497038521E-3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13229.18</v>
      </c>
      <c r="E33" s="3"/>
      <c r="F33" s="7">
        <f t="shared" si="22"/>
        <v>0</v>
      </c>
      <c r="G33" s="3"/>
      <c r="H33" s="8">
        <v>5692.21</v>
      </c>
      <c r="I33" s="3"/>
      <c r="J33" s="7">
        <f t="shared" si="23"/>
        <v>0.2248741450495341</v>
      </c>
      <c r="K33" s="3"/>
      <c r="L33" s="8">
        <f t="shared" si="24"/>
        <v>7536.97</v>
      </c>
      <c r="M33" s="3"/>
      <c r="N33" s="7">
        <f t="shared" si="25"/>
        <v>1.3240850214591522</v>
      </c>
      <c r="O33" s="11"/>
      <c r="P33" s="8">
        <v>13229.18</v>
      </c>
      <c r="Q33" s="3"/>
      <c r="R33" s="7">
        <f t="shared" si="26"/>
        <v>0</v>
      </c>
      <c r="S33" s="3"/>
      <c r="T33" s="8">
        <v>5692.21</v>
      </c>
      <c r="U33" s="3"/>
      <c r="V33" s="7">
        <f t="shared" si="27"/>
        <v>0.2248741450495341</v>
      </c>
      <c r="W33" s="3"/>
      <c r="X33" s="8">
        <f t="shared" si="28"/>
        <v>7536.97</v>
      </c>
      <c r="Y33" s="3"/>
      <c r="Z33" s="7">
        <f t="shared" si="29"/>
        <v>1.3240850214591522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8">
        <v>2771.73</v>
      </c>
      <c r="E34" s="3"/>
      <c r="F34" s="7">
        <f t="shared" si="22"/>
        <v>0</v>
      </c>
      <c r="G34" s="3"/>
      <c r="H34" s="8">
        <v>3249.32</v>
      </c>
      <c r="I34" s="3"/>
      <c r="J34" s="7">
        <f t="shared" si="23"/>
        <v>0.12836632116389807</v>
      </c>
      <c r="K34" s="3"/>
      <c r="L34" s="8">
        <f t="shared" si="24"/>
        <v>-477.59000000000015</v>
      </c>
      <c r="M34" s="3"/>
      <c r="N34" s="7">
        <f t="shared" si="25"/>
        <v>-0.14698152228774025</v>
      </c>
      <c r="O34" s="11"/>
      <c r="P34" s="8">
        <v>2771.73</v>
      </c>
      <c r="Q34" s="3"/>
      <c r="R34" s="7">
        <f t="shared" si="26"/>
        <v>0</v>
      </c>
      <c r="S34" s="3"/>
      <c r="T34" s="8">
        <v>3249.32</v>
      </c>
      <c r="U34" s="3"/>
      <c r="V34" s="7">
        <f t="shared" si="27"/>
        <v>0.12836632116389807</v>
      </c>
      <c r="W34" s="3"/>
      <c r="X34" s="8">
        <f t="shared" si="28"/>
        <v>-477.59000000000015</v>
      </c>
      <c r="Y34" s="3"/>
      <c r="Z34" s="7">
        <f t="shared" si="29"/>
        <v>-0.14698152228774025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22"/>
        <v>0</v>
      </c>
      <c r="G35" s="3"/>
      <c r="H35" s="8">
        <v>3458.39</v>
      </c>
      <c r="I35" s="3"/>
      <c r="J35" s="7">
        <f t="shared" si="23"/>
        <v>0.13662575598894949</v>
      </c>
      <c r="K35" s="3"/>
      <c r="L35" s="8">
        <f t="shared" si="24"/>
        <v>-3458.39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3458.39</v>
      </c>
      <c r="U35" s="3"/>
      <c r="V35" s="7">
        <f t="shared" si="27"/>
        <v>0.13662575598894949</v>
      </c>
      <c r="W35" s="3"/>
      <c r="X35" s="8">
        <f t="shared" si="28"/>
        <v>-3458.39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>
        <v>1350</v>
      </c>
      <c r="E36" s="3"/>
      <c r="F36" s="7">
        <f t="shared" si="22"/>
        <v>0</v>
      </c>
      <c r="G36" s="3"/>
      <c r="H36" s="8">
        <v>5085.5600000000004</v>
      </c>
      <c r="I36" s="3"/>
      <c r="J36" s="7">
        <f t="shared" si="23"/>
        <v>0.20090807561528978</v>
      </c>
      <c r="K36" s="3"/>
      <c r="L36" s="8">
        <f t="shared" si="24"/>
        <v>-3735.5600000000004</v>
      </c>
      <c r="M36" s="3"/>
      <c r="N36" s="7">
        <f t="shared" si="25"/>
        <v>-0.73454250859295733</v>
      </c>
      <c r="O36" s="11"/>
      <c r="P36" s="8">
        <v>1350</v>
      </c>
      <c r="Q36" s="3"/>
      <c r="R36" s="7">
        <f t="shared" si="26"/>
        <v>0</v>
      </c>
      <c r="S36" s="3"/>
      <c r="T36" s="8">
        <v>5085.5600000000004</v>
      </c>
      <c r="U36" s="3"/>
      <c r="V36" s="7">
        <f t="shared" si="27"/>
        <v>0.20090807561528978</v>
      </c>
      <c r="W36" s="3"/>
      <c r="X36" s="8">
        <f t="shared" si="28"/>
        <v>-3735.5600000000004</v>
      </c>
      <c r="Y36" s="3"/>
      <c r="Z36" s="7">
        <f t="shared" si="29"/>
        <v>-0.73454250859295733</v>
      </c>
    </row>
    <row r="37" spans="1:26" s="27" customFormat="1" outlineLevel="1" collapsed="1" x14ac:dyDescent="0.25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45.97</v>
      </c>
      <c r="E37" s="1"/>
      <c r="F37" s="5">
        <f t="shared" ref="F37:F45" si="30">IF(D$12=0,0,D37/D$12)</f>
        <v>0</v>
      </c>
      <c r="G37" s="1"/>
      <c r="H37" s="1">
        <f>SUM(OSRRefH22_2x_0)</f>
        <v>1640.28</v>
      </c>
      <c r="I37" s="1"/>
      <c r="J37" s="5">
        <f t="shared" ref="J37:J45" si="31">IF(H$12=0,0,H37/H$12)</f>
        <v>6.4800237981706546E-2</v>
      </c>
      <c r="K37" s="1"/>
      <c r="L37" s="1">
        <f t="shared" ref="L37:L45" si="32">+D37-H37</f>
        <v>-1594.31</v>
      </c>
      <c r="M37" s="1"/>
      <c r="N37" s="5">
        <f t="shared" ref="N37:N45" si="33">IF(H37=0,0,L37/H37)</f>
        <v>-0.97197429707123173</v>
      </c>
      <c r="O37" s="14"/>
      <c r="P37" s="1">
        <f>SUM(OSRRefP22_2x_0)</f>
        <v>45.97</v>
      </c>
      <c r="Q37" s="1"/>
      <c r="R37" s="5">
        <f t="shared" ref="R37:R45" si="34">IF(P$12=0,0,P37/P$12)</f>
        <v>0</v>
      </c>
      <c r="S37" s="1"/>
      <c r="T37" s="1">
        <f>SUM(OSRRefT22_2x_0)</f>
        <v>1640.28</v>
      </c>
      <c r="U37" s="1"/>
      <c r="V37" s="5">
        <f t="shared" ref="V37:V45" si="35">IF(T$12=0,0,T37/T$12)</f>
        <v>6.4800237981706546E-2</v>
      </c>
      <c r="W37" s="1"/>
      <c r="X37" s="1">
        <f t="shared" ref="X37:X45" si="36">+P37-T37</f>
        <v>-1594.31</v>
      </c>
      <c r="Y37" s="1"/>
      <c r="Z37" s="5">
        <f t="shared" ref="Z37:Z45" si="37">IF(T37=0,0,X37/T37)</f>
        <v>-0.97197429707123173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8">
        <v>45.97</v>
      </c>
      <c r="E38" s="3"/>
      <c r="F38" s="7">
        <f t="shared" si="30"/>
        <v>0</v>
      </c>
      <c r="G38" s="3"/>
      <c r="H38" s="8">
        <v>1640.28</v>
      </c>
      <c r="I38" s="3"/>
      <c r="J38" s="7">
        <f t="shared" si="31"/>
        <v>6.4800237981706546E-2</v>
      </c>
      <c r="K38" s="3"/>
      <c r="L38" s="8">
        <f t="shared" si="32"/>
        <v>-1594.31</v>
      </c>
      <c r="M38" s="3"/>
      <c r="N38" s="7">
        <f t="shared" si="33"/>
        <v>-0.97197429707123173</v>
      </c>
      <c r="O38" s="11"/>
      <c r="P38" s="8">
        <v>45.97</v>
      </c>
      <c r="Q38" s="3"/>
      <c r="R38" s="7">
        <f t="shared" si="34"/>
        <v>0</v>
      </c>
      <c r="S38" s="3"/>
      <c r="T38" s="8">
        <v>1640.28</v>
      </c>
      <c r="U38" s="3"/>
      <c r="V38" s="7">
        <f t="shared" si="35"/>
        <v>6.4800237981706546E-2</v>
      </c>
      <c r="W38" s="3"/>
      <c r="X38" s="8">
        <f t="shared" si="36"/>
        <v>-1594.31</v>
      </c>
      <c r="Y38" s="3"/>
      <c r="Z38" s="7">
        <f t="shared" si="37"/>
        <v>-0.97197429707123173</v>
      </c>
    </row>
    <row r="39" spans="1:26" s="27" customFormat="1" outlineLevel="1" collapsed="1" x14ac:dyDescent="0.25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-4.97</v>
      </c>
      <c r="I39" s="1"/>
      <c r="J39" s="5">
        <f t="shared" si="31"/>
        <v>-1.9634280901375465E-4</v>
      </c>
      <c r="K39" s="1"/>
      <c r="L39" s="1">
        <f t="shared" si="32"/>
        <v>4.97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-4.97</v>
      </c>
      <c r="U39" s="1"/>
      <c r="V39" s="5">
        <f t="shared" si="35"/>
        <v>-1.9634280901375465E-4</v>
      </c>
      <c r="W39" s="1"/>
      <c r="X39" s="1">
        <f t="shared" si="36"/>
        <v>4.97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8"/>
      <c r="E40" s="3"/>
      <c r="F40" s="7">
        <f t="shared" si="30"/>
        <v>0</v>
      </c>
      <c r="G40" s="3"/>
      <c r="H40" s="8">
        <v>-4.97</v>
      </c>
      <c r="I40" s="3"/>
      <c r="J40" s="7">
        <f t="shared" si="31"/>
        <v>-1.9634280901375465E-4</v>
      </c>
      <c r="K40" s="3"/>
      <c r="L40" s="8">
        <f t="shared" si="32"/>
        <v>4.97</v>
      </c>
      <c r="M40" s="3"/>
      <c r="N40" s="7">
        <f t="shared" si="33"/>
        <v>-1</v>
      </c>
      <c r="O40" s="11"/>
      <c r="P40" s="8"/>
      <c r="Q40" s="3"/>
      <c r="R40" s="7">
        <f t="shared" si="34"/>
        <v>0</v>
      </c>
      <c r="S40" s="3"/>
      <c r="T40" s="8">
        <v>-4.97</v>
      </c>
      <c r="U40" s="3"/>
      <c r="V40" s="7">
        <f t="shared" si="35"/>
        <v>-1.9634280901375465E-4</v>
      </c>
      <c r="W40" s="3"/>
      <c r="X40" s="8">
        <f t="shared" si="36"/>
        <v>4.97</v>
      </c>
      <c r="Y40" s="3"/>
      <c r="Z40" s="7">
        <f t="shared" si="37"/>
        <v>-1</v>
      </c>
    </row>
    <row r="41" spans="1:26" s="27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852.21</v>
      </c>
      <c r="I41" s="1"/>
      <c r="J41" s="5">
        <f t="shared" si="31"/>
        <v>3.3667063434529555E-2</v>
      </c>
      <c r="K41" s="1"/>
      <c r="L41" s="1">
        <f t="shared" si="32"/>
        <v>-852.21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852.21</v>
      </c>
      <c r="U41" s="1"/>
      <c r="V41" s="5">
        <f t="shared" si="35"/>
        <v>3.3667063434529555E-2</v>
      </c>
      <c r="W41" s="1"/>
      <c r="X41" s="1">
        <f t="shared" si="36"/>
        <v>-852.21</v>
      </c>
      <c r="Y41" s="1"/>
      <c r="Z41" s="5">
        <f t="shared" si="37"/>
        <v>-1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8"/>
      <c r="E42" s="3"/>
      <c r="F42" s="7">
        <f t="shared" si="30"/>
        <v>0</v>
      </c>
      <c r="G42" s="3"/>
      <c r="H42" s="8">
        <v>852.21</v>
      </c>
      <c r="I42" s="3"/>
      <c r="J42" s="7">
        <f t="shared" si="31"/>
        <v>3.3667063434529555E-2</v>
      </c>
      <c r="K42" s="3"/>
      <c r="L42" s="8">
        <f t="shared" si="32"/>
        <v>-852.21</v>
      </c>
      <c r="M42" s="3"/>
      <c r="N42" s="7">
        <f t="shared" si="33"/>
        <v>-1</v>
      </c>
      <c r="O42" s="11"/>
      <c r="P42" s="8"/>
      <c r="Q42" s="3"/>
      <c r="R42" s="7">
        <f t="shared" si="34"/>
        <v>0</v>
      </c>
      <c r="S42" s="3"/>
      <c r="T42" s="8">
        <v>852.21</v>
      </c>
      <c r="U42" s="3"/>
      <c r="V42" s="7">
        <f t="shared" si="35"/>
        <v>3.3667063434529555E-2</v>
      </c>
      <c r="W42" s="3"/>
      <c r="X42" s="8">
        <f t="shared" si="36"/>
        <v>-852.21</v>
      </c>
      <c r="Y42" s="3"/>
      <c r="Z42" s="7">
        <f t="shared" si="37"/>
        <v>-1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13686.96</v>
      </c>
      <c r="E43" s="1"/>
      <c r="F43" s="5">
        <f t="shared" si="30"/>
        <v>0</v>
      </c>
      <c r="G43" s="1"/>
      <c r="H43" s="1">
        <f>SUM(OSRRefH22_5x_0)</f>
        <v>13266.91</v>
      </c>
      <c r="I43" s="1"/>
      <c r="J43" s="5">
        <f t="shared" si="31"/>
        <v>0.52411717833655369</v>
      </c>
      <c r="K43" s="1"/>
      <c r="L43" s="1">
        <f t="shared" si="32"/>
        <v>420.04999999999927</v>
      </c>
      <c r="M43" s="1"/>
      <c r="N43" s="5">
        <f t="shared" si="33"/>
        <v>3.1661479575877075E-2</v>
      </c>
      <c r="O43" s="14"/>
      <c r="P43" s="1">
        <f>SUM(OSRRefP22_5x_0)</f>
        <v>13686.96</v>
      </c>
      <c r="Q43" s="1"/>
      <c r="R43" s="5">
        <f t="shared" si="34"/>
        <v>0</v>
      </c>
      <c r="S43" s="1"/>
      <c r="T43" s="1">
        <f>SUM(OSRRefT22_5x_0)</f>
        <v>13266.91</v>
      </c>
      <c r="U43" s="1"/>
      <c r="V43" s="5">
        <f t="shared" si="35"/>
        <v>0.52411717833655369</v>
      </c>
      <c r="W43" s="1"/>
      <c r="X43" s="1">
        <f t="shared" si="36"/>
        <v>420.04999999999927</v>
      </c>
      <c r="Y43" s="1"/>
      <c r="Z43" s="5">
        <f t="shared" si="37"/>
        <v>3.1661479575877075E-2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8">
        <v>10597.26</v>
      </c>
      <c r="E44" s="3"/>
      <c r="F44" s="7">
        <f t="shared" si="30"/>
        <v>0</v>
      </c>
      <c r="G44" s="3"/>
      <c r="H44" s="8">
        <v>10612.46</v>
      </c>
      <c r="I44" s="3"/>
      <c r="J44" s="7">
        <f t="shared" si="31"/>
        <v>0.41925155069338244</v>
      </c>
      <c r="K44" s="3"/>
      <c r="L44" s="8">
        <f t="shared" si="32"/>
        <v>-15.199999999998909</v>
      </c>
      <c r="M44" s="3"/>
      <c r="N44" s="7">
        <f t="shared" si="33"/>
        <v>-1.4322786611208815E-3</v>
      </c>
      <c r="O44" s="11"/>
      <c r="P44" s="8">
        <v>10597.26</v>
      </c>
      <c r="Q44" s="3"/>
      <c r="R44" s="7">
        <f t="shared" si="34"/>
        <v>0</v>
      </c>
      <c r="S44" s="3"/>
      <c r="T44" s="8">
        <v>10612.46</v>
      </c>
      <c r="U44" s="3"/>
      <c r="V44" s="7">
        <f t="shared" si="35"/>
        <v>0.41925155069338244</v>
      </c>
      <c r="W44" s="3"/>
      <c r="X44" s="8">
        <f t="shared" si="36"/>
        <v>-15.199999999998909</v>
      </c>
      <c r="Y44" s="3"/>
      <c r="Z44" s="7">
        <f t="shared" si="37"/>
        <v>-1.4322786611208815E-3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8">
        <v>3089.7</v>
      </c>
      <c r="E45" s="3"/>
      <c r="F45" s="7">
        <f t="shared" si="30"/>
        <v>0</v>
      </c>
      <c r="G45" s="3"/>
      <c r="H45" s="8">
        <v>2654.45</v>
      </c>
      <c r="I45" s="3"/>
      <c r="J45" s="7">
        <f t="shared" si="31"/>
        <v>0.10486562764317124</v>
      </c>
      <c r="K45" s="3"/>
      <c r="L45" s="8">
        <f t="shared" si="32"/>
        <v>435.25</v>
      </c>
      <c r="M45" s="3"/>
      <c r="N45" s="7">
        <f t="shared" si="33"/>
        <v>0.16396993727514175</v>
      </c>
      <c r="O45" s="11"/>
      <c r="P45" s="8">
        <v>3089.7</v>
      </c>
      <c r="Q45" s="3"/>
      <c r="R45" s="7">
        <f t="shared" si="34"/>
        <v>0</v>
      </c>
      <c r="S45" s="3"/>
      <c r="T45" s="8">
        <v>2654.45</v>
      </c>
      <c r="U45" s="3"/>
      <c r="V45" s="7">
        <f t="shared" si="35"/>
        <v>0.10486562764317124</v>
      </c>
      <c r="W45" s="3"/>
      <c r="X45" s="8">
        <f t="shared" si="36"/>
        <v>435.25</v>
      </c>
      <c r="Y45" s="3"/>
      <c r="Z45" s="7">
        <f t="shared" si="37"/>
        <v>0.16396993727514175</v>
      </c>
    </row>
    <row r="46" spans="1:26" s="27" customFormat="1" outlineLevel="1" collapsed="1" x14ac:dyDescent="0.25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8" si="38">IF(D$12=0,0,D46/D$12)</f>
        <v>0</v>
      </c>
      <c r="G46" s="1"/>
      <c r="H46" s="1">
        <f>SUM(OSRRefH22_6x_0)</f>
        <v>15.35</v>
      </c>
      <c r="I46" s="1"/>
      <c r="J46" s="5">
        <f t="shared" ref="J46:J58" si="39">IF(H$12=0,0,H46/H$12)</f>
        <v>6.0641088900626437E-4</v>
      </c>
      <c r="K46" s="1"/>
      <c r="L46" s="1">
        <f t="shared" ref="L46:L58" si="40">+D46-H46</f>
        <v>-15.35</v>
      </c>
      <c r="M46" s="1"/>
      <c r="N46" s="5">
        <f t="shared" ref="N46:N58" si="41">IF(H46=0,0,L46/H46)</f>
        <v>-1</v>
      </c>
      <c r="O46" s="14"/>
      <c r="P46" s="1">
        <f>SUM(OSRRefP22_6x_0)</f>
        <v>0</v>
      </c>
      <c r="Q46" s="1"/>
      <c r="R46" s="5">
        <f t="shared" ref="R46:R58" si="42">IF(P$12=0,0,P46/P$12)</f>
        <v>0</v>
      </c>
      <c r="S46" s="1"/>
      <c r="T46" s="1">
        <f>SUM(OSRRefT22_6x_0)</f>
        <v>15.35</v>
      </c>
      <c r="U46" s="1"/>
      <c r="V46" s="5">
        <f t="shared" ref="V46:V58" si="43">IF(T$12=0,0,T46/T$12)</f>
        <v>6.0641088900626437E-4</v>
      </c>
      <c r="W46" s="1"/>
      <c r="X46" s="1">
        <f t="shared" ref="X46:X58" si="44">+P46-T46</f>
        <v>-15.35</v>
      </c>
      <c r="Y46" s="1"/>
      <c r="Z46" s="5">
        <f t="shared" ref="Z46:Z58" si="45">IF(T46=0,0,X46/T46)</f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8"/>
      <c r="E47" s="3"/>
      <c r="F47" s="7">
        <f t="shared" si="38"/>
        <v>0</v>
      </c>
      <c r="G47" s="3"/>
      <c r="H47" s="8">
        <v>15.35</v>
      </c>
      <c r="I47" s="3"/>
      <c r="J47" s="7">
        <f t="shared" si="39"/>
        <v>6.0641088900626437E-4</v>
      </c>
      <c r="K47" s="3"/>
      <c r="L47" s="8">
        <f t="shared" si="40"/>
        <v>-15.35</v>
      </c>
      <c r="M47" s="3"/>
      <c r="N47" s="7">
        <f t="shared" si="41"/>
        <v>-1</v>
      </c>
      <c r="O47" s="11"/>
      <c r="P47" s="8"/>
      <c r="Q47" s="3"/>
      <c r="R47" s="7">
        <f t="shared" si="42"/>
        <v>0</v>
      </c>
      <c r="S47" s="3"/>
      <c r="T47" s="8">
        <v>15.35</v>
      </c>
      <c r="U47" s="3"/>
      <c r="V47" s="7">
        <f t="shared" si="43"/>
        <v>6.0641088900626437E-4</v>
      </c>
      <c r="W47" s="3"/>
      <c r="X47" s="8">
        <f t="shared" si="44"/>
        <v>-15.35</v>
      </c>
      <c r="Y47" s="3"/>
      <c r="Z47" s="7">
        <f t="shared" si="45"/>
        <v>-1</v>
      </c>
    </row>
    <row r="48" spans="1:26" s="27" customFormat="1" outlineLevel="1" collapsed="1" x14ac:dyDescent="0.25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105.61</v>
      </c>
      <c r="E48" s="1"/>
      <c r="F48" s="5">
        <f t="shared" si="38"/>
        <v>0</v>
      </c>
      <c r="G48" s="1"/>
      <c r="H48" s="1">
        <f>SUM(OSRRefH22_7x_0)</f>
        <v>146.47</v>
      </c>
      <c r="I48" s="1"/>
      <c r="J48" s="5">
        <f t="shared" si="39"/>
        <v>5.7863845545763877E-3</v>
      </c>
      <c r="K48" s="1"/>
      <c r="L48" s="1">
        <f t="shared" si="40"/>
        <v>-40.86</v>
      </c>
      <c r="M48" s="1"/>
      <c r="N48" s="5">
        <f t="shared" si="41"/>
        <v>-0.27896497576295487</v>
      </c>
      <c r="O48" s="14"/>
      <c r="P48" s="1">
        <f>SUM(OSRRefP22_7x_0)</f>
        <v>105.61</v>
      </c>
      <c r="Q48" s="1"/>
      <c r="R48" s="5">
        <f t="shared" si="42"/>
        <v>0</v>
      </c>
      <c r="S48" s="1"/>
      <c r="T48" s="1">
        <f>SUM(OSRRefT22_7x_0)</f>
        <v>146.47</v>
      </c>
      <c r="U48" s="1"/>
      <c r="V48" s="5">
        <f t="shared" si="43"/>
        <v>5.7863845545763877E-3</v>
      </c>
      <c r="W48" s="1"/>
      <c r="X48" s="1">
        <f t="shared" si="44"/>
        <v>-40.86</v>
      </c>
      <c r="Y48" s="1"/>
      <c r="Z48" s="5">
        <f t="shared" si="45"/>
        <v>-0.27896497576295487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8">
        <v>105.61</v>
      </c>
      <c r="E49" s="3"/>
      <c r="F49" s="7">
        <f t="shared" si="38"/>
        <v>0</v>
      </c>
      <c r="G49" s="3"/>
      <c r="H49" s="8">
        <v>146.47</v>
      </c>
      <c r="I49" s="3"/>
      <c r="J49" s="7">
        <f t="shared" si="39"/>
        <v>5.7863845545763877E-3</v>
      </c>
      <c r="K49" s="3"/>
      <c r="L49" s="8">
        <f t="shared" si="40"/>
        <v>-40.86</v>
      </c>
      <c r="M49" s="3"/>
      <c r="N49" s="7">
        <f t="shared" si="41"/>
        <v>-0.27896497576295487</v>
      </c>
      <c r="O49" s="11"/>
      <c r="P49" s="8">
        <v>105.61</v>
      </c>
      <c r="Q49" s="3"/>
      <c r="R49" s="7">
        <f t="shared" si="42"/>
        <v>0</v>
      </c>
      <c r="S49" s="3"/>
      <c r="T49" s="8">
        <v>146.47</v>
      </c>
      <c r="U49" s="3"/>
      <c r="V49" s="7">
        <f t="shared" si="43"/>
        <v>5.7863845545763877E-3</v>
      </c>
      <c r="W49" s="3"/>
      <c r="X49" s="8">
        <f t="shared" si="44"/>
        <v>-40.86</v>
      </c>
      <c r="Y49" s="3"/>
      <c r="Z49" s="7">
        <f t="shared" si="45"/>
        <v>-0.27896497576295487</v>
      </c>
    </row>
    <row r="50" spans="1:26" s="27" customFormat="1" outlineLevel="1" collapsed="1" x14ac:dyDescent="0.25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1404.55</v>
      </c>
      <c r="E50" s="1"/>
      <c r="F50" s="5">
        <f t="shared" si="38"/>
        <v>0</v>
      </c>
      <c r="G50" s="1"/>
      <c r="H50" s="1">
        <f>SUM(OSRRefH22_8x_0)</f>
        <v>1354.55</v>
      </c>
      <c r="I50" s="1"/>
      <c r="J50" s="5">
        <f t="shared" si="39"/>
        <v>5.3512304215207522E-2</v>
      </c>
      <c r="K50" s="1"/>
      <c r="L50" s="1">
        <f t="shared" si="40"/>
        <v>50</v>
      </c>
      <c r="M50" s="1"/>
      <c r="N50" s="5">
        <f t="shared" si="41"/>
        <v>3.6912627809973793E-2</v>
      </c>
      <c r="O50" s="14"/>
      <c r="P50" s="1">
        <f>SUM(OSRRefP22_8x_0)</f>
        <v>1404.55</v>
      </c>
      <c r="Q50" s="1"/>
      <c r="R50" s="5">
        <f t="shared" si="42"/>
        <v>0</v>
      </c>
      <c r="S50" s="1"/>
      <c r="T50" s="1">
        <f>SUM(OSRRefT22_8x_0)</f>
        <v>1354.55</v>
      </c>
      <c r="U50" s="1"/>
      <c r="V50" s="5">
        <f t="shared" si="43"/>
        <v>5.3512304215207522E-2</v>
      </c>
      <c r="W50" s="1"/>
      <c r="X50" s="1">
        <f t="shared" si="44"/>
        <v>50</v>
      </c>
      <c r="Y50" s="1"/>
      <c r="Z50" s="5">
        <f t="shared" si="45"/>
        <v>3.6912627809973793E-2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8">
        <v>1404.55</v>
      </c>
      <c r="E51" s="3"/>
      <c r="F51" s="7">
        <f t="shared" si="38"/>
        <v>0</v>
      </c>
      <c r="G51" s="3"/>
      <c r="H51" s="8">
        <v>1354.55</v>
      </c>
      <c r="I51" s="3"/>
      <c r="J51" s="7">
        <f t="shared" si="39"/>
        <v>5.3512304215207522E-2</v>
      </c>
      <c r="K51" s="3"/>
      <c r="L51" s="8">
        <f t="shared" si="40"/>
        <v>50</v>
      </c>
      <c r="M51" s="3"/>
      <c r="N51" s="7">
        <f t="shared" si="41"/>
        <v>3.6912627809973793E-2</v>
      </c>
      <c r="O51" s="11"/>
      <c r="P51" s="8">
        <v>1404.55</v>
      </c>
      <c r="Q51" s="3"/>
      <c r="R51" s="7">
        <f t="shared" si="42"/>
        <v>0</v>
      </c>
      <c r="S51" s="3"/>
      <c r="T51" s="8">
        <v>1354.55</v>
      </c>
      <c r="U51" s="3"/>
      <c r="V51" s="7">
        <f t="shared" si="43"/>
        <v>5.3512304215207522E-2</v>
      </c>
      <c r="W51" s="3"/>
      <c r="X51" s="8">
        <f t="shared" si="44"/>
        <v>50</v>
      </c>
      <c r="Y51" s="3"/>
      <c r="Z51" s="7">
        <f t="shared" si="45"/>
        <v>3.6912627809973793E-2</v>
      </c>
    </row>
    <row r="52" spans="1:26" s="27" customFormat="1" outlineLevel="1" collapsed="1" x14ac:dyDescent="0.25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SUM(OSRRefD22_9x_0)</f>
        <v>641.28</v>
      </c>
      <c r="E52" s="1"/>
      <c r="F52" s="5">
        <f t="shared" si="38"/>
        <v>0</v>
      </c>
      <c r="G52" s="1"/>
      <c r="H52" s="1">
        <f>SUM(OSRRefH22_9x_0)</f>
        <v>641.28</v>
      </c>
      <c r="I52" s="1"/>
      <c r="J52" s="5">
        <f t="shared" si="39"/>
        <v>2.5334148202080603E-2</v>
      </c>
      <c r="K52" s="1"/>
      <c r="L52" s="1">
        <f t="shared" si="40"/>
        <v>0</v>
      </c>
      <c r="M52" s="1"/>
      <c r="N52" s="5">
        <f t="shared" si="41"/>
        <v>0</v>
      </c>
      <c r="O52" s="14"/>
      <c r="P52" s="1">
        <f>SUM(OSRRefP22_9x_0)</f>
        <v>641.28</v>
      </c>
      <c r="Q52" s="1"/>
      <c r="R52" s="5">
        <f t="shared" si="42"/>
        <v>0</v>
      </c>
      <c r="S52" s="1"/>
      <c r="T52" s="1">
        <f>SUM(OSRRefT22_9x_0)</f>
        <v>641.28</v>
      </c>
      <c r="U52" s="1"/>
      <c r="V52" s="5">
        <f t="shared" si="43"/>
        <v>2.5334148202080603E-2</v>
      </c>
      <c r="W52" s="1"/>
      <c r="X52" s="1">
        <f t="shared" si="44"/>
        <v>0</v>
      </c>
      <c r="Y52" s="1"/>
      <c r="Z52" s="5">
        <f t="shared" si="45"/>
        <v>0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8">
        <v>641.28</v>
      </c>
      <c r="E53" s="3"/>
      <c r="F53" s="7">
        <f t="shared" si="38"/>
        <v>0</v>
      </c>
      <c r="G53" s="3"/>
      <c r="H53" s="8">
        <v>641.28</v>
      </c>
      <c r="I53" s="3"/>
      <c r="J53" s="7">
        <f t="shared" si="39"/>
        <v>2.5334148202080603E-2</v>
      </c>
      <c r="K53" s="3"/>
      <c r="L53" s="8">
        <f t="shared" si="40"/>
        <v>0</v>
      </c>
      <c r="M53" s="3"/>
      <c r="N53" s="7">
        <f t="shared" si="41"/>
        <v>0</v>
      </c>
      <c r="O53" s="11"/>
      <c r="P53" s="8">
        <v>641.28</v>
      </c>
      <c r="Q53" s="3"/>
      <c r="R53" s="7">
        <f t="shared" si="42"/>
        <v>0</v>
      </c>
      <c r="S53" s="3"/>
      <c r="T53" s="8">
        <v>641.28</v>
      </c>
      <c r="U53" s="3"/>
      <c r="V53" s="7">
        <f t="shared" si="43"/>
        <v>2.5334148202080603E-2</v>
      </c>
      <c r="W53" s="3"/>
      <c r="X53" s="8">
        <f t="shared" si="44"/>
        <v>0</v>
      </c>
      <c r="Y53" s="3"/>
      <c r="Z53" s="7">
        <f t="shared" si="45"/>
        <v>0</v>
      </c>
    </row>
    <row r="54" spans="1:26" s="27" customFormat="1" outlineLevel="1" collapsed="1" x14ac:dyDescent="0.25">
      <c r="A54" s="28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SUM(OSRRefD22_10x_0)</f>
        <v>7510</v>
      </c>
      <c r="E54" s="1"/>
      <c r="F54" s="5">
        <f t="shared" si="38"/>
        <v>0</v>
      </c>
      <c r="G54" s="1"/>
      <c r="H54" s="1">
        <f>SUM(OSRRefH22_10x_0)</f>
        <v>7630</v>
      </c>
      <c r="I54" s="1"/>
      <c r="J54" s="5">
        <f t="shared" si="39"/>
        <v>0.30142769271125719</v>
      </c>
      <c r="K54" s="1"/>
      <c r="L54" s="1">
        <f t="shared" si="40"/>
        <v>-120</v>
      </c>
      <c r="M54" s="1"/>
      <c r="N54" s="5">
        <f t="shared" si="41"/>
        <v>-1.5727391874180863E-2</v>
      </c>
      <c r="O54" s="14"/>
      <c r="P54" s="1">
        <f>SUM(OSRRefP22_10x_0)</f>
        <v>7510</v>
      </c>
      <c r="Q54" s="1"/>
      <c r="R54" s="5">
        <f t="shared" si="42"/>
        <v>0</v>
      </c>
      <c r="S54" s="1"/>
      <c r="T54" s="1">
        <f>SUM(OSRRefT22_10x_0)</f>
        <v>7630</v>
      </c>
      <c r="U54" s="1"/>
      <c r="V54" s="5">
        <f t="shared" si="43"/>
        <v>0.30142769271125719</v>
      </c>
      <c r="W54" s="1"/>
      <c r="X54" s="1">
        <f t="shared" si="44"/>
        <v>-120</v>
      </c>
      <c r="Y54" s="1"/>
      <c r="Z54" s="5">
        <f t="shared" si="45"/>
        <v>-1.5727391874180863E-2</v>
      </c>
    </row>
    <row r="55" spans="1:26" s="24" customFormat="1" hidden="1" outlineLevel="2" x14ac:dyDescent="0.25">
      <c r="A55" s="29"/>
      <c r="B55" s="11" t="str">
        <f>CONCATENATE("          ", "6401", " - ", "INTEREST EXPENSE")</f>
        <v xml:space="preserve">          6401 - INTEREST EXPENSE</v>
      </c>
      <c r="C55" s="11"/>
      <c r="D55" s="8">
        <v>7510</v>
      </c>
      <c r="E55" s="3"/>
      <c r="F55" s="7">
        <f t="shared" si="38"/>
        <v>0</v>
      </c>
      <c r="G55" s="3"/>
      <c r="H55" s="8">
        <v>7630</v>
      </c>
      <c r="I55" s="3"/>
      <c r="J55" s="7">
        <f t="shared" si="39"/>
        <v>0.30142769271125719</v>
      </c>
      <c r="K55" s="3"/>
      <c r="L55" s="8">
        <f t="shared" si="40"/>
        <v>-120</v>
      </c>
      <c r="M55" s="3"/>
      <c r="N55" s="7">
        <f t="shared" si="41"/>
        <v>-1.5727391874180863E-2</v>
      </c>
      <c r="O55" s="11"/>
      <c r="P55" s="8">
        <v>7510</v>
      </c>
      <c r="Q55" s="3"/>
      <c r="R55" s="7">
        <f t="shared" si="42"/>
        <v>0</v>
      </c>
      <c r="S55" s="3"/>
      <c r="T55" s="8">
        <v>7630</v>
      </c>
      <c r="U55" s="3"/>
      <c r="V55" s="7">
        <f t="shared" si="43"/>
        <v>0.30142769271125719</v>
      </c>
      <c r="W55" s="3"/>
      <c r="X55" s="8">
        <f t="shared" si="44"/>
        <v>-120</v>
      </c>
      <c r="Y55" s="3"/>
      <c r="Z55" s="7">
        <f t="shared" si="45"/>
        <v>-1.5727391874180863E-2</v>
      </c>
    </row>
    <row r="56" spans="1:26" s="27" customFormat="1" outlineLevel="1" collapsed="1" x14ac:dyDescent="0.25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SUM(OSRRefD22_11x_0)</f>
        <v>4071.8999999999996</v>
      </c>
      <c r="E56" s="1"/>
      <c r="F56" s="5">
        <f t="shared" si="38"/>
        <v>0</v>
      </c>
      <c r="G56" s="1"/>
      <c r="H56" s="1">
        <f>SUM(OSRRefH22_11x_0)</f>
        <v>837.4</v>
      </c>
      <c r="I56" s="1"/>
      <c r="J56" s="5">
        <f t="shared" si="39"/>
        <v>3.3081985567025789E-2</v>
      </c>
      <c r="K56" s="1"/>
      <c r="L56" s="1">
        <f t="shared" si="40"/>
        <v>3234.4999999999995</v>
      </c>
      <c r="M56" s="1"/>
      <c r="N56" s="5">
        <f t="shared" si="41"/>
        <v>3.862550752328636</v>
      </c>
      <c r="O56" s="14"/>
      <c r="P56" s="1">
        <f>SUM(OSRRefP22_11x_0)</f>
        <v>4071.8999999999996</v>
      </c>
      <c r="Q56" s="1"/>
      <c r="R56" s="5">
        <f t="shared" si="42"/>
        <v>0</v>
      </c>
      <c r="S56" s="1"/>
      <c r="T56" s="1">
        <f>SUM(OSRRefT22_11x_0)</f>
        <v>837.4</v>
      </c>
      <c r="U56" s="1"/>
      <c r="V56" s="5">
        <f t="shared" si="43"/>
        <v>3.3081985567025789E-2</v>
      </c>
      <c r="W56" s="1"/>
      <c r="X56" s="1">
        <f t="shared" si="44"/>
        <v>3234.4999999999995</v>
      </c>
      <c r="Y56" s="1"/>
      <c r="Z56" s="5">
        <f t="shared" si="45"/>
        <v>3.862550752328636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8">
        <v>2352.54</v>
      </c>
      <c r="E57" s="3"/>
      <c r="F57" s="7">
        <f t="shared" si="38"/>
        <v>0</v>
      </c>
      <c r="G57" s="3"/>
      <c r="H57" s="8"/>
      <c r="I57" s="3"/>
      <c r="J57" s="7">
        <f t="shared" si="39"/>
        <v>0</v>
      </c>
      <c r="K57" s="3"/>
      <c r="L57" s="8">
        <f t="shared" si="40"/>
        <v>2352.54</v>
      </c>
      <c r="M57" s="3"/>
      <c r="N57" s="7">
        <f t="shared" si="41"/>
        <v>0</v>
      </c>
      <c r="O57" s="11"/>
      <c r="P57" s="8">
        <v>2352.54</v>
      </c>
      <c r="Q57" s="3"/>
      <c r="R57" s="7">
        <f t="shared" si="42"/>
        <v>0</v>
      </c>
      <c r="S57" s="3"/>
      <c r="T57" s="8"/>
      <c r="U57" s="3"/>
      <c r="V57" s="7">
        <f t="shared" si="43"/>
        <v>0</v>
      </c>
      <c r="W57" s="3"/>
      <c r="X57" s="8">
        <f t="shared" si="44"/>
        <v>2352.54</v>
      </c>
      <c r="Y57" s="3"/>
      <c r="Z57" s="7">
        <f t="shared" si="45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8">
        <v>1719.36</v>
      </c>
      <c r="E58" s="3"/>
      <c r="F58" s="7">
        <f t="shared" si="38"/>
        <v>0</v>
      </c>
      <c r="G58" s="3"/>
      <c r="H58" s="8">
        <v>837.4</v>
      </c>
      <c r="I58" s="3"/>
      <c r="J58" s="7">
        <f t="shared" si="39"/>
        <v>3.3081985567025789E-2</v>
      </c>
      <c r="K58" s="3"/>
      <c r="L58" s="8">
        <f t="shared" si="40"/>
        <v>881.95999999999992</v>
      </c>
      <c r="M58" s="3"/>
      <c r="N58" s="7">
        <f t="shared" si="41"/>
        <v>1.0532123238595652</v>
      </c>
      <c r="O58" s="11"/>
      <c r="P58" s="8">
        <v>1719.36</v>
      </c>
      <c r="Q58" s="3"/>
      <c r="R58" s="7">
        <f t="shared" si="42"/>
        <v>0</v>
      </c>
      <c r="S58" s="3"/>
      <c r="T58" s="8">
        <v>837.4</v>
      </c>
      <c r="U58" s="3"/>
      <c r="V58" s="7">
        <f t="shared" si="43"/>
        <v>3.3081985567025789E-2</v>
      </c>
      <c r="W58" s="3"/>
      <c r="X58" s="8">
        <f t="shared" si="44"/>
        <v>881.95999999999992</v>
      </c>
      <c r="Y58" s="3"/>
      <c r="Z58" s="7">
        <f t="shared" si="45"/>
        <v>1.0532123238595652</v>
      </c>
    </row>
    <row r="59" spans="1:26" s="27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SUM(OSRRefD22_12x_0)</f>
        <v>1000</v>
      </c>
      <c r="E59" s="1"/>
      <c r="F59" s="5">
        <f t="shared" ref="F59:F64" si="46">IF(D$12=0,0,D59/D$12)</f>
        <v>0</v>
      </c>
      <c r="G59" s="1"/>
      <c r="H59" s="1">
        <f>SUM(OSRRefH22_12x_0)</f>
        <v>4293.7</v>
      </c>
      <c r="I59" s="1"/>
      <c r="J59" s="5">
        <f t="shared" ref="J59:J64" si="47">IF(H$12=0,0,H59/H$12)</f>
        <v>0.16962517486164153</v>
      </c>
      <c r="K59" s="1"/>
      <c r="L59" s="1">
        <f t="shared" ref="L59:L64" si="48">+D59-H59</f>
        <v>-3293.7</v>
      </c>
      <c r="M59" s="1"/>
      <c r="N59" s="5">
        <f t="shared" ref="N59:N64" si="49">IF(H59=0,0,L59/H59)</f>
        <v>-0.76710063581526422</v>
      </c>
      <c r="O59" s="14"/>
      <c r="P59" s="1">
        <f>SUM(OSRRefP22_12x_0)</f>
        <v>1000</v>
      </c>
      <c r="Q59" s="1"/>
      <c r="R59" s="5">
        <f t="shared" ref="R59:R64" si="50">IF(P$12=0,0,P59/P$12)</f>
        <v>0</v>
      </c>
      <c r="S59" s="1"/>
      <c r="T59" s="1">
        <f>SUM(OSRRefT22_12x_0)</f>
        <v>4293.7</v>
      </c>
      <c r="U59" s="1"/>
      <c r="V59" s="5">
        <f t="shared" ref="V59:V64" si="51">IF(T$12=0,0,T59/T$12)</f>
        <v>0.16962517486164153</v>
      </c>
      <c r="W59" s="1"/>
      <c r="X59" s="1">
        <f t="shared" ref="X59:X64" si="52">+P59-T59</f>
        <v>-3293.7</v>
      </c>
      <c r="Y59" s="1"/>
      <c r="Z59" s="5">
        <f t="shared" ref="Z59:Z64" si="53">IF(T59=0,0,X59/T59)</f>
        <v>-0.76710063581526422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8"/>
      <c r="E60" s="3"/>
      <c r="F60" s="7">
        <f t="shared" si="46"/>
        <v>0</v>
      </c>
      <c r="G60" s="3"/>
      <c r="H60" s="8">
        <v>328.54</v>
      </c>
      <c r="I60" s="3"/>
      <c r="J60" s="7">
        <f t="shared" si="47"/>
        <v>1.2979168304502809E-2</v>
      </c>
      <c r="K60" s="3"/>
      <c r="L60" s="8">
        <f t="shared" si="48"/>
        <v>-328.54</v>
      </c>
      <c r="M60" s="3"/>
      <c r="N60" s="7">
        <f t="shared" si="49"/>
        <v>-1</v>
      </c>
      <c r="O60" s="11"/>
      <c r="P60" s="8"/>
      <c r="Q60" s="3"/>
      <c r="R60" s="7">
        <f t="shared" si="50"/>
        <v>0</v>
      </c>
      <c r="S60" s="3"/>
      <c r="T60" s="8">
        <v>328.54</v>
      </c>
      <c r="U60" s="3"/>
      <c r="V60" s="7">
        <f t="shared" si="51"/>
        <v>1.2979168304502809E-2</v>
      </c>
      <c r="W60" s="3"/>
      <c r="X60" s="8">
        <f t="shared" si="52"/>
        <v>-328.54</v>
      </c>
      <c r="Y60" s="3"/>
      <c r="Z60" s="7">
        <f t="shared" si="53"/>
        <v>-1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8"/>
      <c r="E61" s="3"/>
      <c r="F61" s="7">
        <f t="shared" si="46"/>
        <v>0</v>
      </c>
      <c r="G61" s="3"/>
      <c r="H61" s="8">
        <v>61.55</v>
      </c>
      <c r="I61" s="3"/>
      <c r="J61" s="7">
        <f t="shared" si="47"/>
        <v>2.4315693953313078E-3</v>
      </c>
      <c r="K61" s="3"/>
      <c r="L61" s="8">
        <f t="shared" si="48"/>
        <v>-61.55</v>
      </c>
      <c r="M61" s="3"/>
      <c r="N61" s="7">
        <f t="shared" si="49"/>
        <v>-1</v>
      </c>
      <c r="O61" s="11"/>
      <c r="P61" s="8"/>
      <c r="Q61" s="3"/>
      <c r="R61" s="7">
        <f t="shared" si="50"/>
        <v>0</v>
      </c>
      <c r="S61" s="3"/>
      <c r="T61" s="8">
        <v>61.55</v>
      </c>
      <c r="U61" s="3"/>
      <c r="V61" s="7">
        <f t="shared" si="51"/>
        <v>2.4315693953313078E-3</v>
      </c>
      <c r="W61" s="3"/>
      <c r="X61" s="8">
        <f t="shared" si="52"/>
        <v>-61.55</v>
      </c>
      <c r="Y61" s="3"/>
      <c r="Z61" s="7">
        <f t="shared" si="53"/>
        <v>-1</v>
      </c>
    </row>
    <row r="62" spans="1:26" s="24" customFormat="1" hidden="1" outlineLevel="2" x14ac:dyDescent="0.25">
      <c r="A62" s="29"/>
      <c r="B62" s="11" t="str">
        <f>CONCATENATE("          ", "6284", " - ", "TRASH REMOVAL EXPENSE")</f>
        <v xml:space="preserve">          6284 - TRASH REMOVAL EXPENSE</v>
      </c>
      <c r="C62" s="11"/>
      <c r="D62" s="8">
        <v>1000</v>
      </c>
      <c r="E62" s="3"/>
      <c r="F62" s="7">
        <f t="shared" si="46"/>
        <v>0</v>
      </c>
      <c r="G62" s="3"/>
      <c r="H62" s="8">
        <v>623</v>
      </c>
      <c r="I62" s="3"/>
      <c r="J62" s="7">
        <f t="shared" si="47"/>
        <v>2.4611985918625585E-2</v>
      </c>
      <c r="K62" s="3"/>
      <c r="L62" s="8">
        <f t="shared" si="48"/>
        <v>377</v>
      </c>
      <c r="M62" s="3"/>
      <c r="N62" s="7">
        <f t="shared" si="49"/>
        <v>0.60513643659711081</v>
      </c>
      <c r="O62" s="11"/>
      <c r="P62" s="8">
        <v>1000</v>
      </c>
      <c r="Q62" s="3"/>
      <c r="R62" s="7">
        <f t="shared" si="50"/>
        <v>0</v>
      </c>
      <c r="S62" s="3"/>
      <c r="T62" s="8">
        <v>623</v>
      </c>
      <c r="U62" s="3"/>
      <c r="V62" s="7">
        <f t="shared" si="51"/>
        <v>2.4611985918625585E-2</v>
      </c>
      <c r="W62" s="3"/>
      <c r="X62" s="8">
        <f t="shared" si="52"/>
        <v>377</v>
      </c>
      <c r="Y62" s="3"/>
      <c r="Z62" s="7">
        <f t="shared" si="53"/>
        <v>0.60513643659711081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8"/>
      <c r="E63" s="3"/>
      <c r="F63" s="7">
        <f t="shared" si="46"/>
        <v>0</v>
      </c>
      <c r="G63" s="3"/>
      <c r="H63" s="8">
        <v>3040.95</v>
      </c>
      <c r="I63" s="3"/>
      <c r="J63" s="7">
        <f t="shared" si="47"/>
        <v>0.1201345402556091</v>
      </c>
      <c r="K63" s="3"/>
      <c r="L63" s="8">
        <f t="shared" si="48"/>
        <v>-3040.95</v>
      </c>
      <c r="M63" s="3"/>
      <c r="N63" s="7">
        <f t="shared" si="49"/>
        <v>-1</v>
      </c>
      <c r="O63" s="11"/>
      <c r="P63" s="8"/>
      <c r="Q63" s="3"/>
      <c r="R63" s="7">
        <f t="shared" si="50"/>
        <v>0</v>
      </c>
      <c r="S63" s="3"/>
      <c r="T63" s="8">
        <v>3040.95</v>
      </c>
      <c r="U63" s="3"/>
      <c r="V63" s="7">
        <f t="shared" si="51"/>
        <v>0.1201345402556091</v>
      </c>
      <c r="W63" s="3"/>
      <c r="X63" s="8">
        <f t="shared" si="52"/>
        <v>-3040.95</v>
      </c>
      <c r="Y63" s="3"/>
      <c r="Z63" s="7">
        <f t="shared" si="53"/>
        <v>-1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8"/>
      <c r="E64" s="3"/>
      <c r="F64" s="7">
        <f t="shared" si="46"/>
        <v>0</v>
      </c>
      <c r="G64" s="3"/>
      <c r="H64" s="8">
        <v>239.66</v>
      </c>
      <c r="I64" s="3"/>
      <c r="J64" s="7">
        <f t="shared" si="47"/>
        <v>9.4679109875727245E-3</v>
      </c>
      <c r="K64" s="3"/>
      <c r="L64" s="8">
        <f t="shared" si="48"/>
        <v>-239.66</v>
      </c>
      <c r="M64" s="3"/>
      <c r="N64" s="7">
        <f t="shared" si="49"/>
        <v>-1</v>
      </c>
      <c r="O64" s="11"/>
      <c r="P64" s="8"/>
      <c r="Q64" s="3"/>
      <c r="R64" s="7">
        <f t="shared" si="50"/>
        <v>0</v>
      </c>
      <c r="S64" s="3"/>
      <c r="T64" s="8">
        <v>239.66</v>
      </c>
      <c r="U64" s="3"/>
      <c r="V64" s="7">
        <f t="shared" si="51"/>
        <v>9.4679109875727245E-3</v>
      </c>
      <c r="W64" s="3"/>
      <c r="X64" s="8">
        <f t="shared" si="52"/>
        <v>-239.66</v>
      </c>
      <c r="Y64" s="3"/>
      <c r="Z64" s="7">
        <f t="shared" si="53"/>
        <v>-1</v>
      </c>
    </row>
    <row r="65" spans="1:26" s="27" customFormat="1" outlineLevel="1" collapsed="1" x14ac:dyDescent="0.25">
      <c r="A65" s="28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SUM(OSRRefD22_13x_0)</f>
        <v>9.32</v>
      </c>
      <c r="E65" s="1"/>
      <c r="F65" s="5">
        <f t="shared" ref="F65:F72" si="54">IF(D$12=0,0,D65/D$12)</f>
        <v>0</v>
      </c>
      <c r="G65" s="1"/>
      <c r="H65" s="1">
        <f>SUM(OSRRefH22_13x_0)</f>
        <v>196.71</v>
      </c>
      <c r="I65" s="1"/>
      <c r="J65" s="5">
        <f t="shared" ref="J65:J72" si="55">IF(H$12=0,0,H65/H$12)</f>
        <v>7.7711456662164355E-3</v>
      </c>
      <c r="K65" s="1"/>
      <c r="L65" s="1">
        <f t="shared" ref="L65:L72" si="56">+D65-H65</f>
        <v>-187.39000000000001</v>
      </c>
      <c r="M65" s="1"/>
      <c r="N65" s="5">
        <f t="shared" ref="N65:N72" si="57">IF(H65=0,0,L65/H65)</f>
        <v>-0.95262060901835188</v>
      </c>
      <c r="O65" s="14"/>
      <c r="P65" s="1">
        <f>SUM(OSRRefP22_13x_0)</f>
        <v>9.32</v>
      </c>
      <c r="Q65" s="1"/>
      <c r="R65" s="5">
        <f t="shared" ref="R65:R72" si="58">IF(P$12=0,0,P65/P$12)</f>
        <v>0</v>
      </c>
      <c r="S65" s="1"/>
      <c r="T65" s="1">
        <f>SUM(OSRRefT22_13x_0)</f>
        <v>196.71</v>
      </c>
      <c r="U65" s="1"/>
      <c r="V65" s="5">
        <f t="shared" ref="V65:V72" si="59">IF(T$12=0,0,T65/T$12)</f>
        <v>7.7711456662164355E-3</v>
      </c>
      <c r="W65" s="1"/>
      <c r="X65" s="1">
        <f t="shared" ref="X65:X72" si="60">+P65-T65</f>
        <v>-187.39000000000001</v>
      </c>
      <c r="Y65" s="1"/>
      <c r="Z65" s="5">
        <f t="shared" ref="Z65:Z72" si="61">IF(T65=0,0,X65/T65)</f>
        <v>-0.95262060901835188</v>
      </c>
    </row>
    <row r="66" spans="1:26" s="24" customFormat="1" hidden="1" outlineLevel="2" x14ac:dyDescent="0.25">
      <c r="A66" s="29"/>
      <c r="B66" s="11" t="str">
        <f>CONCATENATE("          ", "6275", " - ", "SUBSCRIPTIONS")</f>
        <v xml:space="preserve">          6275 - SUBSCRIPTIONS</v>
      </c>
      <c r="C66" s="11"/>
      <c r="D66" s="8">
        <v>9.32</v>
      </c>
      <c r="E66" s="3"/>
      <c r="F66" s="7">
        <f t="shared" si="54"/>
        <v>0</v>
      </c>
      <c r="G66" s="3"/>
      <c r="H66" s="8">
        <v>196.71</v>
      </c>
      <c r="I66" s="3"/>
      <c r="J66" s="7">
        <f t="shared" si="55"/>
        <v>7.7711456662164355E-3</v>
      </c>
      <c r="K66" s="3"/>
      <c r="L66" s="8">
        <f t="shared" si="56"/>
        <v>-187.39000000000001</v>
      </c>
      <c r="M66" s="3"/>
      <c r="N66" s="7">
        <f t="shared" si="57"/>
        <v>-0.95262060901835188</v>
      </c>
      <c r="O66" s="11"/>
      <c r="P66" s="8">
        <v>9.32</v>
      </c>
      <c r="Q66" s="3"/>
      <c r="R66" s="7">
        <f t="shared" si="58"/>
        <v>0</v>
      </c>
      <c r="S66" s="3"/>
      <c r="T66" s="8">
        <v>196.71</v>
      </c>
      <c r="U66" s="3"/>
      <c r="V66" s="7">
        <f t="shared" si="59"/>
        <v>7.7711456662164355E-3</v>
      </c>
      <c r="W66" s="3"/>
      <c r="X66" s="8">
        <f t="shared" si="60"/>
        <v>-187.39000000000001</v>
      </c>
      <c r="Y66" s="3"/>
      <c r="Z66" s="7">
        <f t="shared" si="61"/>
        <v>-0.95262060901835188</v>
      </c>
    </row>
    <row r="67" spans="1:26" s="27" customFormat="1" outlineLevel="1" collapsed="1" x14ac:dyDescent="0.25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542.44000000000005</v>
      </c>
      <c r="E67" s="1"/>
      <c r="F67" s="5">
        <f t="shared" si="54"/>
        <v>0</v>
      </c>
      <c r="G67" s="1"/>
      <c r="H67" s="1">
        <f>SUM(OSRRefH22_14x_0)</f>
        <v>988.7600000000001</v>
      </c>
      <c r="I67" s="1"/>
      <c r="J67" s="5">
        <f t="shared" si="55"/>
        <v>3.9061552482985935E-2</v>
      </c>
      <c r="K67" s="1"/>
      <c r="L67" s="1">
        <f t="shared" si="56"/>
        <v>-446.32000000000005</v>
      </c>
      <c r="M67" s="1"/>
      <c r="N67" s="5">
        <f t="shared" si="57"/>
        <v>-0.45139366479226506</v>
      </c>
      <c r="O67" s="14"/>
      <c r="P67" s="1">
        <f>SUM(OSRRefP22_14x_0)</f>
        <v>542.44000000000005</v>
      </c>
      <c r="Q67" s="1"/>
      <c r="R67" s="5">
        <f t="shared" si="58"/>
        <v>0</v>
      </c>
      <c r="S67" s="1"/>
      <c r="T67" s="1">
        <f>SUM(OSRRefT22_14x_0)</f>
        <v>988.7600000000001</v>
      </c>
      <c r="U67" s="1"/>
      <c r="V67" s="5">
        <f t="shared" si="59"/>
        <v>3.9061552482985935E-2</v>
      </c>
      <c r="W67" s="1"/>
      <c r="X67" s="1">
        <f t="shared" si="60"/>
        <v>-446.32000000000005</v>
      </c>
      <c r="Y67" s="1"/>
      <c r="Z67" s="5">
        <f t="shared" si="61"/>
        <v>-0.45139366479226506</v>
      </c>
    </row>
    <row r="68" spans="1:26" s="24" customFormat="1" hidden="1" outlineLevel="2" x14ac:dyDescent="0.25">
      <c r="A68" s="29"/>
      <c r="B68" s="11" t="str">
        <f>CONCATENATE("          ", "6235", " - ", "COVID-19 EXPENSES")</f>
        <v xml:space="preserve">          6235 - COVID-19 EXPENSES</v>
      </c>
      <c r="C68" s="11"/>
      <c r="D68" s="8">
        <v>535.82000000000005</v>
      </c>
      <c r="E68" s="3"/>
      <c r="F68" s="7">
        <f t="shared" si="54"/>
        <v>0</v>
      </c>
      <c r="G68" s="3"/>
      <c r="H68" s="8"/>
      <c r="I68" s="3"/>
      <c r="J68" s="7">
        <f t="shared" si="55"/>
        <v>0</v>
      </c>
      <c r="K68" s="3"/>
      <c r="L68" s="8">
        <f t="shared" si="56"/>
        <v>535.82000000000005</v>
      </c>
      <c r="M68" s="3"/>
      <c r="N68" s="7">
        <f t="shared" si="57"/>
        <v>0</v>
      </c>
      <c r="O68" s="11"/>
      <c r="P68" s="8">
        <v>535.82000000000005</v>
      </c>
      <c r="Q68" s="3"/>
      <c r="R68" s="7">
        <f t="shared" si="58"/>
        <v>0</v>
      </c>
      <c r="S68" s="3"/>
      <c r="T68" s="8"/>
      <c r="U68" s="3"/>
      <c r="V68" s="7">
        <f t="shared" si="59"/>
        <v>0</v>
      </c>
      <c r="W68" s="3"/>
      <c r="X68" s="8">
        <f t="shared" si="60"/>
        <v>535.82000000000005</v>
      </c>
      <c r="Y68" s="3"/>
      <c r="Z68" s="7">
        <f t="shared" si="61"/>
        <v>0</v>
      </c>
    </row>
    <row r="69" spans="1:26" s="24" customFormat="1" hidden="1" outlineLevel="2" x14ac:dyDescent="0.25">
      <c r="A69" s="29"/>
      <c r="B69" s="11" t="str">
        <f>CONCATENATE("          ", "6237", " - ", "JANITORIAL SUPPLIES")</f>
        <v xml:space="preserve">          6237 - JANITORIAL SUPPLIES</v>
      </c>
      <c r="C69" s="11"/>
      <c r="D69" s="8"/>
      <c r="E69" s="3"/>
      <c r="F69" s="7">
        <f t="shared" si="54"/>
        <v>0</v>
      </c>
      <c r="G69" s="3"/>
      <c r="H69" s="8">
        <v>522.86</v>
      </c>
      <c r="I69" s="3"/>
      <c r="J69" s="7">
        <f t="shared" si="55"/>
        <v>2.0655895597772991E-2</v>
      </c>
      <c r="K69" s="3"/>
      <c r="L69" s="8">
        <f t="shared" si="56"/>
        <v>-522.86</v>
      </c>
      <c r="M69" s="3"/>
      <c r="N69" s="7">
        <f t="shared" si="57"/>
        <v>-1</v>
      </c>
      <c r="O69" s="11"/>
      <c r="P69" s="8"/>
      <c r="Q69" s="3"/>
      <c r="R69" s="7">
        <f t="shared" si="58"/>
        <v>0</v>
      </c>
      <c r="S69" s="3"/>
      <c r="T69" s="8">
        <v>522.86</v>
      </c>
      <c r="U69" s="3"/>
      <c r="V69" s="7">
        <f t="shared" si="59"/>
        <v>2.0655895597772991E-2</v>
      </c>
      <c r="W69" s="3"/>
      <c r="X69" s="8">
        <f t="shared" si="60"/>
        <v>-522.86</v>
      </c>
      <c r="Y69" s="3"/>
      <c r="Z69" s="7">
        <f t="shared" si="61"/>
        <v>-1</v>
      </c>
    </row>
    <row r="70" spans="1:26" s="24" customFormat="1" hidden="1" outlineLevel="2" x14ac:dyDescent="0.25">
      <c r="A70" s="29"/>
      <c r="B70" s="11" t="str">
        <f>CONCATENATE("          ", "6239", " - ", "KITCHEN SUPPLIES")</f>
        <v xml:space="preserve">          6239 - KITCHEN SUPPLIES</v>
      </c>
      <c r="C70" s="11"/>
      <c r="D70" s="8"/>
      <c r="E70" s="3"/>
      <c r="F70" s="7">
        <f t="shared" si="54"/>
        <v>0</v>
      </c>
      <c r="G70" s="3"/>
      <c r="H70" s="8">
        <v>63.23</v>
      </c>
      <c r="I70" s="3"/>
      <c r="J70" s="7">
        <f t="shared" si="55"/>
        <v>2.4979387955613094E-3</v>
      </c>
      <c r="K70" s="3"/>
      <c r="L70" s="8">
        <f t="shared" si="56"/>
        <v>-63.23</v>
      </c>
      <c r="M70" s="3"/>
      <c r="N70" s="7">
        <f t="shared" si="57"/>
        <v>-1</v>
      </c>
      <c r="O70" s="11"/>
      <c r="P70" s="8"/>
      <c r="Q70" s="3"/>
      <c r="R70" s="7">
        <f t="shared" si="58"/>
        <v>0</v>
      </c>
      <c r="S70" s="3"/>
      <c r="T70" s="8">
        <v>63.23</v>
      </c>
      <c r="U70" s="3"/>
      <c r="V70" s="7">
        <f t="shared" si="59"/>
        <v>2.4979387955613094E-3</v>
      </c>
      <c r="W70" s="3"/>
      <c r="X70" s="8">
        <f t="shared" si="60"/>
        <v>-63.23</v>
      </c>
      <c r="Y70" s="3"/>
      <c r="Z70" s="7">
        <f t="shared" si="61"/>
        <v>-1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8">
        <v>6.62</v>
      </c>
      <c r="E71" s="3"/>
      <c r="F71" s="7">
        <f t="shared" si="54"/>
        <v>0</v>
      </c>
      <c r="G71" s="3"/>
      <c r="H71" s="8">
        <v>44.06</v>
      </c>
      <c r="I71" s="3"/>
      <c r="J71" s="7">
        <f t="shared" si="55"/>
        <v>1.7406165322225416E-3</v>
      </c>
      <c r="K71" s="3"/>
      <c r="L71" s="8">
        <f t="shared" si="56"/>
        <v>-37.440000000000005</v>
      </c>
      <c r="M71" s="3"/>
      <c r="N71" s="7">
        <f t="shared" si="57"/>
        <v>-0.84975034044484798</v>
      </c>
      <c r="O71" s="11"/>
      <c r="P71" s="8">
        <v>6.62</v>
      </c>
      <c r="Q71" s="3"/>
      <c r="R71" s="7">
        <f t="shared" si="58"/>
        <v>0</v>
      </c>
      <c r="S71" s="3"/>
      <c r="T71" s="8">
        <v>44.06</v>
      </c>
      <c r="U71" s="3"/>
      <c r="V71" s="7">
        <f t="shared" si="59"/>
        <v>1.7406165322225416E-3</v>
      </c>
      <c r="W71" s="3"/>
      <c r="X71" s="8">
        <f t="shared" si="60"/>
        <v>-37.440000000000005</v>
      </c>
      <c r="Y71" s="3"/>
      <c r="Z71" s="7">
        <f t="shared" si="61"/>
        <v>-0.84975034044484798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8"/>
      <c r="E72" s="3"/>
      <c r="F72" s="7">
        <f t="shared" si="54"/>
        <v>0</v>
      </c>
      <c r="G72" s="3"/>
      <c r="H72" s="8">
        <v>358.61</v>
      </c>
      <c r="I72" s="3"/>
      <c r="J72" s="7">
        <f t="shared" si="55"/>
        <v>1.4167101557429087E-2</v>
      </c>
      <c r="K72" s="3"/>
      <c r="L72" s="8">
        <f t="shared" si="56"/>
        <v>-358.61</v>
      </c>
      <c r="M72" s="3"/>
      <c r="N72" s="7">
        <f t="shared" si="57"/>
        <v>-1</v>
      </c>
      <c r="O72" s="11"/>
      <c r="P72" s="8"/>
      <c r="Q72" s="3"/>
      <c r="R72" s="7">
        <f t="shared" si="58"/>
        <v>0</v>
      </c>
      <c r="S72" s="3"/>
      <c r="T72" s="8">
        <v>358.61</v>
      </c>
      <c r="U72" s="3"/>
      <c r="V72" s="7">
        <f t="shared" si="59"/>
        <v>1.4167101557429087E-2</v>
      </c>
      <c r="W72" s="3"/>
      <c r="X72" s="8">
        <f t="shared" si="60"/>
        <v>-358.61</v>
      </c>
      <c r="Y72" s="3"/>
      <c r="Z72" s="7">
        <f t="shared" si="61"/>
        <v>-1</v>
      </c>
    </row>
    <row r="73" spans="1:26" s="27" customFormat="1" outlineLevel="1" collapsed="1" x14ac:dyDescent="0.25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232</v>
      </c>
      <c r="E73" s="1"/>
      <c r="F73" s="5">
        <f t="shared" ref="F73:F76" si="62">IF(D$12=0,0,D73/D$12)</f>
        <v>0</v>
      </c>
      <c r="G73" s="1"/>
      <c r="H73" s="1">
        <f>SUM(OSRRefH22_15x_0)</f>
        <v>92</v>
      </c>
      <c r="I73" s="1"/>
      <c r="J73" s="5">
        <f t="shared" ref="J73:J76" si="63">IF(H$12=0,0,H73/H$12)</f>
        <v>3.6345147745000866E-3</v>
      </c>
      <c r="K73" s="1"/>
      <c r="L73" s="1">
        <f t="shared" ref="L73:L76" si="64">+D73-H73</f>
        <v>140</v>
      </c>
      <c r="M73" s="1"/>
      <c r="N73" s="5">
        <f t="shared" ref="N73:N76" si="65">IF(H73=0,0,L73/H73)</f>
        <v>1.5217391304347827</v>
      </c>
      <c r="O73" s="14"/>
      <c r="P73" s="1">
        <f>SUM(OSRRefP22_15x_0)</f>
        <v>232</v>
      </c>
      <c r="Q73" s="1"/>
      <c r="R73" s="5">
        <f t="shared" ref="R73:R76" si="66">IF(P$12=0,0,P73/P$12)</f>
        <v>0</v>
      </c>
      <c r="S73" s="1"/>
      <c r="T73" s="1">
        <f>SUM(OSRRefT22_15x_0)</f>
        <v>92</v>
      </c>
      <c r="U73" s="1"/>
      <c r="V73" s="5">
        <f t="shared" ref="V73:V76" si="67">IF(T$12=0,0,T73/T$12)</f>
        <v>3.6345147745000866E-3</v>
      </c>
      <c r="W73" s="1"/>
      <c r="X73" s="1">
        <f t="shared" ref="X73:X76" si="68">+P73-T73</f>
        <v>140</v>
      </c>
      <c r="Y73" s="1"/>
      <c r="Z73" s="5">
        <f t="shared" ref="Z73:Z76" si="69">IF(T73=0,0,X73/T73)</f>
        <v>1.5217391304347827</v>
      </c>
    </row>
    <row r="74" spans="1:26" s="24" customFormat="1" hidden="1" outlineLevel="2" x14ac:dyDescent="0.25">
      <c r="A74" s="29"/>
      <c r="B74" s="11" t="str">
        <f>CONCATENATE("          ", "6309", " - ", "TELEPHONE")</f>
        <v xml:space="preserve">          6309 - TELEPHONE</v>
      </c>
      <c r="C74" s="11"/>
      <c r="D74" s="8">
        <v>232</v>
      </c>
      <c r="E74" s="3"/>
      <c r="F74" s="7">
        <f t="shared" si="62"/>
        <v>0</v>
      </c>
      <c r="G74" s="3"/>
      <c r="H74" s="8">
        <v>92</v>
      </c>
      <c r="I74" s="3"/>
      <c r="J74" s="7">
        <f t="shared" si="63"/>
        <v>3.6345147745000866E-3</v>
      </c>
      <c r="K74" s="3"/>
      <c r="L74" s="8">
        <f t="shared" si="64"/>
        <v>140</v>
      </c>
      <c r="M74" s="3"/>
      <c r="N74" s="7">
        <f t="shared" si="65"/>
        <v>1.5217391304347827</v>
      </c>
      <c r="O74" s="11"/>
      <c r="P74" s="8">
        <v>232</v>
      </c>
      <c r="Q74" s="3"/>
      <c r="R74" s="7">
        <f t="shared" si="66"/>
        <v>0</v>
      </c>
      <c r="S74" s="3"/>
      <c r="T74" s="8">
        <v>92</v>
      </c>
      <c r="U74" s="3"/>
      <c r="V74" s="7">
        <f t="shared" si="67"/>
        <v>3.6345147745000866E-3</v>
      </c>
      <c r="W74" s="3"/>
      <c r="X74" s="8">
        <f t="shared" si="68"/>
        <v>140</v>
      </c>
      <c r="Y74" s="3"/>
      <c r="Z74" s="7">
        <f t="shared" si="69"/>
        <v>1.5217391304347827</v>
      </c>
    </row>
    <row r="75" spans="1:26" s="27" customFormat="1" outlineLevel="1" collapsed="1" x14ac:dyDescent="0.25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2300</v>
      </c>
      <c r="E75" s="1"/>
      <c r="F75" s="5">
        <f t="shared" si="62"/>
        <v>0</v>
      </c>
      <c r="G75" s="1"/>
      <c r="H75" s="1">
        <f>SUM(OSRRefH22_16x_0)</f>
        <v>2031</v>
      </c>
      <c r="I75" s="1"/>
      <c r="J75" s="5">
        <f t="shared" si="63"/>
        <v>8.0235864206626914E-2</v>
      </c>
      <c r="K75" s="1"/>
      <c r="L75" s="1">
        <f t="shared" si="64"/>
        <v>269</v>
      </c>
      <c r="M75" s="1"/>
      <c r="N75" s="5">
        <f t="shared" si="65"/>
        <v>0.13244707040866568</v>
      </c>
      <c r="O75" s="14"/>
      <c r="P75" s="1">
        <f>SUM(OSRRefP22_16x_0)</f>
        <v>2300</v>
      </c>
      <c r="Q75" s="1"/>
      <c r="R75" s="5">
        <f t="shared" si="66"/>
        <v>0</v>
      </c>
      <c r="S75" s="1"/>
      <c r="T75" s="1">
        <f>SUM(OSRRefT22_16x_0)</f>
        <v>2031</v>
      </c>
      <c r="U75" s="1"/>
      <c r="V75" s="5">
        <f t="shared" si="67"/>
        <v>8.0235864206626914E-2</v>
      </c>
      <c r="W75" s="1"/>
      <c r="X75" s="1">
        <f t="shared" si="68"/>
        <v>269</v>
      </c>
      <c r="Y75" s="1"/>
      <c r="Z75" s="5">
        <f t="shared" si="69"/>
        <v>0.13244707040866568</v>
      </c>
    </row>
    <row r="76" spans="1:26" s="24" customFormat="1" hidden="1" outlineLevel="2" x14ac:dyDescent="0.25">
      <c r="A76" s="29"/>
      <c r="B76" s="11" t="str">
        <f>CONCATENATE("          ", "6274", " - ", "UTILITIES")</f>
        <v xml:space="preserve">          6274 - UTILITIES</v>
      </c>
      <c r="C76" s="11"/>
      <c r="D76" s="8">
        <v>2300</v>
      </c>
      <c r="E76" s="3"/>
      <c r="F76" s="7">
        <f t="shared" si="62"/>
        <v>0</v>
      </c>
      <c r="G76" s="3"/>
      <c r="H76" s="8">
        <v>2031</v>
      </c>
      <c r="I76" s="3"/>
      <c r="J76" s="7">
        <f t="shared" si="63"/>
        <v>8.0235864206626914E-2</v>
      </c>
      <c r="K76" s="3"/>
      <c r="L76" s="8">
        <f t="shared" si="64"/>
        <v>269</v>
      </c>
      <c r="M76" s="3"/>
      <c r="N76" s="7">
        <f t="shared" si="65"/>
        <v>0.13244707040866568</v>
      </c>
      <c r="O76" s="11"/>
      <c r="P76" s="8">
        <v>2300</v>
      </c>
      <c r="Q76" s="3"/>
      <c r="R76" s="7">
        <f t="shared" si="66"/>
        <v>0</v>
      </c>
      <c r="S76" s="3"/>
      <c r="T76" s="8">
        <v>2031</v>
      </c>
      <c r="U76" s="3"/>
      <c r="V76" s="7">
        <f t="shared" si="67"/>
        <v>8.0235864206626914E-2</v>
      </c>
      <c r="W76" s="3"/>
      <c r="X76" s="8">
        <f t="shared" si="68"/>
        <v>269</v>
      </c>
      <c r="Y76" s="3"/>
      <c r="Z76" s="7">
        <f t="shared" si="69"/>
        <v>0.13244707040866568</v>
      </c>
    </row>
    <row r="77" spans="1:26" s="61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10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x14ac:dyDescent="0.25">
      <c r="A80" s="10"/>
      <c r="B80" s="26" t="s">
        <v>3</v>
      </c>
      <c r="C80" s="26"/>
      <c r="D80" s="19">
        <f>+D20-D22+D78</f>
        <v>-56656.840000000004</v>
      </c>
      <c r="E80" s="13"/>
      <c r="F80" s="20">
        <f>IF(D$12=0,0,D80/D$12)</f>
        <v>0</v>
      </c>
      <c r="G80" s="13"/>
      <c r="H80" s="19">
        <f>+H20-H22+H78</f>
        <v>-43382.560000000005</v>
      </c>
      <c r="I80" s="13"/>
      <c r="J80" s="20">
        <f>IF(H$12=0,0,H80/H$12)</f>
        <v>-1.713853861691701</v>
      </c>
      <c r="K80" s="16"/>
      <c r="L80" s="19">
        <f>+D80-H80</f>
        <v>-13274.279999999999</v>
      </c>
      <c r="M80" s="16"/>
      <c r="N80" s="20">
        <f>IF(H80=0,0,L80/H80)</f>
        <v>0.30598194297431958</v>
      </c>
      <c r="O80" s="25"/>
      <c r="P80" s="19">
        <f>+P20-P22+P78</f>
        <v>-56656.840000000004</v>
      </c>
      <c r="Q80" s="13"/>
      <c r="R80" s="20">
        <f>IF(P$12=0,0,P80/P$12)</f>
        <v>0</v>
      </c>
      <c r="S80" s="13"/>
      <c r="T80" s="19">
        <f>+T20-T22+T78</f>
        <v>-43382.560000000005</v>
      </c>
      <c r="U80" s="13"/>
      <c r="V80" s="20">
        <f>IF(T$12=0,0,T80/T$12)</f>
        <v>-1.713853861691701</v>
      </c>
      <c r="W80" s="16"/>
      <c r="X80" s="19">
        <f>+P80-T80</f>
        <v>-13274.279999999999</v>
      </c>
      <c r="Y80" s="16"/>
      <c r="Z80" s="20">
        <f>IF(T80=0,0,X80/T80)</f>
        <v>0.30598194297431958</v>
      </c>
    </row>
    <row r="81" spans="1:26" x14ac:dyDescent="0.25">
      <c r="A81" s="9"/>
      <c r="B81" s="10"/>
      <c r="C81" s="9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5263.29</v>
      </c>
      <c r="I82" s="4"/>
      <c r="J82" s="12">
        <f>IF(H$12=0,0,H82/H$12)</f>
        <v>0.20792940508128868</v>
      </c>
      <c r="K82" s="4"/>
      <c r="L82" s="4">
        <f>+D82-H82</f>
        <v>-5263.29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5263.29</v>
      </c>
      <c r="U82" s="4"/>
      <c r="V82" s="12">
        <f>IF(T$12=0,0,T82/T$12)</f>
        <v>0.20792940508128868</v>
      </c>
      <c r="W82" s="4"/>
      <c r="X82" s="4">
        <f>+P82-T82</f>
        <v>-5263.29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10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ht="15.75" thickBot="1" x14ac:dyDescent="0.3">
      <c r="A84" s="10"/>
      <c r="B84" s="26" t="s">
        <v>4</v>
      </c>
      <c r="C84" s="26"/>
      <c r="D84" s="35">
        <f>+D80-D82</f>
        <v>-56656.840000000004</v>
      </c>
      <c r="E84" s="13"/>
      <c r="F84" s="30">
        <f>IF(D$12=0,0,D84/D$12)</f>
        <v>0</v>
      </c>
      <c r="G84" s="13"/>
      <c r="H84" s="35">
        <f>+H80-H82</f>
        <v>-48645.850000000006</v>
      </c>
      <c r="I84" s="13"/>
      <c r="J84" s="30">
        <f>IF(H$12=0,0,H84/H$12)</f>
        <v>-1.9217832667729897</v>
      </c>
      <c r="K84" s="16"/>
      <c r="L84" s="35">
        <f>D84-H84</f>
        <v>-8010.989999999998</v>
      </c>
      <c r="M84" s="16"/>
      <c r="N84" s="30">
        <f>IF(H84=0,0,L84/H84)</f>
        <v>0.16467982366430017</v>
      </c>
      <c r="O84" s="25"/>
      <c r="P84" s="35">
        <f>+P80-P82</f>
        <v>-56656.840000000004</v>
      </c>
      <c r="Q84" s="13"/>
      <c r="R84" s="30">
        <f>IF(P$12=0,0,P84/P$12)</f>
        <v>0</v>
      </c>
      <c r="S84" s="13"/>
      <c r="T84" s="35">
        <f>+T80-T82</f>
        <v>-48645.850000000006</v>
      </c>
      <c r="U84" s="13"/>
      <c r="V84" s="30">
        <f>IF(T$12=0,0,T84/T$12)</f>
        <v>-1.9217832667729897</v>
      </c>
      <c r="W84" s="16"/>
      <c r="X84" s="35">
        <f>P84-T84</f>
        <v>-8010.989999999998</v>
      </c>
      <c r="Y84" s="16"/>
      <c r="Z84" s="30">
        <f>IF(T84=0,0,X84/T84)</f>
        <v>0.16467982366430017</v>
      </c>
    </row>
    <row r="85" spans="1:26" ht="15.75" thickTop="1" x14ac:dyDescent="0.25">
      <c r="A85" s="9"/>
      <c r="B85" s="9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x14ac:dyDescent="0.25">
      <c r="A86" s="9"/>
      <c r="B86" s="9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ht="15.75" thickBot="1" x14ac:dyDescent="0.3">
      <c r="A87" s="10"/>
      <c r="B87" s="26" t="s">
        <v>5</v>
      </c>
      <c r="C87" s="26"/>
      <c r="D87" s="31">
        <f>SUM(D84:D86)</f>
        <v>-56656.840000000004</v>
      </c>
      <c r="E87" s="13"/>
      <c r="F87" s="32">
        <f>IF(D$12=0,0,D87/D$12)</f>
        <v>0</v>
      </c>
      <c r="G87" s="13"/>
      <c r="H87" s="31">
        <f>SUM(H84:H86)</f>
        <v>-48645.850000000006</v>
      </c>
      <c r="I87" s="13"/>
      <c r="J87" s="32">
        <f>IF(H$12=0,0,H87/H$12)</f>
        <v>-1.9217832667729897</v>
      </c>
      <c r="K87" s="16"/>
      <c r="L87" s="31">
        <f>+D87-H87</f>
        <v>-8010.989999999998</v>
      </c>
      <c r="M87" s="16"/>
      <c r="N87" s="32">
        <f>IF(H87=0,0,L87/H87)</f>
        <v>0.16467982366430017</v>
      </c>
      <c r="O87" s="25"/>
      <c r="P87" s="31">
        <f>SUM(P84:P86)</f>
        <v>-56656.840000000004</v>
      </c>
      <c r="Q87" s="13"/>
      <c r="R87" s="32">
        <f>IF(P$12=0,0,P87/P$12)</f>
        <v>0</v>
      </c>
      <c r="S87" s="13"/>
      <c r="T87" s="31">
        <f>SUM(T84:T86)</f>
        <v>-48645.850000000006</v>
      </c>
      <c r="U87" s="13"/>
      <c r="V87" s="32">
        <f>IF(T$12=0,0,T87/T$12)</f>
        <v>-1.9217832667729897</v>
      </c>
      <c r="W87" s="16"/>
      <c r="X87" s="31">
        <f>+P87-T87</f>
        <v>-8010.989999999998</v>
      </c>
      <c r="Y87" s="16"/>
      <c r="Z87" s="32">
        <f>IF(T87=0,0,X87/T87)</f>
        <v>0.16467982366430017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9">
        <v>44109.414699155095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2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39880.29</v>
      </c>
      <c r="I12" s="4"/>
      <c r="J12" s="12"/>
      <c r="K12" s="4"/>
      <c r="L12" s="4">
        <f t="shared" ref="L12:L14" si="0">+D12-H12</f>
        <v>-39880.29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39880.29</v>
      </c>
      <c r="U12" s="4"/>
      <c r="V12" s="12"/>
      <c r="W12" s="4"/>
      <c r="X12" s="4">
        <f t="shared" ref="X12:X14" si="2">+P12-T12</f>
        <v>-39880.29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"4055", " - ", "TAXABLE SALES-FOOD")</f>
        <v xml:space="preserve">          4055 - TAXABLE SALES-FOOD</v>
      </c>
      <c r="C13" s="11"/>
      <c r="D13" s="3">
        <f t="shared" ref="D13:D14" si="4">0</f>
        <v>0</v>
      </c>
      <c r="E13" s="3"/>
      <c r="F13" s="22"/>
      <c r="G13" s="3"/>
      <c r="H13" s="3">
        <f>--14243.63</f>
        <v>14243.63</v>
      </c>
      <c r="I13" s="3"/>
      <c r="J13" s="22"/>
      <c r="K13" s="3"/>
      <c r="L13" s="3">
        <f t="shared" si="0"/>
        <v>-14243.63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--14243.63</f>
        <v>14243.63</v>
      </c>
      <c r="U13" s="3"/>
      <c r="V13" s="22"/>
      <c r="W13" s="3"/>
      <c r="X13" s="3">
        <f t="shared" si="2"/>
        <v>-14243.63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"4155", " - ", "NON-TAXABLE SALES-FOOD")</f>
        <v xml:space="preserve">          4155 - NON-TAXABLE SALES-FOOD</v>
      </c>
      <c r="C14" s="11"/>
      <c r="D14" s="3">
        <f t="shared" si="4"/>
        <v>0</v>
      </c>
      <c r="E14" s="3"/>
      <c r="F14" s="22"/>
      <c r="G14" s="3"/>
      <c r="H14" s="3">
        <f>--25636.66</f>
        <v>25636.66</v>
      </c>
      <c r="I14" s="3"/>
      <c r="J14" s="22"/>
      <c r="K14" s="3"/>
      <c r="L14" s="3">
        <f t="shared" si="0"/>
        <v>-25636.66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--25636.66</f>
        <v>25636.66</v>
      </c>
      <c r="U14" s="3"/>
      <c r="V14" s="22"/>
      <c r="W14" s="3"/>
      <c r="X14" s="3">
        <f t="shared" si="2"/>
        <v>-25636.66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16032.14</v>
      </c>
      <c r="I16" s="4"/>
      <c r="J16" s="12">
        <f t="shared" ref="J16:J18" si="7">IF(H$12=0,0,H16/H$12)</f>
        <v>0.40200660526791554</v>
      </c>
      <c r="K16" s="4"/>
      <c r="L16" s="4">
        <f t="shared" ref="L16:L18" si="8">+D16-H16</f>
        <v>-16032.14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16032.14</v>
      </c>
      <c r="U16" s="4"/>
      <c r="V16" s="12">
        <f t="shared" ref="V16:V18" si="11">IF(T$12=0,0,T16/T$12)</f>
        <v>0.40200660526791554</v>
      </c>
      <c r="W16" s="4"/>
      <c r="X16" s="4">
        <f t="shared" ref="X16:X18" si="12">+P16-T16</f>
        <v>-16032.14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15005.14</v>
      </c>
      <c r="I17" s="3"/>
      <c r="J17" s="22">
        <f t="shared" si="7"/>
        <v>0.37625453576190143</v>
      </c>
      <c r="K17" s="3"/>
      <c r="L17" s="3">
        <f t="shared" si="8"/>
        <v>-15005.14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15005.14</v>
      </c>
      <c r="U17" s="3"/>
      <c r="V17" s="22">
        <f t="shared" si="11"/>
        <v>0.37625453576190143</v>
      </c>
      <c r="W17" s="3"/>
      <c r="X17" s="3">
        <f t="shared" si="12"/>
        <v>-15005.14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1027</v>
      </c>
      <c r="I18" s="3"/>
      <c r="J18" s="22">
        <f t="shared" si="7"/>
        <v>2.5752069506014122E-2</v>
      </c>
      <c r="K18" s="3"/>
      <c r="L18" s="3">
        <f t="shared" si="8"/>
        <v>-1027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1027</v>
      </c>
      <c r="U18" s="3"/>
      <c r="V18" s="22">
        <f t="shared" si="11"/>
        <v>2.5752069506014122E-2</v>
      </c>
      <c r="W18" s="3"/>
      <c r="X18" s="3">
        <f t="shared" si="12"/>
        <v>-1027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23848.15</v>
      </c>
      <c r="I20" s="13"/>
      <c r="J20" s="20">
        <f>IF(H$12=0,0,H20/H$12)</f>
        <v>0.59799339473208446</v>
      </c>
      <c r="K20" s="16"/>
      <c r="L20" s="19">
        <f>+D20-H20</f>
        <v>-23848.15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23848.15</v>
      </c>
      <c r="U20" s="13"/>
      <c r="V20" s="20">
        <f>IF(T$12=0,0,T20/T$12)</f>
        <v>0.59799339473208446</v>
      </c>
      <c r="W20" s="16"/>
      <c r="X20" s="19">
        <f>+P20-T20</f>
        <v>-23848.15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17067.47</v>
      </c>
      <c r="E22" s="21"/>
      <c r="F22" s="34">
        <f t="shared" ref="F22:F31" si="14">IF(D$12=0,0,D22/D$12)</f>
        <v>0</v>
      </c>
      <c r="G22" s="21"/>
      <c r="H22" s="21">
        <f>SUM(OSRRefH22x_0)</f>
        <v>36747.24</v>
      </c>
      <c r="I22" s="21"/>
      <c r="J22" s="34">
        <f t="shared" ref="J22:J31" si="15">IF(H$12=0,0,H22/H$12)</f>
        <v>0.92143863547632165</v>
      </c>
      <c r="K22" s="4"/>
      <c r="L22" s="21">
        <f t="shared" ref="L22:L31" si="16">+D22-H22</f>
        <v>-19679.769999999997</v>
      </c>
      <c r="M22" s="4"/>
      <c r="N22" s="34">
        <f t="shared" ref="N22:N31" si="17">IF(H22=0,0,L22/H22)</f>
        <v>-0.535544166038048</v>
      </c>
      <c r="O22" s="10"/>
      <c r="P22" s="21">
        <f>SUM(OSRRefP22x_0)</f>
        <v>17067.47</v>
      </c>
      <c r="Q22" s="21"/>
      <c r="R22" s="34">
        <f t="shared" ref="R22:R31" si="18">IF(P$12=0,0,P22/P$12)</f>
        <v>0</v>
      </c>
      <c r="S22" s="21"/>
      <c r="T22" s="21">
        <f>SUM(OSRRefT22x_0)</f>
        <v>36747.24</v>
      </c>
      <c r="U22" s="21"/>
      <c r="V22" s="34">
        <f t="shared" ref="V22:V31" si="19">IF(T$12=0,0,T22/T$12)</f>
        <v>0.92143863547632165</v>
      </c>
      <c r="W22" s="4"/>
      <c r="X22" s="21">
        <f t="shared" ref="X22:X31" si="20">+P22-T22</f>
        <v>-19679.769999999997</v>
      </c>
      <c r="Y22" s="4"/>
      <c r="Z22" s="34">
        <f t="shared" ref="Z22:Z31" si="21">IF(T22=0,0,X22/T22)</f>
        <v>-0.535544166038048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6083.9599999999991</v>
      </c>
      <c r="E23" s="1"/>
      <c r="F23" s="5">
        <f t="shared" si="14"/>
        <v>0</v>
      </c>
      <c r="G23" s="1"/>
      <c r="H23" s="1">
        <f>SUM(OSRRefH22_0x_0)</f>
        <v>5261.35</v>
      </c>
      <c r="I23" s="1"/>
      <c r="J23" s="5">
        <f t="shared" si="15"/>
        <v>0.13192857925556711</v>
      </c>
      <c r="K23" s="1"/>
      <c r="L23" s="1">
        <f t="shared" si="16"/>
        <v>822.60999999999876</v>
      </c>
      <c r="M23" s="1"/>
      <c r="N23" s="5">
        <f t="shared" si="17"/>
        <v>0.15634960608969156</v>
      </c>
      <c r="O23" s="14"/>
      <c r="P23" s="1">
        <f>SUM(OSRRefP22_0x_0)</f>
        <v>6083.9599999999991</v>
      </c>
      <c r="Q23" s="1"/>
      <c r="R23" s="5">
        <f t="shared" si="18"/>
        <v>0</v>
      </c>
      <c r="S23" s="1"/>
      <c r="T23" s="1">
        <f>SUM(OSRRefT22_0x_0)</f>
        <v>5261.35</v>
      </c>
      <c r="U23" s="1"/>
      <c r="V23" s="5">
        <f t="shared" si="19"/>
        <v>0.13192857925556711</v>
      </c>
      <c r="W23" s="1"/>
      <c r="X23" s="1">
        <f t="shared" si="20"/>
        <v>822.60999999999876</v>
      </c>
      <c r="Y23" s="1"/>
      <c r="Z23" s="5">
        <f t="shared" si="21"/>
        <v>0.15634960608969156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235.15</v>
      </c>
      <c r="E24" s="3"/>
      <c r="F24" s="7">
        <f t="shared" si="14"/>
        <v>0</v>
      </c>
      <c r="G24" s="3"/>
      <c r="H24" s="8">
        <v>1117.83</v>
      </c>
      <c r="I24" s="3"/>
      <c r="J24" s="7">
        <f t="shared" si="15"/>
        <v>2.8029635692217884E-2</v>
      </c>
      <c r="K24" s="3"/>
      <c r="L24" s="8">
        <f t="shared" si="16"/>
        <v>-882.68</v>
      </c>
      <c r="M24" s="3"/>
      <c r="N24" s="7">
        <f t="shared" si="17"/>
        <v>-0.78963706466994088</v>
      </c>
      <c r="O24" s="11"/>
      <c r="P24" s="8">
        <v>235.15</v>
      </c>
      <c r="Q24" s="3"/>
      <c r="R24" s="7">
        <f t="shared" si="18"/>
        <v>0</v>
      </c>
      <c r="S24" s="3"/>
      <c r="T24" s="8">
        <v>1117.83</v>
      </c>
      <c r="U24" s="3"/>
      <c r="V24" s="7">
        <f t="shared" si="19"/>
        <v>2.8029635692217884E-2</v>
      </c>
      <c r="W24" s="3"/>
      <c r="X24" s="8">
        <f t="shared" si="20"/>
        <v>-882.68</v>
      </c>
      <c r="Y24" s="3"/>
      <c r="Z24" s="7">
        <f t="shared" si="21"/>
        <v>-0.78963706466994088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503.05</v>
      </c>
      <c r="I25" s="3"/>
      <c r="J25" s="7">
        <f t="shared" si="15"/>
        <v>1.2614000550146451E-2</v>
      </c>
      <c r="K25" s="3"/>
      <c r="L25" s="8">
        <f t="shared" si="16"/>
        <v>-503.05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503.05</v>
      </c>
      <c r="U25" s="3"/>
      <c r="V25" s="7">
        <f t="shared" si="19"/>
        <v>1.2614000550146451E-2</v>
      </c>
      <c r="W25" s="3"/>
      <c r="X25" s="8">
        <f t="shared" si="20"/>
        <v>-503.05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4780.67</v>
      </c>
      <c r="E26" s="3"/>
      <c r="F26" s="7">
        <f t="shared" si="14"/>
        <v>0</v>
      </c>
      <c r="G26" s="3"/>
      <c r="H26" s="8">
        <v>2533.4</v>
      </c>
      <c r="I26" s="3"/>
      <c r="J26" s="7">
        <f t="shared" si="15"/>
        <v>6.3525114787279638E-2</v>
      </c>
      <c r="K26" s="3"/>
      <c r="L26" s="8">
        <f t="shared" si="16"/>
        <v>2247.27</v>
      </c>
      <c r="M26" s="3"/>
      <c r="N26" s="7">
        <f t="shared" si="17"/>
        <v>0.88705691955474852</v>
      </c>
      <c r="O26" s="11"/>
      <c r="P26" s="8">
        <v>4780.67</v>
      </c>
      <c r="Q26" s="3"/>
      <c r="R26" s="7">
        <f t="shared" si="18"/>
        <v>0</v>
      </c>
      <c r="S26" s="3"/>
      <c r="T26" s="8">
        <v>2533.4</v>
      </c>
      <c r="U26" s="3"/>
      <c r="V26" s="7">
        <f t="shared" si="19"/>
        <v>6.3525114787279638E-2</v>
      </c>
      <c r="W26" s="3"/>
      <c r="X26" s="8">
        <f t="shared" si="20"/>
        <v>2247.27</v>
      </c>
      <c r="Y26" s="3"/>
      <c r="Z26" s="7">
        <f t="shared" si="21"/>
        <v>0.88705691955474852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33.71</v>
      </c>
      <c r="I27" s="3"/>
      <c r="J27" s="7">
        <f t="shared" si="15"/>
        <v>8.4527971085466029E-4</v>
      </c>
      <c r="K27" s="3"/>
      <c r="L27" s="8">
        <f t="shared" si="16"/>
        <v>-33.71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33.71</v>
      </c>
      <c r="U27" s="3"/>
      <c r="V27" s="7">
        <f t="shared" si="19"/>
        <v>8.4527971085466029E-4</v>
      </c>
      <c r="W27" s="3"/>
      <c r="X27" s="8">
        <f t="shared" si="20"/>
        <v>-33.71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678.15</v>
      </c>
      <c r="E28" s="3"/>
      <c r="F28" s="7">
        <f t="shared" si="14"/>
        <v>0</v>
      </c>
      <c r="G28" s="3"/>
      <c r="H28" s="8">
        <v>268.22000000000003</v>
      </c>
      <c r="I28" s="3"/>
      <c r="J28" s="7">
        <f t="shared" si="15"/>
        <v>6.7256281235668052E-3</v>
      </c>
      <c r="K28" s="3"/>
      <c r="L28" s="8">
        <f t="shared" si="16"/>
        <v>409.92999999999995</v>
      </c>
      <c r="M28" s="3"/>
      <c r="N28" s="7">
        <f t="shared" si="17"/>
        <v>1.528334948922526</v>
      </c>
      <c r="O28" s="11"/>
      <c r="P28" s="8">
        <v>678.15</v>
      </c>
      <c r="Q28" s="3"/>
      <c r="R28" s="7">
        <f t="shared" si="18"/>
        <v>0</v>
      </c>
      <c r="S28" s="3"/>
      <c r="T28" s="8">
        <v>268.22000000000003</v>
      </c>
      <c r="U28" s="3"/>
      <c r="V28" s="7">
        <f t="shared" si="19"/>
        <v>6.7256281235668052E-3</v>
      </c>
      <c r="W28" s="3"/>
      <c r="X28" s="8">
        <f t="shared" si="20"/>
        <v>409.92999999999995</v>
      </c>
      <c r="Y28" s="3"/>
      <c r="Z28" s="7">
        <f t="shared" si="21"/>
        <v>1.528334948922526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248.21</v>
      </c>
      <c r="E29" s="3"/>
      <c r="F29" s="7">
        <f t="shared" si="14"/>
        <v>0</v>
      </c>
      <c r="G29" s="3"/>
      <c r="H29" s="8">
        <v>367.51</v>
      </c>
      <c r="I29" s="3"/>
      <c r="J29" s="7">
        <f t="shared" si="15"/>
        <v>9.2153291763926483E-3</v>
      </c>
      <c r="K29" s="3"/>
      <c r="L29" s="8">
        <f t="shared" si="16"/>
        <v>-119.29999999999998</v>
      </c>
      <c r="M29" s="3"/>
      <c r="N29" s="7">
        <f t="shared" si="17"/>
        <v>-0.32461701722402109</v>
      </c>
      <c r="O29" s="11"/>
      <c r="P29" s="8">
        <v>248.21</v>
      </c>
      <c r="Q29" s="3"/>
      <c r="R29" s="7">
        <f t="shared" si="18"/>
        <v>0</v>
      </c>
      <c r="S29" s="3"/>
      <c r="T29" s="8">
        <v>367.51</v>
      </c>
      <c r="U29" s="3"/>
      <c r="V29" s="7">
        <f t="shared" si="19"/>
        <v>9.2153291763926483E-3</v>
      </c>
      <c r="W29" s="3"/>
      <c r="X29" s="8">
        <f t="shared" si="20"/>
        <v>-119.29999999999998</v>
      </c>
      <c r="Y29" s="3"/>
      <c r="Z29" s="7">
        <f t="shared" si="21"/>
        <v>-0.32461701722402109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141.78</v>
      </c>
      <c r="E30" s="3"/>
      <c r="F30" s="7">
        <f t="shared" si="14"/>
        <v>0</v>
      </c>
      <c r="G30" s="3"/>
      <c r="H30" s="8">
        <v>325.74</v>
      </c>
      <c r="I30" s="3"/>
      <c r="J30" s="7">
        <f t="shared" si="15"/>
        <v>8.1679446162502833E-3</v>
      </c>
      <c r="K30" s="3"/>
      <c r="L30" s="8">
        <f t="shared" si="16"/>
        <v>-183.96</v>
      </c>
      <c r="M30" s="3"/>
      <c r="N30" s="7">
        <f t="shared" si="17"/>
        <v>-0.56474488856142935</v>
      </c>
      <c r="O30" s="11"/>
      <c r="P30" s="8">
        <v>141.78</v>
      </c>
      <c r="Q30" s="3"/>
      <c r="R30" s="7">
        <f t="shared" si="18"/>
        <v>0</v>
      </c>
      <c r="S30" s="3"/>
      <c r="T30" s="8">
        <v>325.74</v>
      </c>
      <c r="U30" s="3"/>
      <c r="V30" s="7">
        <f t="shared" si="19"/>
        <v>8.1679446162502833E-3</v>
      </c>
      <c r="W30" s="3"/>
      <c r="X30" s="8">
        <f t="shared" si="20"/>
        <v>-183.96</v>
      </c>
      <c r="Y30" s="3"/>
      <c r="Z30" s="7">
        <f t="shared" si="21"/>
        <v>-0.56474488856142935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111.89</v>
      </c>
      <c r="I31" s="3"/>
      <c r="J31" s="7">
        <f t="shared" si="15"/>
        <v>2.8056465988587345E-3</v>
      </c>
      <c r="K31" s="3"/>
      <c r="L31" s="8">
        <f t="shared" si="16"/>
        <v>-111.89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111.89</v>
      </c>
      <c r="U31" s="3"/>
      <c r="V31" s="7">
        <f t="shared" si="19"/>
        <v>2.8056465988587345E-3</v>
      </c>
      <c r="W31" s="3"/>
      <c r="X31" s="8">
        <f t="shared" si="20"/>
        <v>-111.89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2151.69</v>
      </c>
      <c r="E32" s="1"/>
      <c r="F32" s="5">
        <f t="shared" ref="F32:F37" si="22">IF(D$12=0,0,D32/D$12)</f>
        <v>0</v>
      </c>
      <c r="G32" s="1"/>
      <c r="H32" s="1">
        <f>SUM(OSRRefH22_1x_0)</f>
        <v>15742.359999999999</v>
      </c>
      <c r="I32" s="1"/>
      <c r="J32" s="5">
        <f t="shared" ref="J32:J37" si="23">IF(H$12=0,0,H32/H$12)</f>
        <v>0.39474035921002576</v>
      </c>
      <c r="K32" s="1"/>
      <c r="L32" s="1">
        <f t="shared" ref="L32:L37" si="24">+D32-H32</f>
        <v>-13590.669999999998</v>
      </c>
      <c r="M32" s="1"/>
      <c r="N32" s="5">
        <f t="shared" ref="N32:N37" si="25">IF(H32=0,0,L32/H32)</f>
        <v>-0.8633184605103682</v>
      </c>
      <c r="O32" s="14"/>
      <c r="P32" s="1">
        <f>SUM(OSRRefP22_1x_0)</f>
        <v>2151.69</v>
      </c>
      <c r="Q32" s="1"/>
      <c r="R32" s="5">
        <f t="shared" ref="R32:R37" si="26">IF(P$12=0,0,P32/P$12)</f>
        <v>0</v>
      </c>
      <c r="S32" s="1"/>
      <c r="T32" s="1">
        <f>SUM(OSRRefT22_1x_0)</f>
        <v>15742.359999999999</v>
      </c>
      <c r="U32" s="1"/>
      <c r="V32" s="5">
        <f t="shared" ref="V32:V37" si="27">IF(T$12=0,0,T32/T$12)</f>
        <v>0.39474035921002576</v>
      </c>
      <c r="W32" s="1"/>
      <c r="X32" s="1">
        <f t="shared" ref="X32:X37" si="28">+P32-T32</f>
        <v>-13590.669999999998</v>
      </c>
      <c r="Y32" s="1"/>
      <c r="Z32" s="5">
        <f t="shared" ref="Z32:Z37" si="29">IF(T32=0,0,X32/T32)</f>
        <v>-0.8633184605103682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2151.69</v>
      </c>
      <c r="E33" s="3"/>
      <c r="F33" s="7">
        <f t="shared" si="22"/>
        <v>0</v>
      </c>
      <c r="G33" s="3"/>
      <c r="H33" s="8">
        <v>3840</v>
      </c>
      <c r="I33" s="3"/>
      <c r="J33" s="7">
        <f t="shared" si="23"/>
        <v>9.6288166410023593E-2</v>
      </c>
      <c r="K33" s="3"/>
      <c r="L33" s="8">
        <f t="shared" si="24"/>
        <v>-1688.31</v>
      </c>
      <c r="M33" s="3"/>
      <c r="N33" s="7">
        <f t="shared" si="25"/>
        <v>-0.43966406250000001</v>
      </c>
      <c r="O33" s="11"/>
      <c r="P33" s="8">
        <v>2151.69</v>
      </c>
      <c r="Q33" s="3"/>
      <c r="R33" s="7">
        <f t="shared" si="26"/>
        <v>0</v>
      </c>
      <c r="S33" s="3"/>
      <c r="T33" s="8">
        <v>3840</v>
      </c>
      <c r="U33" s="3"/>
      <c r="V33" s="7">
        <f t="shared" si="27"/>
        <v>9.6288166410023593E-2</v>
      </c>
      <c r="W33" s="3"/>
      <c r="X33" s="8">
        <f t="shared" si="28"/>
        <v>-1688.31</v>
      </c>
      <c r="Y33" s="3"/>
      <c r="Z33" s="7">
        <f t="shared" si="29"/>
        <v>-0.43966406250000001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8"/>
      <c r="E34" s="3"/>
      <c r="F34" s="7">
        <f t="shared" si="22"/>
        <v>0</v>
      </c>
      <c r="G34" s="3"/>
      <c r="H34" s="8">
        <v>140.08000000000001</v>
      </c>
      <c r="I34" s="3"/>
      <c r="J34" s="7">
        <f t="shared" si="23"/>
        <v>3.5125120704989862E-3</v>
      </c>
      <c r="K34" s="3"/>
      <c r="L34" s="8">
        <f t="shared" si="24"/>
        <v>-140.08000000000001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140.08000000000001</v>
      </c>
      <c r="U34" s="3"/>
      <c r="V34" s="7">
        <f t="shared" si="27"/>
        <v>3.5125120704989862E-3</v>
      </c>
      <c r="W34" s="3"/>
      <c r="X34" s="8">
        <f t="shared" si="28"/>
        <v>-140.08000000000001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22"/>
        <v>0</v>
      </c>
      <c r="G35" s="3"/>
      <c r="H35" s="8">
        <v>6196.15</v>
      </c>
      <c r="I35" s="3"/>
      <c r="J35" s="7">
        <f t="shared" si="23"/>
        <v>0.15536872976600721</v>
      </c>
      <c r="K35" s="3"/>
      <c r="L35" s="8">
        <f t="shared" si="24"/>
        <v>-6196.15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6196.15</v>
      </c>
      <c r="U35" s="3"/>
      <c r="V35" s="7">
        <f t="shared" si="27"/>
        <v>0.15536872976600721</v>
      </c>
      <c r="W35" s="3"/>
      <c r="X35" s="8">
        <f t="shared" si="28"/>
        <v>-6196.15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22"/>
        <v>0</v>
      </c>
      <c r="G36" s="3"/>
      <c r="H36" s="8">
        <v>970.13</v>
      </c>
      <c r="I36" s="3"/>
      <c r="J36" s="7">
        <f t="shared" si="23"/>
        <v>2.4326051791499007E-2</v>
      </c>
      <c r="K36" s="3"/>
      <c r="L36" s="8">
        <f t="shared" si="24"/>
        <v>-970.13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970.13</v>
      </c>
      <c r="U36" s="3"/>
      <c r="V36" s="7">
        <f t="shared" si="27"/>
        <v>2.4326051791499007E-2</v>
      </c>
      <c r="W36" s="3"/>
      <c r="X36" s="8">
        <f t="shared" si="28"/>
        <v>-970.13</v>
      </c>
      <c r="Y36" s="3"/>
      <c r="Z36" s="7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8"/>
      <c r="E37" s="3"/>
      <c r="F37" s="7">
        <f t="shared" si="22"/>
        <v>0</v>
      </c>
      <c r="G37" s="3"/>
      <c r="H37" s="8">
        <v>4596</v>
      </c>
      <c r="I37" s="3"/>
      <c r="J37" s="7">
        <f t="shared" si="23"/>
        <v>0.115244899171997</v>
      </c>
      <c r="K37" s="3"/>
      <c r="L37" s="8">
        <f t="shared" si="24"/>
        <v>-4596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4596</v>
      </c>
      <c r="U37" s="3"/>
      <c r="V37" s="7">
        <f t="shared" si="27"/>
        <v>0.115244899171997</v>
      </c>
      <c r="W37" s="3"/>
      <c r="X37" s="8">
        <f t="shared" si="28"/>
        <v>-4596</v>
      </c>
      <c r="Y37" s="3"/>
      <c r="Z37" s="7">
        <f t="shared" si="29"/>
        <v>-1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309.99</v>
      </c>
      <c r="I38" s="1"/>
      <c r="J38" s="5">
        <f t="shared" ref="J38:J46" si="31">IF(H$12=0,0,H38/H$12)</f>
        <v>7.773012683709171E-3</v>
      </c>
      <c r="K38" s="1"/>
      <c r="L38" s="1">
        <f t="shared" ref="L38:L46" si="32">+D38-H38</f>
        <v>-309.99</v>
      </c>
      <c r="M38" s="1"/>
      <c r="N38" s="5">
        <f t="shared" ref="N38:N46" si="33">IF(H38=0,0,L38/H38)</f>
        <v>-1</v>
      </c>
      <c r="O38" s="14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309.99</v>
      </c>
      <c r="U38" s="1"/>
      <c r="V38" s="5">
        <f t="shared" ref="V38:V46" si="35">IF(T$12=0,0,T38/T$12)</f>
        <v>7.773012683709171E-3</v>
      </c>
      <c r="W38" s="1"/>
      <c r="X38" s="1">
        <f t="shared" ref="X38:X46" si="36">+P38-T38</f>
        <v>-309.99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8"/>
      <c r="E39" s="3"/>
      <c r="F39" s="7">
        <f t="shared" si="30"/>
        <v>0</v>
      </c>
      <c r="G39" s="3"/>
      <c r="H39" s="8">
        <v>309.99</v>
      </c>
      <c r="I39" s="3"/>
      <c r="J39" s="7">
        <f t="shared" si="31"/>
        <v>7.773012683709171E-3</v>
      </c>
      <c r="K39" s="3"/>
      <c r="L39" s="8">
        <f t="shared" si="32"/>
        <v>-309.99</v>
      </c>
      <c r="M39" s="3"/>
      <c r="N39" s="7">
        <f t="shared" si="33"/>
        <v>-1</v>
      </c>
      <c r="O39" s="11"/>
      <c r="P39" s="8"/>
      <c r="Q39" s="3"/>
      <c r="R39" s="7">
        <f t="shared" si="34"/>
        <v>0</v>
      </c>
      <c r="S39" s="3"/>
      <c r="T39" s="8">
        <v>309.99</v>
      </c>
      <c r="U39" s="3"/>
      <c r="V39" s="7">
        <f t="shared" si="35"/>
        <v>7.773012683709171E-3</v>
      </c>
      <c r="W39" s="3"/>
      <c r="X39" s="8">
        <f t="shared" si="36"/>
        <v>-309.99</v>
      </c>
      <c r="Y39" s="3"/>
      <c r="Z39" s="7">
        <f t="shared" si="37"/>
        <v>-1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10.53</v>
      </c>
      <c r="I40" s="1"/>
      <c r="J40" s="5">
        <f t="shared" si="31"/>
        <v>2.6404020632748656E-4</v>
      </c>
      <c r="K40" s="1"/>
      <c r="L40" s="1">
        <f t="shared" si="32"/>
        <v>-10.53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10.53</v>
      </c>
      <c r="U40" s="1"/>
      <c r="V40" s="5">
        <f t="shared" si="35"/>
        <v>2.6404020632748656E-4</v>
      </c>
      <c r="W40" s="1"/>
      <c r="X40" s="1">
        <f t="shared" si="36"/>
        <v>-10.53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8"/>
      <c r="E41" s="3"/>
      <c r="F41" s="7">
        <f t="shared" si="30"/>
        <v>0</v>
      </c>
      <c r="G41" s="3"/>
      <c r="H41" s="8">
        <v>10.53</v>
      </c>
      <c r="I41" s="3"/>
      <c r="J41" s="7">
        <f t="shared" si="31"/>
        <v>2.6404020632748656E-4</v>
      </c>
      <c r="K41" s="3"/>
      <c r="L41" s="8">
        <f t="shared" si="32"/>
        <v>-10.53</v>
      </c>
      <c r="M41" s="3"/>
      <c r="N41" s="7">
        <f t="shared" si="33"/>
        <v>-1</v>
      </c>
      <c r="O41" s="11"/>
      <c r="P41" s="8"/>
      <c r="Q41" s="3"/>
      <c r="R41" s="7">
        <f t="shared" si="34"/>
        <v>0</v>
      </c>
      <c r="S41" s="3"/>
      <c r="T41" s="8">
        <v>10.53</v>
      </c>
      <c r="U41" s="3"/>
      <c r="V41" s="7">
        <f t="shared" si="35"/>
        <v>2.6404020632748656E-4</v>
      </c>
      <c r="W41" s="3"/>
      <c r="X41" s="8">
        <f t="shared" si="36"/>
        <v>-10.53</v>
      </c>
      <c r="Y41" s="3"/>
      <c r="Z41" s="7">
        <f t="shared" si="37"/>
        <v>-1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1293.3399999999999</v>
      </c>
      <c r="I42" s="1"/>
      <c r="J42" s="5">
        <f t="shared" si="31"/>
        <v>3.2430556548109349E-2</v>
      </c>
      <c r="K42" s="1"/>
      <c r="L42" s="1">
        <f t="shared" si="32"/>
        <v>-1293.3399999999999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1293.3399999999999</v>
      </c>
      <c r="U42" s="1"/>
      <c r="V42" s="5">
        <f t="shared" si="35"/>
        <v>3.2430556548109349E-2</v>
      </c>
      <c r="W42" s="1"/>
      <c r="X42" s="1">
        <f t="shared" si="36"/>
        <v>-1293.3399999999999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8"/>
      <c r="E43" s="3"/>
      <c r="F43" s="7">
        <f t="shared" si="30"/>
        <v>0</v>
      </c>
      <c r="G43" s="3"/>
      <c r="H43" s="8">
        <v>1293.3399999999999</v>
      </c>
      <c r="I43" s="3"/>
      <c r="J43" s="7">
        <f t="shared" si="31"/>
        <v>3.2430556548109349E-2</v>
      </c>
      <c r="K43" s="3"/>
      <c r="L43" s="8">
        <f t="shared" si="32"/>
        <v>-1293.3399999999999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1293.3399999999999</v>
      </c>
      <c r="U43" s="3"/>
      <c r="V43" s="7">
        <f t="shared" si="35"/>
        <v>3.2430556548109349E-2</v>
      </c>
      <c r="W43" s="3"/>
      <c r="X43" s="8">
        <f t="shared" si="36"/>
        <v>-1293.3399999999999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7177.55</v>
      </c>
      <c r="E44" s="1"/>
      <c r="F44" s="5">
        <f t="shared" si="30"/>
        <v>0</v>
      </c>
      <c r="G44" s="1"/>
      <c r="H44" s="1">
        <f>SUM(OSRRefH22_5x_0)</f>
        <v>8263.4700000000012</v>
      </c>
      <c r="I44" s="1"/>
      <c r="J44" s="5">
        <f t="shared" si="31"/>
        <v>0.20720686835527025</v>
      </c>
      <c r="K44" s="1"/>
      <c r="L44" s="1">
        <f t="shared" si="32"/>
        <v>-1085.920000000001</v>
      </c>
      <c r="M44" s="1"/>
      <c r="N44" s="5">
        <f t="shared" si="33"/>
        <v>-0.13141210653635832</v>
      </c>
      <c r="O44" s="14"/>
      <c r="P44" s="1">
        <f>SUM(OSRRefP22_5x_0)</f>
        <v>7177.55</v>
      </c>
      <c r="Q44" s="1"/>
      <c r="R44" s="5">
        <f t="shared" si="34"/>
        <v>0</v>
      </c>
      <c r="S44" s="1"/>
      <c r="T44" s="1">
        <f>SUM(OSRRefT22_5x_0)</f>
        <v>8263.4700000000012</v>
      </c>
      <c r="U44" s="1"/>
      <c r="V44" s="5">
        <f t="shared" si="35"/>
        <v>0.20720686835527025</v>
      </c>
      <c r="W44" s="1"/>
      <c r="X44" s="1">
        <f t="shared" si="36"/>
        <v>-1085.920000000001</v>
      </c>
      <c r="Y44" s="1"/>
      <c r="Z44" s="5">
        <f t="shared" si="37"/>
        <v>-0.13141210653635832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8">
        <v>6537.05</v>
      </c>
      <c r="E45" s="3"/>
      <c r="F45" s="7">
        <f t="shared" si="30"/>
        <v>0</v>
      </c>
      <c r="G45" s="3"/>
      <c r="H45" s="8">
        <v>6537.05</v>
      </c>
      <c r="I45" s="3"/>
      <c r="J45" s="7">
        <f t="shared" si="31"/>
        <v>0.16391681203923042</v>
      </c>
      <c r="K45" s="3"/>
      <c r="L45" s="8">
        <f t="shared" si="32"/>
        <v>0</v>
      </c>
      <c r="M45" s="3"/>
      <c r="N45" s="7">
        <f t="shared" si="33"/>
        <v>0</v>
      </c>
      <c r="O45" s="11"/>
      <c r="P45" s="8">
        <v>6537.05</v>
      </c>
      <c r="Q45" s="3"/>
      <c r="R45" s="7">
        <f t="shared" si="34"/>
        <v>0</v>
      </c>
      <c r="S45" s="3"/>
      <c r="T45" s="8">
        <v>6537.05</v>
      </c>
      <c r="U45" s="3"/>
      <c r="V45" s="7">
        <f t="shared" si="35"/>
        <v>0.16391681203923042</v>
      </c>
      <c r="W45" s="3"/>
      <c r="X45" s="8">
        <f t="shared" si="36"/>
        <v>0</v>
      </c>
      <c r="Y45" s="3"/>
      <c r="Z45" s="7">
        <f t="shared" si="37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8">
        <v>640.5</v>
      </c>
      <c r="E46" s="3"/>
      <c r="F46" s="7">
        <f t="shared" si="30"/>
        <v>0</v>
      </c>
      <c r="G46" s="3"/>
      <c r="H46" s="8">
        <v>1726.42</v>
      </c>
      <c r="I46" s="3"/>
      <c r="J46" s="7">
        <f t="shared" si="31"/>
        <v>4.3290056316039827E-2</v>
      </c>
      <c r="K46" s="3"/>
      <c r="L46" s="8">
        <f t="shared" si="32"/>
        <v>-1085.92</v>
      </c>
      <c r="M46" s="3"/>
      <c r="N46" s="7">
        <f t="shared" si="33"/>
        <v>-0.62900105420465469</v>
      </c>
      <c r="O46" s="11"/>
      <c r="P46" s="8">
        <v>640.5</v>
      </c>
      <c r="Q46" s="3"/>
      <c r="R46" s="7">
        <f t="shared" si="34"/>
        <v>0</v>
      </c>
      <c r="S46" s="3"/>
      <c r="T46" s="8">
        <v>1726.42</v>
      </c>
      <c r="U46" s="3"/>
      <c r="V46" s="7">
        <f t="shared" si="35"/>
        <v>4.3290056316039827E-2</v>
      </c>
      <c r="W46" s="3"/>
      <c r="X46" s="8">
        <f t="shared" si="36"/>
        <v>-1085.92</v>
      </c>
      <c r="Y46" s="3"/>
      <c r="Z46" s="7">
        <f t="shared" si="37"/>
        <v>-0.62900105420465469</v>
      </c>
    </row>
    <row r="47" spans="1:26" s="27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SUM(OSRRefD22_6x_0)</f>
        <v>263.72000000000003</v>
      </c>
      <c r="E47" s="1"/>
      <c r="F47" s="5">
        <f t="shared" ref="F47:F55" si="38">IF(D$12=0,0,D47/D$12)</f>
        <v>0</v>
      </c>
      <c r="G47" s="1"/>
      <c r="H47" s="1">
        <f>SUM(OSRRefH22_6x_0)</f>
        <v>0</v>
      </c>
      <c r="I47" s="1"/>
      <c r="J47" s="5">
        <f t="shared" ref="J47:J55" si="39">IF(H$12=0,0,H47/H$12)</f>
        <v>0</v>
      </c>
      <c r="K47" s="1"/>
      <c r="L47" s="1">
        <f t="shared" ref="L47:L55" si="40">+D47-H47</f>
        <v>263.72000000000003</v>
      </c>
      <c r="M47" s="1"/>
      <c r="N47" s="5">
        <f t="shared" ref="N47:N55" si="41">IF(H47=0,0,L47/H47)</f>
        <v>0</v>
      </c>
      <c r="O47" s="14"/>
      <c r="P47" s="1">
        <f>SUM(OSRRefP22_6x_0)</f>
        <v>263.72000000000003</v>
      </c>
      <c r="Q47" s="1"/>
      <c r="R47" s="5">
        <f t="shared" ref="R47:R55" si="42">IF(P$12=0,0,P47/P$12)</f>
        <v>0</v>
      </c>
      <c r="S47" s="1"/>
      <c r="T47" s="1">
        <f>SUM(OSRRefT22_6x_0)</f>
        <v>0</v>
      </c>
      <c r="U47" s="1"/>
      <c r="V47" s="5">
        <f t="shared" ref="V47:V55" si="43">IF(T$12=0,0,T47/T$12)</f>
        <v>0</v>
      </c>
      <c r="W47" s="1"/>
      <c r="X47" s="1">
        <f t="shared" ref="X47:X55" si="44">+P47-T47</f>
        <v>263.72000000000003</v>
      </c>
      <c r="Y47" s="1"/>
      <c r="Z47" s="5">
        <f t="shared" ref="Z47:Z55" si="45">IF(T47=0,0,X47/T47)</f>
        <v>0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8">
        <v>263.72000000000003</v>
      </c>
      <c r="E48" s="3"/>
      <c r="F48" s="7">
        <f t="shared" si="38"/>
        <v>0</v>
      </c>
      <c r="G48" s="3"/>
      <c r="H48" s="8"/>
      <c r="I48" s="3"/>
      <c r="J48" s="7">
        <f t="shared" si="39"/>
        <v>0</v>
      </c>
      <c r="K48" s="3"/>
      <c r="L48" s="8">
        <f t="shared" si="40"/>
        <v>263.72000000000003</v>
      </c>
      <c r="M48" s="3"/>
      <c r="N48" s="7">
        <f t="shared" si="41"/>
        <v>0</v>
      </c>
      <c r="O48" s="11"/>
      <c r="P48" s="8">
        <v>263.72000000000003</v>
      </c>
      <c r="Q48" s="3"/>
      <c r="R48" s="7">
        <f t="shared" si="42"/>
        <v>0</v>
      </c>
      <c r="S48" s="3"/>
      <c r="T48" s="8"/>
      <c r="U48" s="3"/>
      <c r="V48" s="7">
        <f t="shared" si="43"/>
        <v>0</v>
      </c>
      <c r="W48" s="3"/>
      <c r="X48" s="8">
        <f t="shared" si="44"/>
        <v>263.72000000000003</v>
      </c>
      <c r="Y48" s="3"/>
      <c r="Z48" s="7">
        <f t="shared" si="45"/>
        <v>0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1284.55</v>
      </c>
      <c r="E49" s="1"/>
      <c r="F49" s="5">
        <f t="shared" si="38"/>
        <v>0</v>
      </c>
      <c r="G49" s="1"/>
      <c r="H49" s="1">
        <f>SUM(OSRRefH22_7x_0)</f>
        <v>1239.55</v>
      </c>
      <c r="I49" s="1"/>
      <c r="J49" s="5">
        <f t="shared" si="39"/>
        <v>3.1081769967068944E-2</v>
      </c>
      <c r="K49" s="1"/>
      <c r="L49" s="1">
        <f t="shared" si="40"/>
        <v>45</v>
      </c>
      <c r="M49" s="1"/>
      <c r="N49" s="5">
        <f t="shared" si="41"/>
        <v>3.6303497236900489E-2</v>
      </c>
      <c r="O49" s="14"/>
      <c r="P49" s="1">
        <f>SUM(OSRRefP22_7x_0)</f>
        <v>1284.55</v>
      </c>
      <c r="Q49" s="1"/>
      <c r="R49" s="5">
        <f t="shared" si="42"/>
        <v>0</v>
      </c>
      <c r="S49" s="1"/>
      <c r="T49" s="1">
        <f>SUM(OSRRefT22_7x_0)</f>
        <v>1239.55</v>
      </c>
      <c r="U49" s="1"/>
      <c r="V49" s="5">
        <f t="shared" si="43"/>
        <v>3.1081769967068944E-2</v>
      </c>
      <c r="W49" s="1"/>
      <c r="X49" s="1">
        <f t="shared" si="44"/>
        <v>45</v>
      </c>
      <c r="Y49" s="1"/>
      <c r="Z49" s="5">
        <f t="shared" si="45"/>
        <v>3.6303497236900489E-2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8">
        <v>1284.55</v>
      </c>
      <c r="E50" s="3"/>
      <c r="F50" s="7">
        <f t="shared" si="38"/>
        <v>0</v>
      </c>
      <c r="G50" s="3"/>
      <c r="H50" s="8">
        <v>1239.55</v>
      </c>
      <c r="I50" s="3"/>
      <c r="J50" s="7">
        <f t="shared" si="39"/>
        <v>3.1081769967068944E-2</v>
      </c>
      <c r="K50" s="3"/>
      <c r="L50" s="8">
        <f t="shared" si="40"/>
        <v>45</v>
      </c>
      <c r="M50" s="3"/>
      <c r="N50" s="7">
        <f t="shared" si="41"/>
        <v>3.6303497236900489E-2</v>
      </c>
      <c r="O50" s="11"/>
      <c r="P50" s="8">
        <v>1284.55</v>
      </c>
      <c r="Q50" s="3"/>
      <c r="R50" s="7">
        <f t="shared" si="42"/>
        <v>0</v>
      </c>
      <c r="S50" s="3"/>
      <c r="T50" s="8">
        <v>1239.55</v>
      </c>
      <c r="U50" s="3"/>
      <c r="V50" s="7">
        <f t="shared" si="43"/>
        <v>3.1081769967068944E-2</v>
      </c>
      <c r="W50" s="3"/>
      <c r="X50" s="8">
        <f t="shared" si="44"/>
        <v>45</v>
      </c>
      <c r="Y50" s="3"/>
      <c r="Z50" s="7">
        <f t="shared" si="45"/>
        <v>3.6303497236900489E-2</v>
      </c>
    </row>
    <row r="51" spans="1:26" s="27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3365.21</v>
      </c>
      <c r="I51" s="1"/>
      <c r="J51" s="5">
        <f t="shared" si="39"/>
        <v>8.4382786584550909E-2</v>
      </c>
      <c r="K51" s="1"/>
      <c r="L51" s="1">
        <f t="shared" si="40"/>
        <v>-3365.21</v>
      </c>
      <c r="M51" s="1"/>
      <c r="N51" s="5">
        <f t="shared" si="41"/>
        <v>-1</v>
      </c>
      <c r="O51" s="14"/>
      <c r="P51" s="1">
        <f>SUM(OSRRefP22_8x_0)</f>
        <v>0</v>
      </c>
      <c r="Q51" s="1"/>
      <c r="R51" s="5">
        <f t="shared" si="42"/>
        <v>0</v>
      </c>
      <c r="S51" s="1"/>
      <c r="T51" s="1">
        <f>SUM(OSRRefT22_8x_0)</f>
        <v>3365.21</v>
      </c>
      <c r="U51" s="1"/>
      <c r="V51" s="5">
        <f t="shared" si="43"/>
        <v>8.4382786584550909E-2</v>
      </c>
      <c r="W51" s="1"/>
      <c r="X51" s="1">
        <f t="shared" si="44"/>
        <v>-3365.21</v>
      </c>
      <c r="Y51" s="1"/>
      <c r="Z51" s="5">
        <f t="shared" si="45"/>
        <v>-1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8"/>
      <c r="E52" s="3"/>
      <c r="F52" s="7">
        <f t="shared" si="38"/>
        <v>0</v>
      </c>
      <c r="G52" s="3"/>
      <c r="H52" s="8">
        <v>3365.21</v>
      </c>
      <c r="I52" s="3"/>
      <c r="J52" s="7">
        <f t="shared" si="39"/>
        <v>8.4382786584550909E-2</v>
      </c>
      <c r="K52" s="3"/>
      <c r="L52" s="8">
        <f t="shared" si="40"/>
        <v>-3365.21</v>
      </c>
      <c r="M52" s="3"/>
      <c r="N52" s="7">
        <f t="shared" si="41"/>
        <v>-1</v>
      </c>
      <c r="O52" s="11"/>
      <c r="P52" s="8"/>
      <c r="Q52" s="3"/>
      <c r="R52" s="7">
        <f t="shared" si="42"/>
        <v>0</v>
      </c>
      <c r="S52" s="3"/>
      <c r="T52" s="8">
        <v>3365.21</v>
      </c>
      <c r="U52" s="3"/>
      <c r="V52" s="7">
        <f t="shared" si="43"/>
        <v>8.4382786584550909E-2</v>
      </c>
      <c r="W52" s="3"/>
      <c r="X52" s="8">
        <f t="shared" si="44"/>
        <v>-3365.21</v>
      </c>
      <c r="Y52" s="3"/>
      <c r="Z52" s="7">
        <f t="shared" si="45"/>
        <v>-1</v>
      </c>
    </row>
    <row r="53" spans="1:26" s="27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si="38"/>
        <v>0</v>
      </c>
      <c r="G53" s="1"/>
      <c r="H53" s="1">
        <f>SUM(OSRRefH22_9x_0)</f>
        <v>249.65</v>
      </c>
      <c r="I53" s="1"/>
      <c r="J53" s="5">
        <f t="shared" si="39"/>
        <v>6.2599845688183307E-3</v>
      </c>
      <c r="K53" s="1"/>
      <c r="L53" s="1">
        <f t="shared" si="40"/>
        <v>-249.65</v>
      </c>
      <c r="M53" s="1"/>
      <c r="N53" s="5">
        <f t="shared" si="41"/>
        <v>-1</v>
      </c>
      <c r="O53" s="14"/>
      <c r="P53" s="1">
        <f>SUM(OSRRefP22_9x_0)</f>
        <v>0</v>
      </c>
      <c r="Q53" s="1"/>
      <c r="R53" s="5">
        <f t="shared" si="42"/>
        <v>0</v>
      </c>
      <c r="S53" s="1"/>
      <c r="T53" s="1">
        <f>SUM(OSRRefT22_9x_0)</f>
        <v>249.65</v>
      </c>
      <c r="U53" s="1"/>
      <c r="V53" s="5">
        <f t="shared" si="43"/>
        <v>6.2599845688183307E-3</v>
      </c>
      <c r="W53" s="1"/>
      <c r="X53" s="1">
        <f t="shared" si="44"/>
        <v>-249.65</v>
      </c>
      <c r="Y53" s="1"/>
      <c r="Z53" s="5">
        <f t="shared" si="45"/>
        <v>-1</v>
      </c>
    </row>
    <row r="54" spans="1:26" s="24" customFormat="1" hidden="1" outlineLevel="2" x14ac:dyDescent="0.25">
      <c r="A54" s="29"/>
      <c r="B54" s="11" t="str">
        <f>CONCATENATE("          ", "6283", " - ", "PLANT SERVICE")</f>
        <v xml:space="preserve">          6283 - PLANT SERVICE</v>
      </c>
      <c r="C54" s="11"/>
      <c r="D54" s="8"/>
      <c r="E54" s="3"/>
      <c r="F54" s="7">
        <f t="shared" si="38"/>
        <v>0</v>
      </c>
      <c r="G54" s="3"/>
      <c r="H54" s="8">
        <v>39.75</v>
      </c>
      <c r="I54" s="3"/>
      <c r="J54" s="7">
        <f t="shared" si="39"/>
        <v>9.9673297260375986E-4</v>
      </c>
      <c r="K54" s="3"/>
      <c r="L54" s="8">
        <f t="shared" si="40"/>
        <v>-39.75</v>
      </c>
      <c r="M54" s="3"/>
      <c r="N54" s="7">
        <f t="shared" si="41"/>
        <v>-1</v>
      </c>
      <c r="O54" s="11"/>
      <c r="P54" s="8"/>
      <c r="Q54" s="3"/>
      <c r="R54" s="7">
        <f t="shared" si="42"/>
        <v>0</v>
      </c>
      <c r="S54" s="3"/>
      <c r="T54" s="8">
        <v>39.75</v>
      </c>
      <c r="U54" s="3"/>
      <c r="V54" s="7">
        <f t="shared" si="43"/>
        <v>9.9673297260375986E-4</v>
      </c>
      <c r="W54" s="3"/>
      <c r="X54" s="8">
        <f t="shared" si="44"/>
        <v>-39.75</v>
      </c>
      <c r="Y54" s="3"/>
      <c r="Z54" s="7">
        <f t="shared" si="45"/>
        <v>-1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8"/>
      <c r="E55" s="3"/>
      <c r="F55" s="7">
        <f t="shared" si="38"/>
        <v>0</v>
      </c>
      <c r="G55" s="3"/>
      <c r="H55" s="8">
        <v>209.9</v>
      </c>
      <c r="I55" s="3"/>
      <c r="J55" s="7">
        <f t="shared" si="39"/>
        <v>5.2632515962145708E-3</v>
      </c>
      <c r="K55" s="3"/>
      <c r="L55" s="8">
        <f t="shared" si="40"/>
        <v>-209.9</v>
      </c>
      <c r="M55" s="3"/>
      <c r="N55" s="7">
        <f t="shared" si="41"/>
        <v>-1</v>
      </c>
      <c r="O55" s="11"/>
      <c r="P55" s="8"/>
      <c r="Q55" s="3"/>
      <c r="R55" s="7">
        <f t="shared" si="42"/>
        <v>0</v>
      </c>
      <c r="S55" s="3"/>
      <c r="T55" s="8">
        <v>209.9</v>
      </c>
      <c r="U55" s="3"/>
      <c r="V55" s="7">
        <f t="shared" si="43"/>
        <v>5.2632515962145708E-3</v>
      </c>
      <c r="W55" s="3"/>
      <c r="X55" s="8">
        <f t="shared" si="44"/>
        <v>-209.9</v>
      </c>
      <c r="Y55" s="3"/>
      <c r="Z55" s="7">
        <f t="shared" si="45"/>
        <v>-1</v>
      </c>
    </row>
    <row r="56" spans="1:26" s="27" customFormat="1" outlineLevel="1" collapsed="1" x14ac:dyDescent="0.25">
      <c r="A56" s="28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SUM(OSRRefD22_10x_0)</f>
        <v>0</v>
      </c>
      <c r="E56" s="1"/>
      <c r="F56" s="5">
        <f t="shared" ref="F56:F60" si="46">IF(D$12=0,0,D56/D$12)</f>
        <v>0</v>
      </c>
      <c r="G56" s="1"/>
      <c r="H56" s="1">
        <f>SUM(OSRRefH22_10x_0)</f>
        <v>196.71</v>
      </c>
      <c r="I56" s="1"/>
      <c r="J56" s="5">
        <f t="shared" ref="J56:J60" si="47">IF(H$12=0,0,H56/H$12)</f>
        <v>4.9325117746134746E-3</v>
      </c>
      <c r="K56" s="1"/>
      <c r="L56" s="1">
        <f t="shared" ref="L56:L60" si="48">+D56-H56</f>
        <v>-196.71</v>
      </c>
      <c r="M56" s="1"/>
      <c r="N56" s="5">
        <f t="shared" ref="N56:N60" si="49">IF(H56=0,0,L56/H56)</f>
        <v>-1</v>
      </c>
      <c r="O56" s="14"/>
      <c r="P56" s="1">
        <f>SUM(OSRRefP22_10x_0)</f>
        <v>0</v>
      </c>
      <c r="Q56" s="1"/>
      <c r="R56" s="5">
        <f t="shared" ref="R56:R60" si="50">IF(P$12=0,0,P56/P$12)</f>
        <v>0</v>
      </c>
      <c r="S56" s="1"/>
      <c r="T56" s="1">
        <f>SUM(OSRRefT22_10x_0)</f>
        <v>196.71</v>
      </c>
      <c r="U56" s="1"/>
      <c r="V56" s="5">
        <f t="shared" ref="V56:V60" si="51">IF(T$12=0,0,T56/T$12)</f>
        <v>4.9325117746134746E-3</v>
      </c>
      <c r="W56" s="1"/>
      <c r="X56" s="1">
        <f t="shared" ref="X56:X60" si="52">+P56-T56</f>
        <v>-196.71</v>
      </c>
      <c r="Y56" s="1"/>
      <c r="Z56" s="5">
        <f t="shared" ref="Z56:Z60" si="53">IF(T56=0,0,X56/T56)</f>
        <v>-1</v>
      </c>
    </row>
    <row r="57" spans="1:26" s="24" customFormat="1" hidden="1" outlineLevel="2" x14ac:dyDescent="0.25">
      <c r="A57" s="29"/>
      <c r="B57" s="11" t="str">
        <f>CONCATENATE("          ", "6275", " - ", "SUBSCRIPTIONS")</f>
        <v xml:space="preserve">          6275 - SUBSCRIPTIONS</v>
      </c>
      <c r="C57" s="11"/>
      <c r="D57" s="8"/>
      <c r="E57" s="3"/>
      <c r="F57" s="7">
        <f t="shared" si="46"/>
        <v>0</v>
      </c>
      <c r="G57" s="3"/>
      <c r="H57" s="8">
        <v>196.71</v>
      </c>
      <c r="I57" s="3"/>
      <c r="J57" s="7">
        <f t="shared" si="47"/>
        <v>4.9325117746134746E-3</v>
      </c>
      <c r="K57" s="3"/>
      <c r="L57" s="8">
        <f t="shared" si="48"/>
        <v>-196.71</v>
      </c>
      <c r="M57" s="3"/>
      <c r="N57" s="7">
        <f t="shared" si="49"/>
        <v>-1</v>
      </c>
      <c r="O57" s="11"/>
      <c r="P57" s="8"/>
      <c r="Q57" s="3"/>
      <c r="R57" s="7">
        <f t="shared" si="50"/>
        <v>0</v>
      </c>
      <c r="S57" s="3"/>
      <c r="T57" s="8">
        <v>196.71</v>
      </c>
      <c r="U57" s="3"/>
      <c r="V57" s="7">
        <f t="shared" si="51"/>
        <v>4.9325117746134746E-3</v>
      </c>
      <c r="W57" s="3"/>
      <c r="X57" s="8">
        <f t="shared" si="52"/>
        <v>-196.71</v>
      </c>
      <c r="Y57" s="3"/>
      <c r="Z57" s="7">
        <f t="shared" si="53"/>
        <v>-1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SUM(OSRRefD22_11x_0)</f>
        <v>0</v>
      </c>
      <c r="E58" s="1"/>
      <c r="F58" s="5">
        <f t="shared" si="46"/>
        <v>0</v>
      </c>
      <c r="G58" s="1"/>
      <c r="H58" s="1">
        <f>SUM(OSRRefH22_11x_0)</f>
        <v>616.88</v>
      </c>
      <c r="I58" s="1"/>
      <c r="J58" s="5">
        <f t="shared" si="47"/>
        <v>1.5468292733076915E-2</v>
      </c>
      <c r="K58" s="1"/>
      <c r="L58" s="1">
        <f t="shared" si="48"/>
        <v>-616.88</v>
      </c>
      <c r="M58" s="1"/>
      <c r="N58" s="5">
        <f t="shared" si="49"/>
        <v>-1</v>
      </c>
      <c r="O58" s="14"/>
      <c r="P58" s="1">
        <f>SUM(OSRRefP22_11x_0)</f>
        <v>0</v>
      </c>
      <c r="Q58" s="1"/>
      <c r="R58" s="5">
        <f t="shared" si="50"/>
        <v>0</v>
      </c>
      <c r="S58" s="1"/>
      <c r="T58" s="1">
        <f>SUM(OSRRefT22_11x_0)</f>
        <v>616.88</v>
      </c>
      <c r="U58" s="1"/>
      <c r="V58" s="5">
        <f t="shared" si="51"/>
        <v>1.5468292733076915E-2</v>
      </c>
      <c r="W58" s="1"/>
      <c r="X58" s="1">
        <f t="shared" si="52"/>
        <v>-616.88</v>
      </c>
      <c r="Y58" s="1"/>
      <c r="Z58" s="5">
        <f t="shared" si="53"/>
        <v>-1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8"/>
      <c r="E59" s="3"/>
      <c r="F59" s="7">
        <f t="shared" si="46"/>
        <v>0</v>
      </c>
      <c r="G59" s="3"/>
      <c r="H59" s="8">
        <v>338.42</v>
      </c>
      <c r="I59" s="3"/>
      <c r="J59" s="7">
        <f t="shared" si="47"/>
        <v>8.4858961657500488E-3</v>
      </c>
      <c r="K59" s="3"/>
      <c r="L59" s="8">
        <f t="shared" si="48"/>
        <v>-338.42</v>
      </c>
      <c r="M59" s="3"/>
      <c r="N59" s="7">
        <f t="shared" si="49"/>
        <v>-1</v>
      </c>
      <c r="O59" s="11"/>
      <c r="P59" s="8"/>
      <c r="Q59" s="3"/>
      <c r="R59" s="7">
        <f t="shared" si="50"/>
        <v>0</v>
      </c>
      <c r="S59" s="3"/>
      <c r="T59" s="8">
        <v>338.42</v>
      </c>
      <c r="U59" s="3"/>
      <c r="V59" s="7">
        <f t="shared" si="51"/>
        <v>8.4858961657500488E-3</v>
      </c>
      <c r="W59" s="3"/>
      <c r="X59" s="8">
        <f t="shared" si="52"/>
        <v>-338.42</v>
      </c>
      <c r="Y59" s="3"/>
      <c r="Z59" s="7">
        <f t="shared" si="53"/>
        <v>-1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8"/>
      <c r="E60" s="3"/>
      <c r="F60" s="7">
        <f t="shared" si="46"/>
        <v>0</v>
      </c>
      <c r="G60" s="3"/>
      <c r="H60" s="8">
        <v>278.45999999999998</v>
      </c>
      <c r="I60" s="3"/>
      <c r="J60" s="7">
        <f t="shared" si="47"/>
        <v>6.982396567326867E-3</v>
      </c>
      <c r="K60" s="3"/>
      <c r="L60" s="8">
        <f t="shared" si="48"/>
        <v>-278.45999999999998</v>
      </c>
      <c r="M60" s="3"/>
      <c r="N60" s="7">
        <f t="shared" si="49"/>
        <v>-1</v>
      </c>
      <c r="O60" s="11"/>
      <c r="P60" s="8"/>
      <c r="Q60" s="3"/>
      <c r="R60" s="7">
        <f t="shared" si="50"/>
        <v>0</v>
      </c>
      <c r="S60" s="3"/>
      <c r="T60" s="8">
        <v>278.45999999999998</v>
      </c>
      <c r="U60" s="3"/>
      <c r="V60" s="7">
        <f t="shared" si="51"/>
        <v>6.982396567326867E-3</v>
      </c>
      <c r="W60" s="3"/>
      <c r="X60" s="8">
        <f t="shared" si="52"/>
        <v>-278.45999999999998</v>
      </c>
      <c r="Y60" s="3"/>
      <c r="Z60" s="7">
        <f t="shared" si="53"/>
        <v>-1</v>
      </c>
    </row>
    <row r="61" spans="1:26" s="27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SUM(OSRRefD22_12x_0)</f>
        <v>106</v>
      </c>
      <c r="E61" s="1"/>
      <c r="F61" s="5">
        <f t="shared" ref="F61:F64" si="54">IF(D$12=0,0,D61/D$12)</f>
        <v>0</v>
      </c>
      <c r="G61" s="1"/>
      <c r="H61" s="1">
        <f>SUM(OSRRefH22_12x_0)</f>
        <v>113.2</v>
      </c>
      <c r="I61" s="1"/>
      <c r="J61" s="5">
        <f t="shared" ref="J61:J64" si="55">IF(H$12=0,0,H61/H$12)</f>
        <v>2.8384949056288206E-3</v>
      </c>
      <c r="K61" s="1"/>
      <c r="L61" s="1">
        <f t="shared" ref="L61:L64" si="56">+D61-H61</f>
        <v>-7.2000000000000028</v>
      </c>
      <c r="M61" s="1"/>
      <c r="N61" s="5">
        <f t="shared" ref="N61:N64" si="57">IF(H61=0,0,L61/H61)</f>
        <v>-6.3604240282685534E-2</v>
      </c>
      <c r="O61" s="14"/>
      <c r="P61" s="1">
        <f>SUM(OSRRefP22_12x_0)</f>
        <v>106</v>
      </c>
      <c r="Q61" s="1"/>
      <c r="R61" s="5">
        <f t="shared" ref="R61:R64" si="58">IF(P$12=0,0,P61/P$12)</f>
        <v>0</v>
      </c>
      <c r="S61" s="1"/>
      <c r="T61" s="1">
        <f>SUM(OSRRefT22_12x_0)</f>
        <v>113.2</v>
      </c>
      <c r="U61" s="1"/>
      <c r="V61" s="5">
        <f t="shared" ref="V61:V64" si="59">IF(T$12=0,0,T61/T$12)</f>
        <v>2.8384949056288206E-3</v>
      </c>
      <c r="W61" s="1"/>
      <c r="X61" s="1">
        <f t="shared" ref="X61:X64" si="60">+P61-T61</f>
        <v>-7.2000000000000028</v>
      </c>
      <c r="Y61" s="1"/>
      <c r="Z61" s="5">
        <f t="shared" ref="Z61:Z64" si="61">IF(T61=0,0,X61/T61)</f>
        <v>-6.3604240282685534E-2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8">
        <v>106</v>
      </c>
      <c r="E62" s="3"/>
      <c r="F62" s="7">
        <f t="shared" si="54"/>
        <v>0</v>
      </c>
      <c r="G62" s="3"/>
      <c r="H62" s="8">
        <v>113.2</v>
      </c>
      <c r="I62" s="3"/>
      <c r="J62" s="7">
        <f t="shared" si="55"/>
        <v>2.8384949056288206E-3</v>
      </c>
      <c r="K62" s="3"/>
      <c r="L62" s="8">
        <f t="shared" si="56"/>
        <v>-7.2000000000000028</v>
      </c>
      <c r="M62" s="3"/>
      <c r="N62" s="7">
        <f t="shared" si="57"/>
        <v>-6.3604240282685534E-2</v>
      </c>
      <c r="O62" s="11"/>
      <c r="P62" s="8">
        <v>106</v>
      </c>
      <c r="Q62" s="3"/>
      <c r="R62" s="7">
        <f t="shared" si="58"/>
        <v>0</v>
      </c>
      <c r="S62" s="3"/>
      <c r="T62" s="8">
        <v>113.2</v>
      </c>
      <c r="U62" s="3"/>
      <c r="V62" s="7">
        <f t="shared" si="59"/>
        <v>2.8384949056288206E-3</v>
      </c>
      <c r="W62" s="3"/>
      <c r="X62" s="8">
        <f t="shared" si="60"/>
        <v>-7.2000000000000028</v>
      </c>
      <c r="Y62" s="3"/>
      <c r="Z62" s="7">
        <f t="shared" si="61"/>
        <v>-6.3604240282685534E-2</v>
      </c>
    </row>
    <row r="63" spans="1:26" s="27" customFormat="1" outlineLevel="1" collapsed="1" x14ac:dyDescent="0.25">
      <c r="A63" s="28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SUM(OSRRefD22_13x_0)</f>
        <v>0</v>
      </c>
      <c r="E63" s="1"/>
      <c r="F63" s="5">
        <f t="shared" si="54"/>
        <v>0</v>
      </c>
      <c r="G63" s="1"/>
      <c r="H63" s="1">
        <f>SUM(OSRRefH22_13x_0)</f>
        <v>85</v>
      </c>
      <c r="I63" s="1"/>
      <c r="J63" s="5">
        <f t="shared" si="55"/>
        <v>2.13137868355521E-3</v>
      </c>
      <c r="K63" s="1"/>
      <c r="L63" s="1">
        <f t="shared" si="56"/>
        <v>-85</v>
      </c>
      <c r="M63" s="1"/>
      <c r="N63" s="5">
        <f t="shared" si="57"/>
        <v>-1</v>
      </c>
      <c r="O63" s="14"/>
      <c r="P63" s="1">
        <f>SUM(OSRRefP22_13x_0)</f>
        <v>0</v>
      </c>
      <c r="Q63" s="1"/>
      <c r="R63" s="5">
        <f t="shared" si="58"/>
        <v>0</v>
      </c>
      <c r="S63" s="1"/>
      <c r="T63" s="1">
        <f>SUM(OSRRefT22_13x_0)</f>
        <v>85</v>
      </c>
      <c r="U63" s="1"/>
      <c r="V63" s="5">
        <f t="shared" si="59"/>
        <v>2.13137868355521E-3</v>
      </c>
      <c r="W63" s="1"/>
      <c r="X63" s="1">
        <f t="shared" si="60"/>
        <v>-85</v>
      </c>
      <c r="Y63" s="1"/>
      <c r="Z63" s="5">
        <f t="shared" si="61"/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8"/>
      <c r="E64" s="3"/>
      <c r="F64" s="7">
        <f t="shared" si="54"/>
        <v>0</v>
      </c>
      <c r="G64" s="3"/>
      <c r="H64" s="8">
        <v>85</v>
      </c>
      <c r="I64" s="3"/>
      <c r="J64" s="7">
        <f t="shared" si="55"/>
        <v>2.13137868355521E-3</v>
      </c>
      <c r="K64" s="3"/>
      <c r="L64" s="8">
        <f t="shared" si="56"/>
        <v>-85</v>
      </c>
      <c r="M64" s="3"/>
      <c r="N64" s="7">
        <f t="shared" si="57"/>
        <v>-1</v>
      </c>
      <c r="O64" s="11"/>
      <c r="P64" s="8"/>
      <c r="Q64" s="3"/>
      <c r="R64" s="7">
        <f t="shared" si="58"/>
        <v>0</v>
      </c>
      <c r="S64" s="3"/>
      <c r="T64" s="8">
        <v>85</v>
      </c>
      <c r="U64" s="3"/>
      <c r="V64" s="7">
        <f t="shared" si="59"/>
        <v>2.13137868355521E-3</v>
      </c>
      <c r="W64" s="3"/>
      <c r="X64" s="8">
        <f t="shared" si="60"/>
        <v>-85</v>
      </c>
      <c r="Y64" s="3"/>
      <c r="Z64" s="7">
        <f t="shared" si="61"/>
        <v>-1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x14ac:dyDescent="0.25">
      <c r="A68" s="10"/>
      <c r="B68" s="26" t="s">
        <v>3</v>
      </c>
      <c r="C68" s="26"/>
      <c r="D68" s="19">
        <f>+D20-D22+D66</f>
        <v>-17067.47</v>
      </c>
      <c r="E68" s="13"/>
      <c r="F68" s="20">
        <f>IF(D$12=0,0,D68/D$12)</f>
        <v>0</v>
      </c>
      <c r="G68" s="13"/>
      <c r="H68" s="19">
        <f>+H20-H22+H66</f>
        <v>-12899.089999999997</v>
      </c>
      <c r="I68" s="13"/>
      <c r="J68" s="20">
        <f>IF(H$12=0,0,H68/H$12)</f>
        <v>-0.32344524074423719</v>
      </c>
      <c r="K68" s="16"/>
      <c r="L68" s="19">
        <f>+D68-H68</f>
        <v>-4168.3800000000047</v>
      </c>
      <c r="M68" s="16"/>
      <c r="N68" s="20">
        <f>IF(H68=0,0,L68/H68)</f>
        <v>0.32315302862450029</v>
      </c>
      <c r="O68" s="25"/>
      <c r="P68" s="19">
        <f>+P20-P22+P66</f>
        <v>-17067.47</v>
      </c>
      <c r="Q68" s="13"/>
      <c r="R68" s="20">
        <f>IF(P$12=0,0,P68/P$12)</f>
        <v>0</v>
      </c>
      <c r="S68" s="13"/>
      <c r="T68" s="19">
        <f>+T20-T22+T66</f>
        <v>-12899.089999999997</v>
      </c>
      <c r="U68" s="13"/>
      <c r="V68" s="20">
        <f>IF(T$12=0,0,T68/T$12)</f>
        <v>-0.32344524074423719</v>
      </c>
      <c r="W68" s="16"/>
      <c r="X68" s="19">
        <f>+P68-T68</f>
        <v>-4168.3800000000047</v>
      </c>
      <c r="Y68" s="16"/>
      <c r="Z68" s="20">
        <f>IF(T68=0,0,X68/T68)</f>
        <v>0.32315302862450029</v>
      </c>
    </row>
    <row r="69" spans="1:26" x14ac:dyDescent="0.25">
      <c r="A69" s="9"/>
      <c r="B69" s="10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8292.2900000000009</v>
      </c>
      <c r="I70" s="4"/>
      <c r="J70" s="12">
        <f>IF(H$12=0,0,H70/H$12)</f>
        <v>0.20792953110421214</v>
      </c>
      <c r="K70" s="4"/>
      <c r="L70" s="4">
        <f>+D70-H70</f>
        <v>-8292.2900000000009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8292.2900000000009</v>
      </c>
      <c r="U70" s="4"/>
      <c r="V70" s="12">
        <f>IF(T$12=0,0,T70/T$12)</f>
        <v>0.20792953110421214</v>
      </c>
      <c r="W70" s="4"/>
      <c r="X70" s="4">
        <f>+P70-T70</f>
        <v>-8292.2900000000009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.75" thickBot="1" x14ac:dyDescent="0.3">
      <c r="A72" s="10"/>
      <c r="B72" s="26" t="s">
        <v>4</v>
      </c>
      <c r="C72" s="26"/>
      <c r="D72" s="35">
        <f>+D68-D70</f>
        <v>-17067.47</v>
      </c>
      <c r="E72" s="13"/>
      <c r="F72" s="30">
        <f>IF(D$12=0,0,D72/D$12)</f>
        <v>0</v>
      </c>
      <c r="G72" s="13"/>
      <c r="H72" s="35">
        <f>+H68-H70</f>
        <v>-21191.379999999997</v>
      </c>
      <c r="I72" s="13"/>
      <c r="J72" s="30">
        <f>IF(H$12=0,0,H72/H$12)</f>
        <v>-0.53137477184844939</v>
      </c>
      <c r="K72" s="16"/>
      <c r="L72" s="35">
        <f>D72-H72</f>
        <v>4123.9099999999962</v>
      </c>
      <c r="M72" s="16"/>
      <c r="N72" s="30">
        <f>IF(H72=0,0,L72/H72)</f>
        <v>-0.19460318299232973</v>
      </c>
      <c r="O72" s="25"/>
      <c r="P72" s="35">
        <f>+P68-P70</f>
        <v>-17067.47</v>
      </c>
      <c r="Q72" s="13"/>
      <c r="R72" s="30">
        <f>IF(P$12=0,0,P72/P$12)</f>
        <v>0</v>
      </c>
      <c r="S72" s="13"/>
      <c r="T72" s="35">
        <f>+T68-T70</f>
        <v>-21191.379999999997</v>
      </c>
      <c r="U72" s="13"/>
      <c r="V72" s="30">
        <f>IF(T$12=0,0,T72/T$12)</f>
        <v>-0.53137477184844939</v>
      </c>
      <c r="W72" s="16"/>
      <c r="X72" s="35">
        <f>P72-T72</f>
        <v>4123.9099999999962</v>
      </c>
      <c r="Y72" s="16"/>
      <c r="Z72" s="30">
        <f>IF(T72=0,0,X72/T72)</f>
        <v>-0.19460318299232973</v>
      </c>
    </row>
    <row r="73" spans="1:26" ht="15.75" thickTop="1" x14ac:dyDescent="0.25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x14ac:dyDescent="0.25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ht="15.75" thickBot="1" x14ac:dyDescent="0.3">
      <c r="A75" s="10"/>
      <c r="B75" s="26" t="s">
        <v>5</v>
      </c>
      <c r="C75" s="26"/>
      <c r="D75" s="31">
        <f>SUM(D72:D74)</f>
        <v>-17067.47</v>
      </c>
      <c r="E75" s="13"/>
      <c r="F75" s="32">
        <f>IF(D$12=0,0,D75/D$12)</f>
        <v>0</v>
      </c>
      <c r="G75" s="13"/>
      <c r="H75" s="31">
        <f>SUM(H72:H74)</f>
        <v>-21191.379999999997</v>
      </c>
      <c r="I75" s="13"/>
      <c r="J75" s="32">
        <f>IF(H$12=0,0,H75/H$12)</f>
        <v>-0.53137477184844939</v>
      </c>
      <c r="K75" s="16"/>
      <c r="L75" s="31">
        <f>+D75-H75</f>
        <v>4123.9099999999962</v>
      </c>
      <c r="M75" s="16"/>
      <c r="N75" s="32">
        <f>IF(H75=0,0,L75/H75)</f>
        <v>-0.19460318299232973</v>
      </c>
      <c r="O75" s="25"/>
      <c r="P75" s="31">
        <f>SUM(P72:P74)</f>
        <v>-17067.47</v>
      </c>
      <c r="Q75" s="13"/>
      <c r="R75" s="32">
        <f>IF(P$12=0,0,P75/P$12)</f>
        <v>0</v>
      </c>
      <c r="S75" s="13"/>
      <c r="T75" s="31">
        <f>SUM(T72:T74)</f>
        <v>-21191.379999999997</v>
      </c>
      <c r="U75" s="13"/>
      <c r="V75" s="32">
        <f>IF(T$12=0,0,T75/T$12)</f>
        <v>-0.53137477184844939</v>
      </c>
      <c r="W75" s="16"/>
      <c r="X75" s="31">
        <f>+P75-T75</f>
        <v>4123.9099999999962</v>
      </c>
      <c r="Y75" s="16"/>
      <c r="Z75" s="32">
        <f>IF(T75=0,0,X75/T75)</f>
        <v>-0.19460318299232973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9">
        <v>44109.414735995371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2" t="s">
        <v>313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2458.4299999999998</v>
      </c>
      <c r="E18" s="21"/>
      <c r="F18" s="34">
        <f t="shared" ref="F18:F27" si="0">IF(D$12=0,0,D18/D$12)</f>
        <v>0</v>
      </c>
      <c r="G18" s="21"/>
      <c r="H18" s="21">
        <f>SUM(OSRRefH22x_0)</f>
        <v>22387.03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-19928.599999999999</v>
      </c>
      <c r="M18" s="4"/>
      <c r="N18" s="34">
        <f t="shared" ref="N18:N27" si="3">IF(H18=0,0,L18/H18)</f>
        <v>-0.89018507591225815</v>
      </c>
      <c r="O18" s="10"/>
      <c r="P18" s="21">
        <f>SUM(OSRRefP22x_0)</f>
        <v>2458.4299999999998</v>
      </c>
      <c r="Q18" s="21"/>
      <c r="R18" s="34">
        <f t="shared" ref="R18:R27" si="4">IF(P$12=0,0,P18/P$12)</f>
        <v>0</v>
      </c>
      <c r="S18" s="21"/>
      <c r="T18" s="21">
        <f>SUM(OSRRefT22x_0)</f>
        <v>22387.03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-19928.599999999999</v>
      </c>
      <c r="Y18" s="4"/>
      <c r="Z18" s="34">
        <f t="shared" ref="Z18:Z27" si="7">IF(T18=0,0,X18/T18)</f>
        <v>-0.89018507591225815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2478.73</v>
      </c>
      <c r="E19" s="1"/>
      <c r="F19" s="5">
        <f t="shared" si="0"/>
        <v>0</v>
      </c>
      <c r="G19" s="1"/>
      <c r="H19" s="1">
        <f>SUM(OSRRefH22_0x_0)</f>
        <v>4617.79</v>
      </c>
      <c r="I19" s="1"/>
      <c r="J19" s="5">
        <f t="shared" si="1"/>
        <v>0</v>
      </c>
      <c r="K19" s="1"/>
      <c r="L19" s="1">
        <f t="shared" si="2"/>
        <v>-2139.06</v>
      </c>
      <c r="M19" s="1"/>
      <c r="N19" s="5">
        <f t="shared" si="3"/>
        <v>-0.46322158435095573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4617.79</v>
      </c>
      <c r="U19" s="1"/>
      <c r="V19" s="5">
        <f t="shared" si="5"/>
        <v>0</v>
      </c>
      <c r="W19" s="1"/>
      <c r="X19" s="1">
        <f t="shared" si="6"/>
        <v>-2139.06</v>
      </c>
      <c r="Y19" s="1"/>
      <c r="Z19" s="5">
        <f t="shared" si="7"/>
        <v>-0.46322158435095573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/>
      <c r="E20" s="3"/>
      <c r="F20" s="7">
        <f t="shared" si="0"/>
        <v>0</v>
      </c>
      <c r="G20" s="3"/>
      <c r="H20" s="8">
        <v>349.92</v>
      </c>
      <c r="I20" s="3"/>
      <c r="J20" s="7">
        <f t="shared" si="1"/>
        <v>0</v>
      </c>
      <c r="K20" s="3"/>
      <c r="L20" s="8">
        <f t="shared" si="2"/>
        <v>-349.92</v>
      </c>
      <c r="M20" s="3"/>
      <c r="N20" s="7">
        <f t="shared" si="3"/>
        <v>-1</v>
      </c>
      <c r="O20" s="11"/>
      <c r="P20" s="8"/>
      <c r="Q20" s="3"/>
      <c r="R20" s="7">
        <f t="shared" si="4"/>
        <v>0</v>
      </c>
      <c r="S20" s="3"/>
      <c r="T20" s="8">
        <v>349.92</v>
      </c>
      <c r="U20" s="3"/>
      <c r="V20" s="7">
        <f t="shared" si="5"/>
        <v>0</v>
      </c>
      <c r="W20" s="3"/>
      <c r="X20" s="8">
        <f t="shared" si="6"/>
        <v>-349.92</v>
      </c>
      <c r="Y20" s="3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/>
      <c r="E21" s="3"/>
      <c r="F21" s="7">
        <f t="shared" si="0"/>
        <v>0</v>
      </c>
      <c r="G21" s="3"/>
      <c r="H21" s="8">
        <v>177.47</v>
      </c>
      <c r="I21" s="3"/>
      <c r="J21" s="7">
        <f t="shared" si="1"/>
        <v>0</v>
      </c>
      <c r="K21" s="3"/>
      <c r="L21" s="8">
        <f t="shared" si="2"/>
        <v>-177.47</v>
      </c>
      <c r="M21" s="3"/>
      <c r="N21" s="7">
        <f t="shared" si="3"/>
        <v>-1</v>
      </c>
      <c r="O21" s="11"/>
      <c r="P21" s="8"/>
      <c r="Q21" s="3"/>
      <c r="R21" s="7">
        <f t="shared" si="4"/>
        <v>0</v>
      </c>
      <c r="S21" s="3"/>
      <c r="T21" s="8">
        <v>177.47</v>
      </c>
      <c r="U21" s="3"/>
      <c r="V21" s="7">
        <f t="shared" si="5"/>
        <v>0</v>
      </c>
      <c r="W21" s="3"/>
      <c r="X21" s="8">
        <f t="shared" si="6"/>
        <v>-177.47</v>
      </c>
      <c r="Y21" s="3"/>
      <c r="Z21" s="7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1868.2</v>
      </c>
      <c r="E22" s="3"/>
      <c r="F22" s="7">
        <f t="shared" si="0"/>
        <v>0</v>
      </c>
      <c r="G22" s="3"/>
      <c r="H22" s="8">
        <v>1011.43</v>
      </c>
      <c r="I22" s="3"/>
      <c r="J22" s="7">
        <f t="shared" si="1"/>
        <v>0</v>
      </c>
      <c r="K22" s="3"/>
      <c r="L22" s="8">
        <f t="shared" si="2"/>
        <v>856.7700000000001</v>
      </c>
      <c r="M22" s="3"/>
      <c r="N22" s="7">
        <f t="shared" si="3"/>
        <v>0.84708778659917161</v>
      </c>
      <c r="O22" s="11"/>
      <c r="P22" s="8">
        <v>1868.2</v>
      </c>
      <c r="Q22" s="3"/>
      <c r="R22" s="7">
        <f t="shared" si="4"/>
        <v>0</v>
      </c>
      <c r="S22" s="3"/>
      <c r="T22" s="8">
        <v>1011.43</v>
      </c>
      <c r="U22" s="3"/>
      <c r="V22" s="7">
        <f t="shared" si="5"/>
        <v>0</v>
      </c>
      <c r="W22" s="3"/>
      <c r="X22" s="8">
        <f t="shared" si="6"/>
        <v>856.7700000000001</v>
      </c>
      <c r="Y22" s="3"/>
      <c r="Z22" s="7">
        <f t="shared" si="7"/>
        <v>0.84708778659917161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/>
      <c r="E23" s="3"/>
      <c r="F23" s="7">
        <f t="shared" si="0"/>
        <v>0</v>
      </c>
      <c r="G23" s="3"/>
      <c r="H23" s="8">
        <v>11.89</v>
      </c>
      <c r="I23" s="3"/>
      <c r="J23" s="7">
        <f t="shared" si="1"/>
        <v>0</v>
      </c>
      <c r="K23" s="3"/>
      <c r="L23" s="8">
        <f t="shared" si="2"/>
        <v>-11.89</v>
      </c>
      <c r="M23" s="3"/>
      <c r="N23" s="7">
        <f t="shared" si="3"/>
        <v>-1</v>
      </c>
      <c r="O23" s="11"/>
      <c r="P23" s="8"/>
      <c r="Q23" s="3"/>
      <c r="R23" s="7">
        <f t="shared" si="4"/>
        <v>0</v>
      </c>
      <c r="S23" s="3"/>
      <c r="T23" s="8">
        <v>11.89</v>
      </c>
      <c r="U23" s="3"/>
      <c r="V23" s="7">
        <f t="shared" si="5"/>
        <v>0</v>
      </c>
      <c r="W23" s="3"/>
      <c r="X23" s="8">
        <f t="shared" si="6"/>
        <v>-11.89</v>
      </c>
      <c r="Y23" s="3"/>
      <c r="Z23" s="7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610.53</v>
      </c>
      <c r="E24" s="3"/>
      <c r="F24" s="7">
        <f t="shared" si="0"/>
        <v>0</v>
      </c>
      <c r="G24" s="3"/>
      <c r="H24" s="8">
        <v>467.52</v>
      </c>
      <c r="I24" s="3"/>
      <c r="J24" s="7">
        <f t="shared" si="1"/>
        <v>0</v>
      </c>
      <c r="K24" s="3"/>
      <c r="L24" s="8">
        <f t="shared" si="2"/>
        <v>143.01</v>
      </c>
      <c r="M24" s="3"/>
      <c r="N24" s="7">
        <f t="shared" si="3"/>
        <v>0.30589065708418889</v>
      </c>
      <c r="O24" s="11"/>
      <c r="P24" s="8">
        <v>610.53</v>
      </c>
      <c r="Q24" s="3"/>
      <c r="R24" s="7">
        <f t="shared" si="4"/>
        <v>0</v>
      </c>
      <c r="S24" s="3"/>
      <c r="T24" s="8">
        <v>467.52</v>
      </c>
      <c r="U24" s="3"/>
      <c r="V24" s="7">
        <f t="shared" si="5"/>
        <v>0</v>
      </c>
      <c r="W24" s="3"/>
      <c r="X24" s="8">
        <f t="shared" si="6"/>
        <v>143.01</v>
      </c>
      <c r="Y24" s="3"/>
      <c r="Z24" s="7">
        <f t="shared" si="7"/>
        <v>0.30589065708418889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/>
      <c r="E25" s="3"/>
      <c r="F25" s="7">
        <f t="shared" si="0"/>
        <v>0</v>
      </c>
      <c r="G25" s="3"/>
      <c r="H25" s="8">
        <v>755.72</v>
      </c>
      <c r="I25" s="3"/>
      <c r="J25" s="7">
        <f t="shared" si="1"/>
        <v>0</v>
      </c>
      <c r="K25" s="3"/>
      <c r="L25" s="8">
        <f t="shared" si="2"/>
        <v>-755.72</v>
      </c>
      <c r="M25" s="3"/>
      <c r="N25" s="7">
        <f t="shared" si="3"/>
        <v>-1</v>
      </c>
      <c r="O25" s="11"/>
      <c r="P25" s="8"/>
      <c r="Q25" s="3"/>
      <c r="R25" s="7">
        <f t="shared" si="4"/>
        <v>0</v>
      </c>
      <c r="S25" s="3"/>
      <c r="T25" s="8">
        <v>755.72</v>
      </c>
      <c r="U25" s="3"/>
      <c r="V25" s="7">
        <f t="shared" si="5"/>
        <v>0</v>
      </c>
      <c r="W25" s="3"/>
      <c r="X25" s="8">
        <f t="shared" si="6"/>
        <v>-755.72</v>
      </c>
      <c r="Y25" s="3"/>
      <c r="Z25" s="7">
        <f t="shared" si="7"/>
        <v>-1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/>
      <c r="E26" s="3"/>
      <c r="F26" s="7">
        <f t="shared" si="0"/>
        <v>0</v>
      </c>
      <c r="G26" s="3"/>
      <c r="H26" s="8">
        <v>1702.34</v>
      </c>
      <c r="I26" s="3"/>
      <c r="J26" s="7">
        <f t="shared" si="1"/>
        <v>0</v>
      </c>
      <c r="K26" s="3"/>
      <c r="L26" s="8">
        <f t="shared" si="2"/>
        <v>-1702.34</v>
      </c>
      <c r="M26" s="3"/>
      <c r="N26" s="7">
        <f t="shared" si="3"/>
        <v>-1</v>
      </c>
      <c r="O26" s="11"/>
      <c r="P26" s="8"/>
      <c r="Q26" s="3"/>
      <c r="R26" s="7">
        <f t="shared" si="4"/>
        <v>0</v>
      </c>
      <c r="S26" s="3"/>
      <c r="T26" s="8">
        <v>1702.34</v>
      </c>
      <c r="U26" s="3"/>
      <c r="V26" s="7">
        <f t="shared" si="5"/>
        <v>0</v>
      </c>
      <c r="W26" s="3"/>
      <c r="X26" s="8">
        <f t="shared" si="6"/>
        <v>-1702.34</v>
      </c>
      <c r="Y26" s="3"/>
      <c r="Z26" s="7">
        <f t="shared" si="7"/>
        <v>-1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8"/>
      <c r="E27" s="3"/>
      <c r="F27" s="7">
        <f t="shared" si="0"/>
        <v>0</v>
      </c>
      <c r="G27" s="3"/>
      <c r="H27" s="8">
        <v>141.5</v>
      </c>
      <c r="I27" s="3"/>
      <c r="J27" s="7">
        <f t="shared" si="1"/>
        <v>0</v>
      </c>
      <c r="K27" s="3"/>
      <c r="L27" s="8">
        <f t="shared" si="2"/>
        <v>-141.5</v>
      </c>
      <c r="M27" s="3"/>
      <c r="N27" s="7">
        <f t="shared" si="3"/>
        <v>-1</v>
      </c>
      <c r="O27" s="11"/>
      <c r="P27" s="8"/>
      <c r="Q27" s="3"/>
      <c r="R27" s="7">
        <f t="shared" si="4"/>
        <v>0</v>
      </c>
      <c r="S27" s="3"/>
      <c r="T27" s="8">
        <v>141.5</v>
      </c>
      <c r="U27" s="3"/>
      <c r="V27" s="7">
        <f t="shared" si="5"/>
        <v>0</v>
      </c>
      <c r="W27" s="3"/>
      <c r="X27" s="8">
        <f t="shared" si="6"/>
        <v>-141.5</v>
      </c>
      <c r="Y27" s="3"/>
      <c r="Z27" s="7">
        <f t="shared" si="7"/>
        <v>-1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7" si="8">IF(D$12=0,0,D28/D$12)</f>
        <v>0</v>
      </c>
      <c r="G28" s="1"/>
      <c r="H28" s="1">
        <f>SUM(OSRRefH22_1x_0)</f>
        <v>5717.1</v>
      </c>
      <c r="I28" s="1"/>
      <c r="J28" s="5">
        <f t="shared" ref="J28:J37" si="9">IF(H$12=0,0,H28/H$12)</f>
        <v>0</v>
      </c>
      <c r="K28" s="1"/>
      <c r="L28" s="1">
        <f t="shared" ref="L28:L37" si="10">+D28-H28</f>
        <v>-5717.1</v>
      </c>
      <c r="M28" s="1"/>
      <c r="N28" s="5">
        <f t="shared" ref="N28:N37" si="11">IF(H28=0,0,L28/H28)</f>
        <v>-1</v>
      </c>
      <c r="O28" s="14"/>
      <c r="P28" s="1">
        <f>SUM(OSRRefP22_1x_0)</f>
        <v>0</v>
      </c>
      <c r="Q28" s="1"/>
      <c r="R28" s="5">
        <f t="shared" ref="R28:R37" si="12">IF(P$12=0,0,P28/P$12)</f>
        <v>0</v>
      </c>
      <c r="S28" s="1"/>
      <c r="T28" s="1">
        <f>SUM(OSRRefT22_1x_0)</f>
        <v>5717.1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-5717.1</v>
      </c>
      <c r="Y28" s="1"/>
      <c r="Z28" s="5">
        <f t="shared" ref="Z28:Z37" si="15">IF(T28=0,0,X28/T28)</f>
        <v>-1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8"/>
      <c r="E29" s="3"/>
      <c r="F29" s="7">
        <f t="shared" si="8"/>
        <v>0</v>
      </c>
      <c r="G29" s="3"/>
      <c r="H29" s="8">
        <v>5717.1</v>
      </c>
      <c r="I29" s="3"/>
      <c r="J29" s="7">
        <f t="shared" si="9"/>
        <v>0</v>
      </c>
      <c r="K29" s="3"/>
      <c r="L29" s="8">
        <f t="shared" si="10"/>
        <v>-5717.1</v>
      </c>
      <c r="M29" s="3"/>
      <c r="N29" s="7">
        <f t="shared" si="11"/>
        <v>-1</v>
      </c>
      <c r="O29" s="11"/>
      <c r="P29" s="8"/>
      <c r="Q29" s="3"/>
      <c r="R29" s="7">
        <f t="shared" si="12"/>
        <v>0</v>
      </c>
      <c r="S29" s="3"/>
      <c r="T29" s="8">
        <v>5717.1</v>
      </c>
      <c r="U29" s="3"/>
      <c r="V29" s="7">
        <f t="shared" si="13"/>
        <v>0</v>
      </c>
      <c r="W29" s="3"/>
      <c r="X29" s="8">
        <f t="shared" si="14"/>
        <v>-5717.1</v>
      </c>
      <c r="Y29" s="3"/>
      <c r="Z29" s="7">
        <f t="shared" si="15"/>
        <v>-1</v>
      </c>
    </row>
    <row r="30" spans="1:26" s="27" customFormat="1" outlineLevel="1" collapsed="1" x14ac:dyDescent="0.25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2443.65</v>
      </c>
      <c r="I30" s="1"/>
      <c r="J30" s="5">
        <f t="shared" si="9"/>
        <v>0</v>
      </c>
      <c r="K30" s="1"/>
      <c r="L30" s="1">
        <f t="shared" si="10"/>
        <v>-2443.65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2443.65</v>
      </c>
      <c r="U30" s="1"/>
      <c r="V30" s="5">
        <f t="shared" si="13"/>
        <v>0</v>
      </c>
      <c r="W30" s="1"/>
      <c r="X30" s="1">
        <f t="shared" si="14"/>
        <v>-2443.65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8"/>
      <c r="E31" s="3"/>
      <c r="F31" s="7">
        <f t="shared" si="8"/>
        <v>0</v>
      </c>
      <c r="G31" s="3"/>
      <c r="H31" s="8">
        <v>2443.65</v>
      </c>
      <c r="I31" s="3"/>
      <c r="J31" s="7">
        <f t="shared" si="9"/>
        <v>0</v>
      </c>
      <c r="K31" s="3"/>
      <c r="L31" s="8">
        <f t="shared" si="10"/>
        <v>-2443.65</v>
      </c>
      <c r="M31" s="3"/>
      <c r="N31" s="7">
        <f t="shared" si="11"/>
        <v>-1</v>
      </c>
      <c r="O31" s="11"/>
      <c r="P31" s="8"/>
      <c r="Q31" s="3"/>
      <c r="R31" s="7">
        <f t="shared" si="12"/>
        <v>0</v>
      </c>
      <c r="S31" s="3"/>
      <c r="T31" s="8">
        <v>2443.65</v>
      </c>
      <c r="U31" s="3"/>
      <c r="V31" s="7">
        <f t="shared" si="13"/>
        <v>0</v>
      </c>
      <c r="W31" s="3"/>
      <c r="X31" s="8">
        <f t="shared" si="14"/>
        <v>-2443.65</v>
      </c>
      <c r="Y31" s="3"/>
      <c r="Z31" s="7">
        <f t="shared" si="15"/>
        <v>-1</v>
      </c>
    </row>
    <row r="32" spans="1:26" s="27" customFormat="1" outlineLevel="1" collapsed="1" x14ac:dyDescent="0.25">
      <c r="A32" s="28"/>
      <c r="B32" s="14" t="str">
        <f>CONCATENATE("     ","Royalty &amp; Commissions                             ")</f>
        <v xml:space="preserve">     Royalty &amp; Commissions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7344.9</v>
      </c>
      <c r="I32" s="1"/>
      <c r="J32" s="5">
        <f t="shared" si="9"/>
        <v>0</v>
      </c>
      <c r="K32" s="1"/>
      <c r="L32" s="1">
        <f t="shared" si="10"/>
        <v>-7344.9</v>
      </c>
      <c r="M32" s="1"/>
      <c r="N32" s="5">
        <f t="shared" si="11"/>
        <v>-1</v>
      </c>
      <c r="O32" s="14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7344.9</v>
      </c>
      <c r="U32" s="1"/>
      <c r="V32" s="5">
        <f t="shared" si="13"/>
        <v>0</v>
      </c>
      <c r="W32" s="1"/>
      <c r="X32" s="1">
        <f t="shared" si="14"/>
        <v>-7344.9</v>
      </c>
      <c r="Y32" s="1"/>
      <c r="Z32" s="5">
        <f t="shared" si="15"/>
        <v>-1</v>
      </c>
    </row>
    <row r="33" spans="1:26" s="24" customFormat="1" hidden="1" outlineLevel="2" x14ac:dyDescent="0.25">
      <c r="A33" s="29"/>
      <c r="B33" s="11" t="str">
        <f>CONCATENATE("          ", "6254", " - ", "ROYALTY &amp; COMMISSIONS")</f>
        <v xml:space="preserve">          6254 - ROYALTY &amp; COMMISSIONS</v>
      </c>
      <c r="C33" s="11"/>
      <c r="D33" s="8"/>
      <c r="E33" s="3"/>
      <c r="F33" s="7">
        <f t="shared" si="8"/>
        <v>0</v>
      </c>
      <c r="G33" s="3"/>
      <c r="H33" s="8">
        <v>7344.9</v>
      </c>
      <c r="I33" s="3"/>
      <c r="J33" s="7">
        <f t="shared" si="9"/>
        <v>0</v>
      </c>
      <c r="K33" s="3"/>
      <c r="L33" s="8">
        <f t="shared" si="10"/>
        <v>-7344.9</v>
      </c>
      <c r="M33" s="3"/>
      <c r="N33" s="7">
        <f t="shared" si="11"/>
        <v>-1</v>
      </c>
      <c r="O33" s="11"/>
      <c r="P33" s="8"/>
      <c r="Q33" s="3"/>
      <c r="R33" s="7">
        <f t="shared" si="12"/>
        <v>0</v>
      </c>
      <c r="S33" s="3"/>
      <c r="T33" s="8">
        <v>7344.9</v>
      </c>
      <c r="U33" s="3"/>
      <c r="V33" s="7">
        <f t="shared" si="13"/>
        <v>0</v>
      </c>
      <c r="W33" s="3"/>
      <c r="X33" s="8">
        <f t="shared" si="14"/>
        <v>-7344.9</v>
      </c>
      <c r="Y33" s="3"/>
      <c r="Z33" s="7">
        <f t="shared" si="15"/>
        <v>-1</v>
      </c>
    </row>
    <row r="34" spans="1:26" s="27" customFormat="1" outlineLevel="1" collapsed="1" x14ac:dyDescent="0.25">
      <c r="A34" s="28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-56.3</v>
      </c>
      <c r="E34" s="1"/>
      <c r="F34" s="5">
        <f t="shared" si="8"/>
        <v>0</v>
      </c>
      <c r="G34" s="1"/>
      <c r="H34" s="1">
        <f>SUM(OSRRefH22_4x_0)</f>
        <v>2134.2399999999998</v>
      </c>
      <c r="I34" s="1"/>
      <c r="J34" s="5">
        <f t="shared" si="9"/>
        <v>0</v>
      </c>
      <c r="K34" s="1"/>
      <c r="L34" s="1">
        <f t="shared" si="10"/>
        <v>-2190.54</v>
      </c>
      <c r="M34" s="1"/>
      <c r="N34" s="5">
        <f t="shared" si="11"/>
        <v>-1.0263794137491566</v>
      </c>
      <c r="O34" s="14"/>
      <c r="P34" s="1">
        <f>SUM(OSRRefP22_4x_0)</f>
        <v>-56.3</v>
      </c>
      <c r="Q34" s="1"/>
      <c r="R34" s="5">
        <f t="shared" si="12"/>
        <v>0</v>
      </c>
      <c r="S34" s="1"/>
      <c r="T34" s="1">
        <f>SUM(OSRRefT22_4x_0)</f>
        <v>2134.2399999999998</v>
      </c>
      <c r="U34" s="1"/>
      <c r="V34" s="5">
        <f t="shared" si="13"/>
        <v>0</v>
      </c>
      <c r="W34" s="1"/>
      <c r="X34" s="1">
        <f t="shared" si="14"/>
        <v>-2190.54</v>
      </c>
      <c r="Y34" s="1"/>
      <c r="Z34" s="5">
        <f t="shared" si="15"/>
        <v>-1.0263794137491566</v>
      </c>
    </row>
    <row r="35" spans="1:26" s="24" customFormat="1" hidden="1" outlineLevel="2" x14ac:dyDescent="0.25">
      <c r="A35" s="29"/>
      <c r="B35" s="11" t="str">
        <f>CONCATENATE("          ", "6241", " - ", "OFFICE EXPENSE")</f>
        <v xml:space="preserve">          6241 - OFFICE EXPENSE</v>
      </c>
      <c r="C35" s="11"/>
      <c r="D35" s="8">
        <v>-56.3</v>
      </c>
      <c r="E35" s="3"/>
      <c r="F35" s="7">
        <f t="shared" si="8"/>
        <v>0</v>
      </c>
      <c r="G35" s="3"/>
      <c r="H35" s="8">
        <v>2134.2399999999998</v>
      </c>
      <c r="I35" s="3"/>
      <c r="J35" s="7">
        <f t="shared" si="9"/>
        <v>0</v>
      </c>
      <c r="K35" s="3"/>
      <c r="L35" s="8">
        <f t="shared" si="10"/>
        <v>-2190.54</v>
      </c>
      <c r="M35" s="3"/>
      <c r="N35" s="7">
        <f t="shared" si="11"/>
        <v>-1.0263794137491566</v>
      </c>
      <c r="O35" s="11"/>
      <c r="P35" s="8">
        <v>-56.3</v>
      </c>
      <c r="Q35" s="3"/>
      <c r="R35" s="7">
        <f t="shared" si="12"/>
        <v>0</v>
      </c>
      <c r="S35" s="3"/>
      <c r="T35" s="8">
        <v>2134.2399999999998</v>
      </c>
      <c r="U35" s="3"/>
      <c r="V35" s="7">
        <f t="shared" si="13"/>
        <v>0</v>
      </c>
      <c r="W35" s="3"/>
      <c r="X35" s="8">
        <f t="shared" si="14"/>
        <v>-2190.54</v>
      </c>
      <c r="Y35" s="3"/>
      <c r="Z35" s="7">
        <f t="shared" si="15"/>
        <v>-1.0263794137491566</v>
      </c>
    </row>
    <row r="36" spans="1:26" s="27" customFormat="1" outlineLevel="1" collapsed="1" x14ac:dyDescent="0.25">
      <c r="A36" s="28"/>
      <c r="B36" s="14" t="str">
        <f>CONCATENATE("     ","Telephone/Data Lines                              ")</f>
        <v xml:space="preserve">     Telephone/Data Lines                              </v>
      </c>
      <c r="C36" s="14"/>
      <c r="D36" s="1">
        <f>SUM(OSRRefD22_5x_0)</f>
        <v>36</v>
      </c>
      <c r="E36" s="1"/>
      <c r="F36" s="5">
        <f t="shared" si="8"/>
        <v>0</v>
      </c>
      <c r="G36" s="1"/>
      <c r="H36" s="1">
        <f>SUM(OSRRefH22_5x_0)</f>
        <v>129.35</v>
      </c>
      <c r="I36" s="1"/>
      <c r="J36" s="5">
        <f t="shared" si="9"/>
        <v>0</v>
      </c>
      <c r="K36" s="1"/>
      <c r="L36" s="1">
        <f t="shared" si="10"/>
        <v>-93.35</v>
      </c>
      <c r="M36" s="1"/>
      <c r="N36" s="5">
        <f t="shared" si="11"/>
        <v>-0.72168534982605337</v>
      </c>
      <c r="O36" s="14"/>
      <c r="P36" s="1">
        <f>SUM(OSRRefP22_5x_0)</f>
        <v>36</v>
      </c>
      <c r="Q36" s="1"/>
      <c r="R36" s="5">
        <f t="shared" si="12"/>
        <v>0</v>
      </c>
      <c r="S36" s="1"/>
      <c r="T36" s="1">
        <f>SUM(OSRRefT22_5x_0)</f>
        <v>129.35</v>
      </c>
      <c r="U36" s="1"/>
      <c r="V36" s="5">
        <f t="shared" si="13"/>
        <v>0</v>
      </c>
      <c r="W36" s="1"/>
      <c r="X36" s="1">
        <f t="shared" si="14"/>
        <v>-93.35</v>
      </c>
      <c r="Y36" s="1"/>
      <c r="Z36" s="5">
        <f t="shared" si="15"/>
        <v>-0.72168534982605337</v>
      </c>
    </row>
    <row r="37" spans="1:26" s="24" customFormat="1" hidden="1" outlineLevel="2" x14ac:dyDescent="0.25">
      <c r="A37" s="29"/>
      <c r="B37" s="11" t="str">
        <f>CONCATENATE("          ", "6309", " - ", "TELEPHONE")</f>
        <v xml:space="preserve">          6309 - TELEPHONE</v>
      </c>
      <c r="C37" s="11"/>
      <c r="D37" s="8">
        <v>36</v>
      </c>
      <c r="E37" s="3"/>
      <c r="F37" s="7">
        <f t="shared" si="8"/>
        <v>0</v>
      </c>
      <c r="G37" s="3"/>
      <c r="H37" s="8">
        <v>129.35</v>
      </c>
      <c r="I37" s="3"/>
      <c r="J37" s="7">
        <f t="shared" si="9"/>
        <v>0</v>
      </c>
      <c r="K37" s="3"/>
      <c r="L37" s="8">
        <f t="shared" si="10"/>
        <v>-93.35</v>
      </c>
      <c r="M37" s="3"/>
      <c r="N37" s="7">
        <f t="shared" si="11"/>
        <v>-0.72168534982605337</v>
      </c>
      <c r="O37" s="11"/>
      <c r="P37" s="8">
        <v>36</v>
      </c>
      <c r="Q37" s="3"/>
      <c r="R37" s="7">
        <f t="shared" si="12"/>
        <v>0</v>
      </c>
      <c r="S37" s="3"/>
      <c r="T37" s="8">
        <v>129.35</v>
      </c>
      <c r="U37" s="3"/>
      <c r="V37" s="7">
        <f t="shared" si="13"/>
        <v>0</v>
      </c>
      <c r="W37" s="3"/>
      <c r="X37" s="8">
        <f t="shared" si="14"/>
        <v>-93.35</v>
      </c>
      <c r="Y37" s="3"/>
      <c r="Z37" s="7">
        <f t="shared" si="15"/>
        <v>-0.72168534982605337</v>
      </c>
    </row>
    <row r="38" spans="1:26" s="61" customFormat="1" x14ac:dyDescent="0.25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collapsed="1" x14ac:dyDescent="0.25">
      <c r="A39" s="10"/>
      <c r="B39" s="25" t="s">
        <v>0</v>
      </c>
      <c r="C39" s="10"/>
      <c r="D39" s="4">
        <f>SUM(OSRRefD25x_0)</f>
        <v>0</v>
      </c>
      <c r="E39" s="4"/>
      <c r="F39" s="12">
        <f t="shared" ref="F39:F40" si="16">IF(D$12=0,0,D39/D$12)</f>
        <v>0</v>
      </c>
      <c r="G39" s="4"/>
      <c r="H39" s="4">
        <f>SUM(OSRRefH25x_0)</f>
        <v>10030.65</v>
      </c>
      <c r="I39" s="4"/>
      <c r="J39" s="12">
        <f t="shared" ref="J39:J40" si="17">IF(H$12=0,0,H39/H$12)</f>
        <v>0</v>
      </c>
      <c r="K39" s="4"/>
      <c r="L39" s="4">
        <f t="shared" ref="L39:L40" si="18">+D39-H39</f>
        <v>-10030.65</v>
      </c>
      <c r="M39" s="4"/>
      <c r="N39" s="12">
        <f t="shared" ref="N39:N40" si="19">IF(H39=0,0,L39/H39)</f>
        <v>-1</v>
      </c>
      <c r="O39" s="10"/>
      <c r="P39" s="4">
        <f>SUM(OSRRefP25x_0)</f>
        <v>0</v>
      </c>
      <c r="Q39" s="4"/>
      <c r="R39" s="12">
        <f t="shared" ref="R39:R40" si="20">IF(P$12=0,0,P39/P$12)</f>
        <v>0</v>
      </c>
      <c r="S39" s="4"/>
      <c r="T39" s="4">
        <f>SUM(OSRRefT25x_0)</f>
        <v>10030.65</v>
      </c>
      <c r="U39" s="4"/>
      <c r="V39" s="12">
        <f t="shared" ref="V39:V40" si="21">IF(T$12=0,0,T39/T$12)</f>
        <v>0</v>
      </c>
      <c r="W39" s="4"/>
      <c r="X39" s="4">
        <f t="shared" ref="X39:X40" si="22">+P39-T39</f>
        <v>-10030.65</v>
      </c>
      <c r="Y39" s="4"/>
      <c r="Z39" s="12">
        <f t="shared" ref="Z39:Z40" si="23">IF(T39=0,0,X39/T39)</f>
        <v>-1</v>
      </c>
    </row>
    <row r="40" spans="1:26" s="24" customFormat="1" hidden="1" outlineLevel="1" x14ac:dyDescent="0.25">
      <c r="A40" s="50"/>
      <c r="B40" s="11" t="str">
        <f>CONCATENATE("          ", "9150", " - ", "MISC. INCOME")</f>
        <v xml:space="preserve">          9150 - MISC. INCOME</v>
      </c>
      <c r="C40" s="11"/>
      <c r="D40" s="3">
        <f>0</f>
        <v>0</v>
      </c>
      <c r="E40" s="3"/>
      <c r="F40" s="22">
        <f t="shared" si="16"/>
        <v>0</v>
      </c>
      <c r="G40" s="3"/>
      <c r="H40" s="3">
        <f>--10030.65</f>
        <v>10030.65</v>
      </c>
      <c r="I40" s="3"/>
      <c r="J40" s="22">
        <f t="shared" si="17"/>
        <v>0</v>
      </c>
      <c r="K40" s="3"/>
      <c r="L40" s="3">
        <f t="shared" si="18"/>
        <v>-10030.65</v>
      </c>
      <c r="M40" s="3"/>
      <c r="N40" s="22">
        <f t="shared" si="19"/>
        <v>-1</v>
      </c>
      <c r="O40" s="11"/>
      <c r="P40" s="3">
        <f>0</f>
        <v>0</v>
      </c>
      <c r="Q40" s="3"/>
      <c r="R40" s="22">
        <f t="shared" si="20"/>
        <v>0</v>
      </c>
      <c r="S40" s="3"/>
      <c r="T40" s="3">
        <f>--10030.65</f>
        <v>10030.65</v>
      </c>
      <c r="U40" s="3"/>
      <c r="V40" s="22">
        <f t="shared" si="21"/>
        <v>0</v>
      </c>
      <c r="W40" s="3"/>
      <c r="X40" s="3">
        <f t="shared" si="22"/>
        <v>-10030.65</v>
      </c>
      <c r="Y40" s="3"/>
      <c r="Z40" s="22">
        <f t="shared" si="23"/>
        <v>-1</v>
      </c>
    </row>
    <row r="41" spans="1:26" x14ac:dyDescent="0.25">
      <c r="A41" s="9"/>
      <c r="B41" s="10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10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25">
      <c r="A42" s="10"/>
      <c r="B42" s="26" t="s">
        <v>3</v>
      </c>
      <c r="C42" s="26"/>
      <c r="D42" s="19">
        <f>+D16-D18+D39</f>
        <v>-2458.4299999999998</v>
      </c>
      <c r="E42" s="13"/>
      <c r="F42" s="20">
        <f>IF(D$12=0,0,D42/D$12)</f>
        <v>0</v>
      </c>
      <c r="G42" s="13"/>
      <c r="H42" s="19">
        <f>+H16-H18+H39</f>
        <v>-12356.38</v>
      </c>
      <c r="I42" s="13"/>
      <c r="J42" s="20">
        <f>IF(H$12=0,0,H42/H$12)</f>
        <v>0</v>
      </c>
      <c r="K42" s="16"/>
      <c r="L42" s="19">
        <f>+D42-H42</f>
        <v>9897.9499999999989</v>
      </c>
      <c r="M42" s="16"/>
      <c r="N42" s="20">
        <f>IF(H42=0,0,L42/H42)</f>
        <v>-0.80103962487395175</v>
      </c>
      <c r="O42" s="25"/>
      <c r="P42" s="19">
        <f>+P16-P18+P39</f>
        <v>-2458.4299999999998</v>
      </c>
      <c r="Q42" s="13"/>
      <c r="R42" s="20">
        <f>IF(P$12=0,0,P42/P$12)</f>
        <v>0</v>
      </c>
      <c r="S42" s="13"/>
      <c r="T42" s="19">
        <f>+T16-T18+T39</f>
        <v>-12356.38</v>
      </c>
      <c r="U42" s="13"/>
      <c r="V42" s="20">
        <f>IF(T$12=0,0,T42/T$12)</f>
        <v>0</v>
      </c>
      <c r="W42" s="16"/>
      <c r="X42" s="19">
        <f>+P42-T42</f>
        <v>9897.9499999999989</v>
      </c>
      <c r="Y42" s="16"/>
      <c r="Z42" s="20">
        <f>IF(T42=0,0,X42/T42)</f>
        <v>-0.80103962487395175</v>
      </c>
    </row>
    <row r="43" spans="1:26" x14ac:dyDescent="0.25">
      <c r="A43" s="9"/>
      <c r="B43" s="10"/>
      <c r="C43" s="9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51"/>
      <c r="B44" s="10" t="s">
        <v>13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ht="15.75" thickBot="1" x14ac:dyDescent="0.3">
      <c r="A46" s="10"/>
      <c r="B46" s="26" t="s">
        <v>4</v>
      </c>
      <c r="C46" s="26"/>
      <c r="D46" s="35">
        <f>+D42-D44</f>
        <v>-2458.4299999999998</v>
      </c>
      <c r="E46" s="13"/>
      <c r="F46" s="30">
        <f>IF(D$12=0,0,D46/D$12)</f>
        <v>0</v>
      </c>
      <c r="G46" s="13"/>
      <c r="H46" s="35">
        <f>+H42-H44</f>
        <v>-12356.38</v>
      </c>
      <c r="I46" s="13"/>
      <c r="J46" s="30">
        <f>IF(H$12=0,0,H46/H$12)</f>
        <v>0</v>
      </c>
      <c r="K46" s="16"/>
      <c r="L46" s="35">
        <f>D46-H46</f>
        <v>9897.9499999999989</v>
      </c>
      <c r="M46" s="16"/>
      <c r="N46" s="30">
        <f>IF(H46=0,0,L46/H46)</f>
        <v>-0.80103962487395175</v>
      </c>
      <c r="O46" s="25"/>
      <c r="P46" s="35">
        <f>+P42-P44</f>
        <v>-2458.4299999999998</v>
      </c>
      <c r="Q46" s="13"/>
      <c r="R46" s="30">
        <f>IF(P$12=0,0,P46/P$12)</f>
        <v>0</v>
      </c>
      <c r="S46" s="13"/>
      <c r="T46" s="35">
        <f>+T42-T44</f>
        <v>-12356.38</v>
      </c>
      <c r="U46" s="13"/>
      <c r="V46" s="30">
        <f>IF(T$12=0,0,T46/T$12)</f>
        <v>0</v>
      </c>
      <c r="W46" s="16"/>
      <c r="X46" s="35">
        <f>P46-T46</f>
        <v>9897.9499999999989</v>
      </c>
      <c r="Y46" s="16"/>
      <c r="Z46" s="30">
        <f>IF(T46=0,0,X46/T46)</f>
        <v>-0.80103962487395175</v>
      </c>
    </row>
    <row r="47" spans="1:26" ht="15.75" thickTop="1" x14ac:dyDescent="0.25">
      <c r="A47" s="9"/>
      <c r="B47" s="9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x14ac:dyDescent="0.25">
      <c r="A48" s="9"/>
      <c r="B48" s="9"/>
      <c r="C48" s="9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ht="15.75" thickBot="1" x14ac:dyDescent="0.3">
      <c r="A49" s="10"/>
      <c r="B49" s="26" t="s">
        <v>5</v>
      </c>
      <c r="C49" s="26"/>
      <c r="D49" s="31">
        <f>SUM(D46:D48)</f>
        <v>-2458.4299999999998</v>
      </c>
      <c r="E49" s="13"/>
      <c r="F49" s="32">
        <f>IF(D$12=0,0,D49/D$12)</f>
        <v>0</v>
      </c>
      <c r="G49" s="13"/>
      <c r="H49" s="31">
        <f>SUM(H46:H48)</f>
        <v>-12356.38</v>
      </c>
      <c r="I49" s="13"/>
      <c r="J49" s="32">
        <f>IF(H$12=0,0,H49/H$12)</f>
        <v>0</v>
      </c>
      <c r="K49" s="16"/>
      <c r="L49" s="31">
        <f>+D49-H49</f>
        <v>9897.9499999999989</v>
      </c>
      <c r="M49" s="16"/>
      <c r="N49" s="32">
        <f>IF(H49=0,0,L49/H49)</f>
        <v>-0.80103962487395175</v>
      </c>
      <c r="O49" s="25"/>
      <c r="P49" s="31">
        <f>SUM(P46:P48)</f>
        <v>-2458.4299999999998</v>
      </c>
      <c r="Q49" s="13"/>
      <c r="R49" s="32">
        <f>IF(P$12=0,0,P49/P$12)</f>
        <v>0</v>
      </c>
      <c r="S49" s="13"/>
      <c r="T49" s="31">
        <f>SUM(T46:T48)</f>
        <v>-12356.38</v>
      </c>
      <c r="U49" s="13"/>
      <c r="V49" s="32">
        <f>IF(T$12=0,0,T49/T$12)</f>
        <v>0</v>
      </c>
      <c r="W49" s="16"/>
      <c r="X49" s="31">
        <f>+P49-T49</f>
        <v>9897.9499999999989</v>
      </c>
      <c r="Y49" s="16"/>
      <c r="Z49" s="32">
        <f>IF(T49=0,0,X49/T49)</f>
        <v>-0.80103962487395175</v>
      </c>
    </row>
    <row r="50" spans="1:26" ht="15.75" thickTop="1" x14ac:dyDescent="0.25">
      <c r="A50" s="9"/>
      <c r="C50" s="9"/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6" x14ac:dyDescent="0.25">
      <c r="A51" s="9"/>
      <c r="B51" s="59">
        <v>44109.414768206021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62" t="s">
        <v>313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6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609.07000000000005</v>
      </c>
      <c r="I12" s="4"/>
      <c r="J12" s="12"/>
      <c r="K12" s="4"/>
      <c r="L12" s="4">
        <f t="shared" ref="L12:L13" si="0">+D12-H12</f>
        <v>-609.07000000000005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609.07000000000005</v>
      </c>
      <c r="U12" s="4"/>
      <c r="V12" s="12"/>
      <c r="W12" s="4"/>
      <c r="X12" s="4">
        <f t="shared" ref="X12:X13" si="2">+P12-T12</f>
        <v>-609.07000000000005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3">
        <f>0</f>
        <v>0</v>
      </c>
      <c r="E13" s="3"/>
      <c r="F13" s="22"/>
      <c r="G13" s="3"/>
      <c r="H13" s="3">
        <f>--609.07</f>
        <v>609.07000000000005</v>
      </c>
      <c r="I13" s="3"/>
      <c r="J13" s="22"/>
      <c r="K13" s="3"/>
      <c r="L13" s="3">
        <f t="shared" si="0"/>
        <v>-609.07000000000005</v>
      </c>
      <c r="M13" s="3"/>
      <c r="N13" s="22">
        <f t="shared" si="1"/>
        <v>-1</v>
      </c>
      <c r="O13" s="11"/>
      <c r="P13" s="3">
        <f>0</f>
        <v>0</v>
      </c>
      <c r="Q13" s="3"/>
      <c r="R13" s="22"/>
      <c r="S13" s="3"/>
      <c r="T13" s="3">
        <f>--609.07</f>
        <v>609.07000000000005</v>
      </c>
      <c r="U13" s="3"/>
      <c r="V13" s="22"/>
      <c r="W13" s="3"/>
      <c r="X13" s="3">
        <f t="shared" si="2"/>
        <v>-609.07000000000005</v>
      </c>
      <c r="Y13" s="3"/>
      <c r="Z13" s="22">
        <f t="shared" si="3"/>
        <v>-1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-0.1000000000003638</v>
      </c>
      <c r="I15" s="4"/>
      <c r="J15" s="12">
        <f t="shared" ref="J15:J17" si="5">IF(H$12=0,0,H15/H$12)</f>
        <v>-1.641847406707994E-4</v>
      </c>
      <c r="K15" s="4"/>
      <c r="L15" s="4">
        <f t="shared" ref="L15:L17" si="6">+D15-H15</f>
        <v>0.1000000000003638</v>
      </c>
      <c r="M15" s="4"/>
      <c r="N15" s="12">
        <f t="shared" ref="N15:N17" si="7">IF(H15=0,0,L15/H15)</f>
        <v>-1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-0.1000000000003638</v>
      </c>
      <c r="U15" s="4"/>
      <c r="V15" s="12">
        <f t="shared" ref="V15:V17" si="9">IF(T$12=0,0,T15/T$12)</f>
        <v>-1.641847406707994E-4</v>
      </c>
      <c r="W15" s="4"/>
      <c r="X15" s="4">
        <f t="shared" ref="X15:X17" si="10">+P15-T15</f>
        <v>0.1000000000003638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50"/>
      <c r="B16" s="11" t="str">
        <f>CONCATENATE("          ", "5053", " - ", "PURCHASES @ COST-FOOD")</f>
        <v xml:space="preserve">          5053 - PURCHASES @ COST-FOOD</v>
      </c>
      <c r="C16" s="11"/>
      <c r="D16" s="3"/>
      <c r="E16" s="3"/>
      <c r="F16" s="22">
        <f t="shared" si="4"/>
        <v>0</v>
      </c>
      <c r="G16" s="3"/>
      <c r="H16" s="3">
        <v>5853.9</v>
      </c>
      <c r="I16" s="3"/>
      <c r="J16" s="22">
        <f t="shared" si="5"/>
        <v>9.6112105340929599</v>
      </c>
      <c r="K16" s="3"/>
      <c r="L16" s="3">
        <f t="shared" si="6"/>
        <v>-5853.9</v>
      </c>
      <c r="M16" s="3"/>
      <c r="N16" s="22">
        <f t="shared" si="7"/>
        <v>-1</v>
      </c>
      <c r="O16" s="11"/>
      <c r="P16" s="3"/>
      <c r="Q16" s="3"/>
      <c r="R16" s="22">
        <f t="shared" si="8"/>
        <v>0</v>
      </c>
      <c r="S16" s="3"/>
      <c r="T16" s="3">
        <v>5853.9</v>
      </c>
      <c r="U16" s="3"/>
      <c r="V16" s="22">
        <f t="shared" si="9"/>
        <v>9.6112105340929599</v>
      </c>
      <c r="W16" s="3"/>
      <c r="X16" s="3">
        <f t="shared" si="10"/>
        <v>-5853.9</v>
      </c>
      <c r="Y16" s="3"/>
      <c r="Z16" s="22">
        <f t="shared" si="11"/>
        <v>-1</v>
      </c>
    </row>
    <row r="17" spans="1:26" s="24" customFormat="1" hidden="1" outlineLevel="1" x14ac:dyDescent="0.25">
      <c r="A17" s="50"/>
      <c r="B17" s="11" t="str">
        <f>CONCATENATE("          ", "5059", " - ", "PURCHASES @ COST-FOOD")</f>
        <v xml:space="preserve">          5059 - PURCHASES @ COST-FOOD</v>
      </c>
      <c r="C17" s="11"/>
      <c r="D17" s="3"/>
      <c r="E17" s="3"/>
      <c r="F17" s="22">
        <f t="shared" si="4"/>
        <v>0</v>
      </c>
      <c r="G17" s="3"/>
      <c r="H17" s="3">
        <v>-5854</v>
      </c>
      <c r="I17" s="3"/>
      <c r="J17" s="22">
        <f t="shared" si="5"/>
        <v>-9.6113747188336305</v>
      </c>
      <c r="K17" s="3"/>
      <c r="L17" s="3">
        <f t="shared" si="6"/>
        <v>5854</v>
      </c>
      <c r="M17" s="3"/>
      <c r="N17" s="22">
        <f t="shared" si="7"/>
        <v>-1</v>
      </c>
      <c r="O17" s="11"/>
      <c r="P17" s="3"/>
      <c r="Q17" s="3"/>
      <c r="R17" s="22">
        <f t="shared" si="8"/>
        <v>0</v>
      </c>
      <c r="S17" s="3"/>
      <c r="T17" s="3">
        <v>-5854</v>
      </c>
      <c r="U17" s="3"/>
      <c r="V17" s="22">
        <f t="shared" si="9"/>
        <v>-9.6113747188336305</v>
      </c>
      <c r="W17" s="3"/>
      <c r="X17" s="3">
        <f t="shared" si="10"/>
        <v>5854</v>
      </c>
      <c r="Y17" s="3"/>
      <c r="Z17" s="22">
        <f t="shared" si="11"/>
        <v>-1</v>
      </c>
    </row>
    <row r="18" spans="1:26" x14ac:dyDescent="0.25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25">
      <c r="A19" s="10"/>
      <c r="B19" s="26" t="s">
        <v>6</v>
      </c>
      <c r="C19" s="26"/>
      <c r="D19" s="19">
        <f>D12-D15</f>
        <v>0</v>
      </c>
      <c r="E19" s="13"/>
      <c r="F19" s="20">
        <f>IF(D$12=0,0,D19/D$12)</f>
        <v>0</v>
      </c>
      <c r="G19" s="13"/>
      <c r="H19" s="19">
        <f>H12-H15</f>
        <v>609.17000000000041</v>
      </c>
      <c r="I19" s="13"/>
      <c r="J19" s="20">
        <f>IF(H$12=0,0,H19/H$12)</f>
        <v>1.0001641847406708</v>
      </c>
      <c r="K19" s="16"/>
      <c r="L19" s="19">
        <f>+D19-H19</f>
        <v>-609.17000000000041</v>
      </c>
      <c r="M19" s="16"/>
      <c r="N19" s="20">
        <f>IF(H19=0,0,L19/H19)</f>
        <v>-1</v>
      </c>
      <c r="O19" s="25"/>
      <c r="P19" s="19">
        <f>P12-P15</f>
        <v>0</v>
      </c>
      <c r="Q19" s="13"/>
      <c r="R19" s="20">
        <f>IF(P$12=0,0,P19/P$12)</f>
        <v>0</v>
      </c>
      <c r="S19" s="13"/>
      <c r="T19" s="19">
        <f>T12-T15</f>
        <v>609.17000000000041</v>
      </c>
      <c r="U19" s="13"/>
      <c r="V19" s="20">
        <f>IF(T$12=0,0,T19/T$12)</f>
        <v>1.0001641847406708</v>
      </c>
      <c r="W19" s="16"/>
      <c r="X19" s="19">
        <f>+P19-T19</f>
        <v>-609.17000000000041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1">
        <f>SUM(OSRRefD22x_0)</f>
        <v>1212.8499999999999</v>
      </c>
      <c r="E21" s="21"/>
      <c r="F21" s="34">
        <f t="shared" ref="F21:F37" si="12">IF(D$12=0,0,D21/D$12)</f>
        <v>0</v>
      </c>
      <c r="G21" s="21"/>
      <c r="H21" s="21">
        <f>SUM(OSRRefH22x_0)</f>
        <v>2725.8399999999997</v>
      </c>
      <c r="I21" s="21"/>
      <c r="J21" s="34">
        <f t="shared" ref="J21:J37" si="13">IF(H$12=0,0,H21/H$12)</f>
        <v>4.4754133350846361</v>
      </c>
      <c r="K21" s="4"/>
      <c r="L21" s="21">
        <f t="shared" ref="L21:L37" si="14">+D21-H21</f>
        <v>-1512.9899999999998</v>
      </c>
      <c r="M21" s="4"/>
      <c r="N21" s="34">
        <f t="shared" ref="N21:N37" si="15">IF(H21=0,0,L21/H21)</f>
        <v>-0.55505458867725177</v>
      </c>
      <c r="O21" s="10"/>
      <c r="P21" s="21">
        <f>SUM(OSRRefP22x_0)</f>
        <v>1212.8499999999999</v>
      </c>
      <c r="Q21" s="21"/>
      <c r="R21" s="34">
        <f t="shared" ref="R21:R37" si="16">IF(P$12=0,0,P21/P$12)</f>
        <v>0</v>
      </c>
      <c r="S21" s="21"/>
      <c r="T21" s="21">
        <f>SUM(OSRRefT22x_0)</f>
        <v>2725.8399999999997</v>
      </c>
      <c r="U21" s="21"/>
      <c r="V21" s="34">
        <f t="shared" ref="V21:V37" si="17">IF(T$12=0,0,T21/T$12)</f>
        <v>4.4754133350846361</v>
      </c>
      <c r="W21" s="4"/>
      <c r="X21" s="21">
        <f t="shared" ref="X21:X37" si="18">+P21-T21</f>
        <v>-1512.9899999999998</v>
      </c>
      <c r="Y21" s="4"/>
      <c r="Z21" s="34">
        <f t="shared" ref="Z21:Z37" si="19">IF(T21=0,0,X21/T21)</f>
        <v>-0.55505458867725177</v>
      </c>
    </row>
    <row r="22" spans="1:26" s="27" customFormat="1" outlineLevel="1" collapsed="1" x14ac:dyDescent="0.25">
      <c r="A22" s="28"/>
      <c r="B22" s="14" t="str">
        <f>CONCATENATE("     ","*Payroll                                          ")</f>
        <v xml:space="preserve">     *Payroll 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887</v>
      </c>
      <c r="I22" s="1"/>
      <c r="J22" s="5">
        <f t="shared" si="13"/>
        <v>1.4563186497446927</v>
      </c>
      <c r="K22" s="1"/>
      <c r="L22" s="1">
        <f t="shared" si="14"/>
        <v>-887</v>
      </c>
      <c r="M22" s="1"/>
      <c r="N22" s="5">
        <f t="shared" si="15"/>
        <v>-1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887</v>
      </c>
      <c r="U22" s="1"/>
      <c r="V22" s="5">
        <f t="shared" si="17"/>
        <v>1.4563186497446927</v>
      </c>
      <c r="W22" s="1"/>
      <c r="X22" s="1">
        <f t="shared" si="18"/>
        <v>-887</v>
      </c>
      <c r="Y22" s="1"/>
      <c r="Z22" s="5">
        <f t="shared" si="19"/>
        <v>-1</v>
      </c>
    </row>
    <row r="23" spans="1:26" s="24" customFormat="1" hidden="1" outlineLevel="2" x14ac:dyDescent="0.25">
      <c r="A23" s="29"/>
      <c r="B23" s="11" t="str">
        <f>CONCATENATE("          ", "6007", " - ", "STUDENT HOURLY")</f>
        <v xml:space="preserve">          6007 - STUDENT HOURLY</v>
      </c>
      <c r="C23" s="11"/>
      <c r="D23" s="8"/>
      <c r="E23" s="3"/>
      <c r="F23" s="7">
        <f t="shared" si="12"/>
        <v>0</v>
      </c>
      <c r="G23" s="3"/>
      <c r="H23" s="8">
        <v>887</v>
      </c>
      <c r="I23" s="3"/>
      <c r="J23" s="7">
        <f t="shared" si="13"/>
        <v>1.4563186497446927</v>
      </c>
      <c r="K23" s="3"/>
      <c r="L23" s="8">
        <f t="shared" si="14"/>
        <v>-887</v>
      </c>
      <c r="M23" s="3"/>
      <c r="N23" s="7">
        <f t="shared" si="15"/>
        <v>-1</v>
      </c>
      <c r="O23" s="11"/>
      <c r="P23" s="8"/>
      <c r="Q23" s="3"/>
      <c r="R23" s="7">
        <f t="shared" si="16"/>
        <v>0</v>
      </c>
      <c r="S23" s="3"/>
      <c r="T23" s="8">
        <v>887</v>
      </c>
      <c r="U23" s="3"/>
      <c r="V23" s="7">
        <f t="shared" si="17"/>
        <v>1.4563186497446927</v>
      </c>
      <c r="W23" s="3"/>
      <c r="X23" s="8">
        <f t="shared" si="18"/>
        <v>-887</v>
      </c>
      <c r="Y23" s="3"/>
      <c r="Z23" s="7">
        <f t="shared" si="19"/>
        <v>-1</v>
      </c>
    </row>
    <row r="24" spans="1:26" s="27" customFormat="1" outlineLevel="1" collapsed="1" x14ac:dyDescent="0.25">
      <c r="A24" s="28"/>
      <c r="B24" s="14" t="str">
        <f>CONCATENATE("     ","Bad Debts/Over/Short                              ")</f>
        <v xml:space="preserve">     Bad Debts/Over/Short                              </v>
      </c>
      <c r="C24" s="14"/>
      <c r="D24" s="1">
        <f>SUM(OSRRefD22_1x_0)</f>
        <v>0</v>
      </c>
      <c r="E24" s="1"/>
      <c r="F24" s="5">
        <f t="shared" si="12"/>
        <v>0</v>
      </c>
      <c r="G24" s="1"/>
      <c r="H24" s="1">
        <f>SUM(OSRRefH22_1x_0)</f>
        <v>-1</v>
      </c>
      <c r="I24" s="1"/>
      <c r="J24" s="5">
        <f t="shared" si="13"/>
        <v>-1.6418474067020209E-3</v>
      </c>
      <c r="K24" s="1"/>
      <c r="L24" s="1">
        <f t="shared" si="14"/>
        <v>1</v>
      </c>
      <c r="M24" s="1"/>
      <c r="N24" s="5">
        <f t="shared" si="15"/>
        <v>-1</v>
      </c>
      <c r="O24" s="14"/>
      <c r="P24" s="1">
        <f>SUM(OSRRefP22_1x_0)</f>
        <v>0</v>
      </c>
      <c r="Q24" s="1"/>
      <c r="R24" s="5">
        <f t="shared" si="16"/>
        <v>0</v>
      </c>
      <c r="S24" s="1"/>
      <c r="T24" s="1">
        <f>SUM(OSRRefT22_1x_0)</f>
        <v>-1</v>
      </c>
      <c r="U24" s="1"/>
      <c r="V24" s="5">
        <f t="shared" si="17"/>
        <v>-1.6418474067020209E-3</v>
      </c>
      <c r="W24" s="1"/>
      <c r="X24" s="1">
        <f t="shared" si="18"/>
        <v>1</v>
      </c>
      <c r="Y24" s="1"/>
      <c r="Z24" s="5">
        <f t="shared" si="19"/>
        <v>-1</v>
      </c>
    </row>
    <row r="25" spans="1:26" s="24" customFormat="1" hidden="1" outlineLevel="2" x14ac:dyDescent="0.25">
      <c r="A25" s="29"/>
      <c r="B25" s="11" t="str">
        <f>CONCATENATE("          ", "6272", " - ", "CASH (OVER/SHORT)")</f>
        <v xml:space="preserve">          6272 - CASH (OVER/SHORT)</v>
      </c>
      <c r="C25" s="11"/>
      <c r="D25" s="8"/>
      <c r="E25" s="3"/>
      <c r="F25" s="7">
        <f t="shared" si="12"/>
        <v>0</v>
      </c>
      <c r="G25" s="3"/>
      <c r="H25" s="8">
        <v>-1</v>
      </c>
      <c r="I25" s="3"/>
      <c r="J25" s="7">
        <f t="shared" si="13"/>
        <v>-1.6418474067020209E-3</v>
      </c>
      <c r="K25" s="3"/>
      <c r="L25" s="8">
        <f t="shared" si="14"/>
        <v>1</v>
      </c>
      <c r="M25" s="3"/>
      <c r="N25" s="7">
        <f t="shared" si="15"/>
        <v>-1</v>
      </c>
      <c r="O25" s="11"/>
      <c r="P25" s="8"/>
      <c r="Q25" s="3"/>
      <c r="R25" s="7">
        <f t="shared" si="16"/>
        <v>0</v>
      </c>
      <c r="S25" s="3"/>
      <c r="T25" s="8">
        <v>-1</v>
      </c>
      <c r="U25" s="3"/>
      <c r="V25" s="7">
        <f t="shared" si="17"/>
        <v>-1.6418474067020209E-3</v>
      </c>
      <c r="W25" s="3"/>
      <c r="X25" s="8">
        <f t="shared" si="18"/>
        <v>1</v>
      </c>
      <c r="Y25" s="3"/>
      <c r="Z25" s="7">
        <f t="shared" si="19"/>
        <v>-1</v>
      </c>
    </row>
    <row r="26" spans="1:26" s="27" customFormat="1" outlineLevel="1" collapsed="1" x14ac:dyDescent="0.25">
      <c r="A26" s="28"/>
      <c r="B26" s="14" t="str">
        <f>CONCATENATE("     ","Depreciation                                      ")</f>
        <v xml:space="preserve">     Depreciation                                      </v>
      </c>
      <c r="C26" s="14"/>
      <c r="D26" s="1">
        <f>SUM(OSRRefD22_2x_0)</f>
        <v>479.29</v>
      </c>
      <c r="E26" s="1"/>
      <c r="F26" s="5">
        <f t="shared" si="12"/>
        <v>0</v>
      </c>
      <c r="G26" s="1"/>
      <c r="H26" s="1">
        <f>SUM(OSRRefH22_2x_0)</f>
        <v>0</v>
      </c>
      <c r="I26" s="1"/>
      <c r="J26" s="5">
        <f t="shared" si="13"/>
        <v>0</v>
      </c>
      <c r="K26" s="1"/>
      <c r="L26" s="1">
        <f t="shared" si="14"/>
        <v>479.29</v>
      </c>
      <c r="M26" s="1"/>
      <c r="N26" s="5">
        <f t="shared" si="15"/>
        <v>0</v>
      </c>
      <c r="O26" s="14"/>
      <c r="P26" s="1">
        <f>SUM(OSRRefP22_2x_0)</f>
        <v>479.29</v>
      </c>
      <c r="Q26" s="1"/>
      <c r="R26" s="5">
        <f t="shared" si="16"/>
        <v>0</v>
      </c>
      <c r="S26" s="1"/>
      <c r="T26" s="1">
        <f>SUM(OSRRefT22_2x_0)</f>
        <v>0</v>
      </c>
      <c r="U26" s="1"/>
      <c r="V26" s="5">
        <f t="shared" si="17"/>
        <v>0</v>
      </c>
      <c r="W26" s="1"/>
      <c r="X26" s="1">
        <f t="shared" si="18"/>
        <v>479.29</v>
      </c>
      <c r="Y26" s="1"/>
      <c r="Z26" s="5">
        <f t="shared" si="19"/>
        <v>0</v>
      </c>
    </row>
    <row r="27" spans="1:26" s="24" customFormat="1" hidden="1" outlineLevel="2" x14ac:dyDescent="0.25">
      <c r="A27" s="29"/>
      <c r="B27" s="11" t="str">
        <f>CONCATENATE("          ", "6322", " - ", "EQUIPMENT DEPRECIATION EXPENSE")</f>
        <v xml:space="preserve">          6322 - EQUIPMENT DEPRECIATION EXPENSE</v>
      </c>
      <c r="C27" s="11"/>
      <c r="D27" s="8">
        <v>479.29</v>
      </c>
      <c r="E27" s="3"/>
      <c r="F27" s="7">
        <f t="shared" si="12"/>
        <v>0</v>
      </c>
      <c r="G27" s="3"/>
      <c r="H27" s="8"/>
      <c r="I27" s="3"/>
      <c r="J27" s="7">
        <f t="shared" si="13"/>
        <v>0</v>
      </c>
      <c r="K27" s="3"/>
      <c r="L27" s="8">
        <f t="shared" si="14"/>
        <v>479.29</v>
      </c>
      <c r="M27" s="3"/>
      <c r="N27" s="7">
        <f t="shared" si="15"/>
        <v>0</v>
      </c>
      <c r="O27" s="11"/>
      <c r="P27" s="8">
        <v>479.29</v>
      </c>
      <c r="Q27" s="3"/>
      <c r="R27" s="7">
        <f t="shared" si="16"/>
        <v>0</v>
      </c>
      <c r="S27" s="3"/>
      <c r="T27" s="8"/>
      <c r="U27" s="3"/>
      <c r="V27" s="7">
        <f t="shared" si="17"/>
        <v>0</v>
      </c>
      <c r="W27" s="3"/>
      <c r="X27" s="8">
        <f t="shared" si="18"/>
        <v>479.29</v>
      </c>
      <c r="Y27" s="3"/>
      <c r="Z27" s="7">
        <f t="shared" si="19"/>
        <v>0</v>
      </c>
    </row>
    <row r="28" spans="1:26" s="27" customFormat="1" outlineLevel="1" collapsed="1" x14ac:dyDescent="0.25">
      <c r="A28" s="28"/>
      <c r="B28" s="14" t="str">
        <f>CONCATENATE("     ","Employees' Appreciation                           ")</f>
        <v xml:space="preserve">     Employees' Appreciation                           </v>
      </c>
      <c r="C28" s="14"/>
      <c r="D28" s="1">
        <f>SUM(OSRRefD22_3x_0)</f>
        <v>0</v>
      </c>
      <c r="E28" s="1"/>
      <c r="F28" s="5">
        <f t="shared" si="12"/>
        <v>0</v>
      </c>
      <c r="G28" s="1"/>
      <c r="H28" s="1">
        <f>SUM(OSRRefH22_3x_0)</f>
        <v>48.55</v>
      </c>
      <c r="I28" s="1"/>
      <c r="J28" s="5">
        <f t="shared" si="13"/>
        <v>7.9711691595383119E-2</v>
      </c>
      <c r="K28" s="1"/>
      <c r="L28" s="1">
        <f t="shared" si="14"/>
        <v>-48.55</v>
      </c>
      <c r="M28" s="1"/>
      <c r="N28" s="5">
        <f t="shared" si="15"/>
        <v>-1</v>
      </c>
      <c r="O28" s="14"/>
      <c r="P28" s="1">
        <f>SUM(OSRRefP22_3x_0)</f>
        <v>0</v>
      </c>
      <c r="Q28" s="1"/>
      <c r="R28" s="5">
        <f t="shared" si="16"/>
        <v>0</v>
      </c>
      <c r="S28" s="1"/>
      <c r="T28" s="1">
        <f>SUM(OSRRefT22_3x_0)</f>
        <v>48.55</v>
      </c>
      <c r="U28" s="1"/>
      <c r="V28" s="5">
        <f t="shared" si="17"/>
        <v>7.9711691595383119E-2</v>
      </c>
      <c r="W28" s="1"/>
      <c r="X28" s="1">
        <f t="shared" si="18"/>
        <v>-48.55</v>
      </c>
      <c r="Y28" s="1"/>
      <c r="Z28" s="5">
        <f t="shared" si="19"/>
        <v>-1</v>
      </c>
    </row>
    <row r="29" spans="1:26" s="24" customFormat="1" hidden="1" outlineLevel="2" x14ac:dyDescent="0.25">
      <c r="A29" s="29"/>
      <c r="B29" s="11" t="str">
        <f>CONCATENATE("          ", "6277", " - ", "EMPLOYEE APPRECIATION")</f>
        <v xml:space="preserve">          6277 - EMPLOYEE APPRECIATION</v>
      </c>
      <c r="C29" s="11"/>
      <c r="D29" s="8"/>
      <c r="E29" s="3"/>
      <c r="F29" s="7">
        <f t="shared" si="12"/>
        <v>0</v>
      </c>
      <c r="G29" s="3"/>
      <c r="H29" s="8">
        <v>48.55</v>
      </c>
      <c r="I29" s="3"/>
      <c r="J29" s="7">
        <f t="shared" si="13"/>
        <v>7.9711691595383119E-2</v>
      </c>
      <c r="K29" s="3"/>
      <c r="L29" s="8">
        <f t="shared" si="14"/>
        <v>-48.55</v>
      </c>
      <c r="M29" s="3"/>
      <c r="N29" s="7">
        <f t="shared" si="15"/>
        <v>-1</v>
      </c>
      <c r="O29" s="11"/>
      <c r="P29" s="8"/>
      <c r="Q29" s="3"/>
      <c r="R29" s="7">
        <f t="shared" si="16"/>
        <v>0</v>
      </c>
      <c r="S29" s="3"/>
      <c r="T29" s="8">
        <v>48.55</v>
      </c>
      <c r="U29" s="3"/>
      <c r="V29" s="7">
        <f t="shared" si="17"/>
        <v>7.9711691595383119E-2</v>
      </c>
      <c r="W29" s="3"/>
      <c r="X29" s="8">
        <f t="shared" si="18"/>
        <v>-48.55</v>
      </c>
      <c r="Y29" s="3"/>
      <c r="Z29" s="7">
        <f t="shared" si="19"/>
        <v>-1</v>
      </c>
    </row>
    <row r="30" spans="1:26" s="27" customFormat="1" outlineLevel="1" collapsed="1" x14ac:dyDescent="0.25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SUM(OSRRefD22_4x_0)</f>
        <v>519.54999999999995</v>
      </c>
      <c r="E30" s="1"/>
      <c r="F30" s="5">
        <f t="shared" si="12"/>
        <v>0</v>
      </c>
      <c r="G30" s="1"/>
      <c r="H30" s="1">
        <f>SUM(OSRRefH22_4x_0)</f>
        <v>1464.1</v>
      </c>
      <c r="I30" s="1"/>
      <c r="J30" s="5">
        <f t="shared" si="13"/>
        <v>2.403828788152429</v>
      </c>
      <c r="K30" s="1"/>
      <c r="L30" s="1">
        <f t="shared" si="14"/>
        <v>-944.55</v>
      </c>
      <c r="M30" s="1"/>
      <c r="N30" s="5">
        <f t="shared" si="15"/>
        <v>-0.64514035926507751</v>
      </c>
      <c r="O30" s="14"/>
      <c r="P30" s="1">
        <f>SUM(OSRRefP22_4x_0)</f>
        <v>519.54999999999995</v>
      </c>
      <c r="Q30" s="1"/>
      <c r="R30" s="5">
        <f t="shared" si="16"/>
        <v>0</v>
      </c>
      <c r="S30" s="1"/>
      <c r="T30" s="1">
        <f>SUM(OSRRefT22_4x_0)</f>
        <v>1464.1</v>
      </c>
      <c r="U30" s="1"/>
      <c r="V30" s="5">
        <f t="shared" si="17"/>
        <v>2.403828788152429</v>
      </c>
      <c r="W30" s="1"/>
      <c r="X30" s="1">
        <f t="shared" si="18"/>
        <v>-944.55</v>
      </c>
      <c r="Y30" s="1"/>
      <c r="Z30" s="5">
        <f t="shared" si="19"/>
        <v>-0.64514035926507751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8">
        <v>519.54999999999995</v>
      </c>
      <c r="E31" s="3"/>
      <c r="F31" s="7">
        <f t="shared" si="12"/>
        <v>0</v>
      </c>
      <c r="G31" s="3"/>
      <c r="H31" s="8">
        <v>1464.1</v>
      </c>
      <c r="I31" s="3"/>
      <c r="J31" s="7">
        <f t="shared" si="13"/>
        <v>2.403828788152429</v>
      </c>
      <c r="K31" s="3"/>
      <c r="L31" s="8">
        <f t="shared" si="14"/>
        <v>-944.55</v>
      </c>
      <c r="M31" s="3"/>
      <c r="N31" s="7">
        <f t="shared" si="15"/>
        <v>-0.64514035926507751</v>
      </c>
      <c r="O31" s="11"/>
      <c r="P31" s="8">
        <v>519.54999999999995</v>
      </c>
      <c r="Q31" s="3"/>
      <c r="R31" s="7">
        <f t="shared" si="16"/>
        <v>0</v>
      </c>
      <c r="S31" s="3"/>
      <c r="T31" s="8">
        <v>1464.1</v>
      </c>
      <c r="U31" s="3"/>
      <c r="V31" s="7">
        <f t="shared" si="17"/>
        <v>2.403828788152429</v>
      </c>
      <c r="W31" s="3"/>
      <c r="X31" s="8">
        <f t="shared" si="18"/>
        <v>-944.55</v>
      </c>
      <c r="Y31" s="3"/>
      <c r="Z31" s="7">
        <f t="shared" si="19"/>
        <v>-0.64514035926507751</v>
      </c>
    </row>
    <row r="32" spans="1:26" s="27" customFormat="1" outlineLevel="1" collapsed="1" x14ac:dyDescent="0.25">
      <c r="A32" s="28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SUM(OSRRefD22_5x_0)</f>
        <v>0</v>
      </c>
      <c r="E32" s="1"/>
      <c r="F32" s="5">
        <f t="shared" si="12"/>
        <v>0</v>
      </c>
      <c r="G32" s="1"/>
      <c r="H32" s="1">
        <f>SUM(OSRRefH22_5x_0)</f>
        <v>138.08000000000001</v>
      </c>
      <c r="I32" s="1"/>
      <c r="J32" s="5">
        <f t="shared" si="13"/>
        <v>0.22670628991741507</v>
      </c>
      <c r="K32" s="1"/>
      <c r="L32" s="1">
        <f t="shared" si="14"/>
        <v>-138.08000000000001</v>
      </c>
      <c r="M32" s="1"/>
      <c r="N32" s="5">
        <f t="shared" si="15"/>
        <v>-1</v>
      </c>
      <c r="O32" s="14"/>
      <c r="P32" s="1">
        <f>SUM(OSRRefP22_5x_0)</f>
        <v>0</v>
      </c>
      <c r="Q32" s="1"/>
      <c r="R32" s="5">
        <f t="shared" si="16"/>
        <v>0</v>
      </c>
      <c r="S32" s="1"/>
      <c r="T32" s="1">
        <f>SUM(OSRRefT22_5x_0)</f>
        <v>138.08000000000001</v>
      </c>
      <c r="U32" s="1"/>
      <c r="V32" s="5">
        <f t="shared" si="17"/>
        <v>0.22670628991741507</v>
      </c>
      <c r="W32" s="1"/>
      <c r="X32" s="1">
        <f t="shared" si="18"/>
        <v>-138.08000000000001</v>
      </c>
      <c r="Y32" s="1"/>
      <c r="Z32" s="5">
        <f t="shared" si="19"/>
        <v>-1</v>
      </c>
    </row>
    <row r="33" spans="1:26" s="24" customFormat="1" hidden="1" outlineLevel="2" x14ac:dyDescent="0.25">
      <c r="A33" s="29"/>
      <c r="B33" s="11" t="str">
        <f>CONCATENATE("          ", "6375", " - ", "OUTSIDE REPAIRS &amp; MAINTENANCE")</f>
        <v xml:space="preserve">          6375 - OUTSIDE REPAIRS &amp; MAINTENANCE</v>
      </c>
      <c r="C33" s="11"/>
      <c r="D33" s="8"/>
      <c r="E33" s="3"/>
      <c r="F33" s="7">
        <f t="shared" si="12"/>
        <v>0</v>
      </c>
      <c r="G33" s="3"/>
      <c r="H33" s="8">
        <v>138.08000000000001</v>
      </c>
      <c r="I33" s="3"/>
      <c r="J33" s="7">
        <f t="shared" si="13"/>
        <v>0.22670628991741507</v>
      </c>
      <c r="K33" s="3"/>
      <c r="L33" s="8">
        <f t="shared" si="14"/>
        <v>-138.08000000000001</v>
      </c>
      <c r="M33" s="3"/>
      <c r="N33" s="7">
        <f t="shared" si="15"/>
        <v>-1</v>
      </c>
      <c r="O33" s="11"/>
      <c r="P33" s="8"/>
      <c r="Q33" s="3"/>
      <c r="R33" s="7">
        <f t="shared" si="16"/>
        <v>0</v>
      </c>
      <c r="S33" s="3"/>
      <c r="T33" s="8">
        <v>138.08000000000001</v>
      </c>
      <c r="U33" s="3"/>
      <c r="V33" s="7">
        <f t="shared" si="17"/>
        <v>0.22670628991741507</v>
      </c>
      <c r="W33" s="3"/>
      <c r="X33" s="8">
        <f t="shared" si="18"/>
        <v>-138.08000000000001</v>
      </c>
      <c r="Y33" s="3"/>
      <c r="Z33" s="7">
        <f t="shared" si="19"/>
        <v>-1</v>
      </c>
    </row>
    <row r="34" spans="1:26" s="27" customFormat="1" outlineLevel="1" collapsed="1" x14ac:dyDescent="0.25">
      <c r="A34" s="28"/>
      <c r="B34" s="14" t="str">
        <f>CONCATENATE("     ","Royalty &amp; Commissions                             ")</f>
        <v xml:space="preserve">     Royalty &amp; Commissions                             </v>
      </c>
      <c r="C34" s="14"/>
      <c r="D34" s="1">
        <f>SUM(OSRRefD22_6x_0)</f>
        <v>0</v>
      </c>
      <c r="E34" s="1"/>
      <c r="F34" s="5">
        <f t="shared" si="12"/>
        <v>0</v>
      </c>
      <c r="G34" s="1"/>
      <c r="H34" s="1">
        <f>SUM(OSRRefH22_6x_0)</f>
        <v>273.10000000000002</v>
      </c>
      <c r="I34" s="1"/>
      <c r="J34" s="5">
        <f t="shared" si="13"/>
        <v>0.44838852677032198</v>
      </c>
      <c r="K34" s="1"/>
      <c r="L34" s="1">
        <f t="shared" si="14"/>
        <v>-273.10000000000002</v>
      </c>
      <c r="M34" s="1"/>
      <c r="N34" s="5">
        <f t="shared" si="15"/>
        <v>-1</v>
      </c>
      <c r="O34" s="14"/>
      <c r="P34" s="1">
        <f>SUM(OSRRefP22_6x_0)</f>
        <v>0</v>
      </c>
      <c r="Q34" s="1"/>
      <c r="R34" s="5">
        <f t="shared" si="16"/>
        <v>0</v>
      </c>
      <c r="S34" s="1"/>
      <c r="T34" s="1">
        <f>SUM(OSRRefT22_6x_0)</f>
        <v>273.10000000000002</v>
      </c>
      <c r="U34" s="1"/>
      <c r="V34" s="5">
        <f t="shared" si="17"/>
        <v>0.44838852677032198</v>
      </c>
      <c r="W34" s="1"/>
      <c r="X34" s="1">
        <f t="shared" si="18"/>
        <v>-273.10000000000002</v>
      </c>
      <c r="Y34" s="1"/>
      <c r="Z34" s="5">
        <f t="shared" si="19"/>
        <v>-1</v>
      </c>
    </row>
    <row r="35" spans="1:26" s="24" customFormat="1" hidden="1" outlineLevel="2" x14ac:dyDescent="0.25">
      <c r="A35" s="29"/>
      <c r="B35" s="11" t="str">
        <f>CONCATENATE("          ", "6254", " - ", "ROYALTY &amp; COMMISSIONS")</f>
        <v xml:space="preserve">          6254 - ROYALTY &amp; COMMISSIONS</v>
      </c>
      <c r="C35" s="11"/>
      <c r="D35" s="8"/>
      <c r="E35" s="3"/>
      <c r="F35" s="7">
        <f t="shared" si="12"/>
        <v>0</v>
      </c>
      <c r="G35" s="3"/>
      <c r="H35" s="8">
        <v>273.10000000000002</v>
      </c>
      <c r="I35" s="3"/>
      <c r="J35" s="7">
        <f t="shared" si="13"/>
        <v>0.44838852677032198</v>
      </c>
      <c r="K35" s="3"/>
      <c r="L35" s="8">
        <f t="shared" si="14"/>
        <v>-273.10000000000002</v>
      </c>
      <c r="M35" s="3"/>
      <c r="N35" s="7">
        <f t="shared" si="15"/>
        <v>-1</v>
      </c>
      <c r="O35" s="11"/>
      <c r="P35" s="8"/>
      <c r="Q35" s="3"/>
      <c r="R35" s="7">
        <f t="shared" si="16"/>
        <v>0</v>
      </c>
      <c r="S35" s="3"/>
      <c r="T35" s="8">
        <v>273.10000000000002</v>
      </c>
      <c r="U35" s="3"/>
      <c r="V35" s="7">
        <f t="shared" si="17"/>
        <v>0.44838852677032198</v>
      </c>
      <c r="W35" s="3"/>
      <c r="X35" s="8">
        <f t="shared" si="18"/>
        <v>-273.10000000000002</v>
      </c>
      <c r="Y35" s="3"/>
      <c r="Z35" s="7">
        <f t="shared" si="19"/>
        <v>-1</v>
      </c>
    </row>
    <row r="36" spans="1:26" s="27" customFormat="1" outlineLevel="1" collapsed="1" x14ac:dyDescent="0.25">
      <c r="A36" s="28"/>
      <c r="B36" s="14" t="str">
        <f>CONCATENATE("     ","Telephone/Data Lines                              ")</f>
        <v xml:space="preserve">     Telephone/Data Lines                              </v>
      </c>
      <c r="C36" s="14"/>
      <c r="D36" s="1">
        <f>SUM(OSRRefD22_7x_0)</f>
        <v>214.01</v>
      </c>
      <c r="E36" s="1"/>
      <c r="F36" s="5">
        <f t="shared" si="12"/>
        <v>0</v>
      </c>
      <c r="G36" s="1"/>
      <c r="H36" s="1">
        <f>SUM(OSRRefH22_7x_0)</f>
        <v>-83.99</v>
      </c>
      <c r="I36" s="1"/>
      <c r="J36" s="5">
        <f t="shared" si="13"/>
        <v>-0.13789876368890272</v>
      </c>
      <c r="K36" s="1"/>
      <c r="L36" s="1">
        <f t="shared" si="14"/>
        <v>298</v>
      </c>
      <c r="M36" s="1"/>
      <c r="N36" s="5">
        <f t="shared" si="15"/>
        <v>-3.5480414335039887</v>
      </c>
      <c r="O36" s="14"/>
      <c r="P36" s="1">
        <f>SUM(OSRRefP22_7x_0)</f>
        <v>214.01</v>
      </c>
      <c r="Q36" s="1"/>
      <c r="R36" s="5">
        <f t="shared" si="16"/>
        <v>0</v>
      </c>
      <c r="S36" s="1"/>
      <c r="T36" s="1">
        <f>SUM(OSRRefT22_7x_0)</f>
        <v>-83.99</v>
      </c>
      <c r="U36" s="1"/>
      <c r="V36" s="5">
        <f t="shared" si="17"/>
        <v>-0.13789876368890272</v>
      </c>
      <c r="W36" s="1"/>
      <c r="X36" s="1">
        <f t="shared" si="18"/>
        <v>298</v>
      </c>
      <c r="Y36" s="1"/>
      <c r="Z36" s="5">
        <f t="shared" si="19"/>
        <v>-3.5480414335039887</v>
      </c>
    </row>
    <row r="37" spans="1:26" s="24" customFormat="1" hidden="1" outlineLevel="2" x14ac:dyDescent="0.25">
      <c r="A37" s="29"/>
      <c r="B37" s="11" t="str">
        <f>CONCATENATE("          ", "6309", " - ", "TELEPHONE")</f>
        <v xml:space="preserve">          6309 - TELEPHONE</v>
      </c>
      <c r="C37" s="11"/>
      <c r="D37" s="8">
        <v>214.01</v>
      </c>
      <c r="E37" s="3"/>
      <c r="F37" s="7">
        <f t="shared" si="12"/>
        <v>0</v>
      </c>
      <c r="G37" s="3"/>
      <c r="H37" s="8">
        <v>-83.99</v>
      </c>
      <c r="I37" s="3"/>
      <c r="J37" s="7">
        <f t="shared" si="13"/>
        <v>-0.13789876368890272</v>
      </c>
      <c r="K37" s="3"/>
      <c r="L37" s="8">
        <f t="shared" si="14"/>
        <v>298</v>
      </c>
      <c r="M37" s="3"/>
      <c r="N37" s="7">
        <f t="shared" si="15"/>
        <v>-3.5480414335039887</v>
      </c>
      <c r="O37" s="11"/>
      <c r="P37" s="8">
        <v>214.01</v>
      </c>
      <c r="Q37" s="3"/>
      <c r="R37" s="7">
        <f t="shared" si="16"/>
        <v>0</v>
      </c>
      <c r="S37" s="3"/>
      <c r="T37" s="8">
        <v>-83.99</v>
      </c>
      <c r="U37" s="3"/>
      <c r="V37" s="7">
        <f t="shared" si="17"/>
        <v>-0.13789876368890272</v>
      </c>
      <c r="W37" s="3"/>
      <c r="X37" s="8">
        <f t="shared" si="18"/>
        <v>298</v>
      </c>
      <c r="Y37" s="3"/>
      <c r="Z37" s="7">
        <f t="shared" si="19"/>
        <v>-3.5480414335039887</v>
      </c>
    </row>
    <row r="38" spans="1:26" s="61" customFormat="1" x14ac:dyDescent="0.25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collapsed="1" x14ac:dyDescent="0.25">
      <c r="A39" s="10"/>
      <c r="B39" s="25" t="s">
        <v>0</v>
      </c>
      <c r="C39" s="10"/>
      <c r="D39" s="4">
        <f>SUM(OSRRefD25x_0)</f>
        <v>0</v>
      </c>
      <c r="E39" s="4"/>
      <c r="F39" s="12">
        <f t="shared" ref="F39:F40" si="20">IF(D$12=0,0,D39/D$12)</f>
        <v>0</v>
      </c>
      <c r="G39" s="4"/>
      <c r="H39" s="4">
        <f>SUM(OSRRefH25x_0)</f>
        <v>546.20000000000005</v>
      </c>
      <c r="I39" s="4"/>
      <c r="J39" s="12">
        <f t="shared" ref="J39:J40" si="21">IF(H$12=0,0,H39/H$12)</f>
        <v>0.89677705354064396</v>
      </c>
      <c r="K39" s="4"/>
      <c r="L39" s="4">
        <f t="shared" ref="L39:L40" si="22">+D39-H39</f>
        <v>-546.20000000000005</v>
      </c>
      <c r="M39" s="4"/>
      <c r="N39" s="12">
        <f t="shared" ref="N39:N40" si="23">IF(H39=0,0,L39/H39)</f>
        <v>-1</v>
      </c>
      <c r="O39" s="10"/>
      <c r="P39" s="4">
        <f>SUM(OSRRefP25x_0)</f>
        <v>0</v>
      </c>
      <c r="Q39" s="4"/>
      <c r="R39" s="12">
        <f t="shared" ref="R39:R40" si="24">IF(P$12=0,0,P39/P$12)</f>
        <v>0</v>
      </c>
      <c r="S39" s="4"/>
      <c r="T39" s="4">
        <f>SUM(OSRRefT25x_0)</f>
        <v>546.20000000000005</v>
      </c>
      <c r="U39" s="4"/>
      <c r="V39" s="12">
        <f t="shared" ref="V39:V40" si="25">IF(T$12=0,0,T39/T$12)</f>
        <v>0.89677705354064396</v>
      </c>
      <c r="W39" s="4"/>
      <c r="X39" s="4">
        <f t="shared" ref="X39:X40" si="26">+P39-T39</f>
        <v>-546.20000000000005</v>
      </c>
      <c r="Y39" s="4"/>
      <c r="Z39" s="12">
        <f t="shared" ref="Z39:Z40" si="27">IF(T39=0,0,X39/T39)</f>
        <v>-1</v>
      </c>
    </row>
    <row r="40" spans="1:26" s="24" customFormat="1" hidden="1" outlineLevel="1" x14ac:dyDescent="0.25">
      <c r="A40" s="50"/>
      <c r="B40" s="11" t="str">
        <f>CONCATENATE("          ", "9150", " - ", "MISC. INCOME")</f>
        <v xml:space="preserve">          9150 - MISC. INCOME</v>
      </c>
      <c r="C40" s="11"/>
      <c r="D40" s="3">
        <f>0</f>
        <v>0</v>
      </c>
      <c r="E40" s="3"/>
      <c r="F40" s="22">
        <f t="shared" si="20"/>
        <v>0</v>
      </c>
      <c r="G40" s="3"/>
      <c r="H40" s="3">
        <f>--546.2</f>
        <v>546.20000000000005</v>
      </c>
      <c r="I40" s="3"/>
      <c r="J40" s="22">
        <f t="shared" si="21"/>
        <v>0.89677705354064396</v>
      </c>
      <c r="K40" s="3"/>
      <c r="L40" s="3">
        <f t="shared" si="22"/>
        <v>-546.20000000000005</v>
      </c>
      <c r="M40" s="3"/>
      <c r="N40" s="22">
        <f t="shared" si="23"/>
        <v>-1</v>
      </c>
      <c r="O40" s="11"/>
      <c r="P40" s="3">
        <f>0</f>
        <v>0</v>
      </c>
      <c r="Q40" s="3"/>
      <c r="R40" s="22">
        <f t="shared" si="24"/>
        <v>0</v>
      </c>
      <c r="S40" s="3"/>
      <c r="T40" s="3">
        <f>--546.2</f>
        <v>546.20000000000005</v>
      </c>
      <c r="U40" s="3"/>
      <c r="V40" s="22">
        <f t="shared" si="25"/>
        <v>0.89677705354064396</v>
      </c>
      <c r="W40" s="3"/>
      <c r="X40" s="3">
        <f t="shared" si="26"/>
        <v>-546.20000000000005</v>
      </c>
      <c r="Y40" s="3"/>
      <c r="Z40" s="22">
        <f t="shared" si="27"/>
        <v>-1</v>
      </c>
    </row>
    <row r="41" spans="1:26" x14ac:dyDescent="0.25">
      <c r="A41" s="9"/>
      <c r="B41" s="10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10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25">
      <c r="A42" s="10"/>
      <c r="B42" s="26" t="s">
        <v>3</v>
      </c>
      <c r="C42" s="26"/>
      <c r="D42" s="19">
        <f>+D19-D21+D39</f>
        <v>-1212.8499999999999</v>
      </c>
      <c r="E42" s="13"/>
      <c r="F42" s="20">
        <f>IF(D$12=0,0,D42/D$12)</f>
        <v>0</v>
      </c>
      <c r="G42" s="13"/>
      <c r="H42" s="19">
        <f>+H19-H21+H39</f>
        <v>-1570.4699999999991</v>
      </c>
      <c r="I42" s="13"/>
      <c r="J42" s="20">
        <f>IF(H$12=0,0,H42/H$12)</f>
        <v>-2.5784720968033215</v>
      </c>
      <c r="K42" s="16"/>
      <c r="L42" s="19">
        <f>+D42-H42</f>
        <v>357.61999999999921</v>
      </c>
      <c r="M42" s="16"/>
      <c r="N42" s="20">
        <f>IF(H42=0,0,L42/H42)</f>
        <v>-0.22771526995103339</v>
      </c>
      <c r="O42" s="25"/>
      <c r="P42" s="19">
        <f>+P19-P21+P39</f>
        <v>-1212.8499999999999</v>
      </c>
      <c r="Q42" s="13"/>
      <c r="R42" s="20">
        <f>IF(P$12=0,0,P42/P$12)</f>
        <v>0</v>
      </c>
      <c r="S42" s="13"/>
      <c r="T42" s="19">
        <f>+T19-T21+T39</f>
        <v>-1570.4699999999991</v>
      </c>
      <c r="U42" s="13"/>
      <c r="V42" s="20">
        <f>IF(T$12=0,0,T42/T$12)</f>
        <v>-2.5784720968033215</v>
      </c>
      <c r="W42" s="16"/>
      <c r="X42" s="19">
        <f>+P42-T42</f>
        <v>357.61999999999921</v>
      </c>
      <c r="Y42" s="16"/>
      <c r="Z42" s="20">
        <f>IF(T42=0,0,X42/T42)</f>
        <v>-0.22771526995103339</v>
      </c>
    </row>
    <row r="43" spans="1:26" x14ac:dyDescent="0.25">
      <c r="A43" s="9"/>
      <c r="B43" s="10"/>
      <c r="C43" s="9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51"/>
      <c r="B44" s="10" t="s">
        <v>13</v>
      </c>
      <c r="C44" s="10"/>
      <c r="D44" s="4"/>
      <c r="E44" s="4"/>
      <c r="F44" s="12">
        <f>IF(D$12=0,0,D44/D$12)</f>
        <v>0</v>
      </c>
      <c r="G44" s="4"/>
      <c r="H44" s="4">
        <v>126.64</v>
      </c>
      <c r="I44" s="4"/>
      <c r="J44" s="12">
        <f>IF(H$12=0,0,H44/H$12)</f>
        <v>0.20792355558474393</v>
      </c>
      <c r="K44" s="4"/>
      <c r="L44" s="4">
        <f>+D44-H44</f>
        <v>-126.64</v>
      </c>
      <c r="M44" s="4"/>
      <c r="N44" s="12">
        <f>IF(H44=0,0,L44/H44)</f>
        <v>-1</v>
      </c>
      <c r="O44" s="10"/>
      <c r="P44" s="4"/>
      <c r="Q44" s="4"/>
      <c r="R44" s="12">
        <f>IF(P$12=0,0,P44/P$12)</f>
        <v>0</v>
      </c>
      <c r="S44" s="4"/>
      <c r="T44" s="4">
        <v>126.64</v>
      </c>
      <c r="U44" s="4"/>
      <c r="V44" s="12">
        <f>IF(T$12=0,0,T44/T$12)</f>
        <v>0.20792355558474393</v>
      </c>
      <c r="W44" s="4"/>
      <c r="X44" s="4">
        <f>+P44-T44</f>
        <v>-126.64</v>
      </c>
      <c r="Y44" s="4"/>
      <c r="Z44" s="12">
        <f>IF(T44=0,0,X44/T44)</f>
        <v>-1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ht="15.75" thickBot="1" x14ac:dyDescent="0.3">
      <c r="A46" s="10"/>
      <c r="B46" s="26" t="s">
        <v>4</v>
      </c>
      <c r="C46" s="26"/>
      <c r="D46" s="35">
        <f>+D42-D44</f>
        <v>-1212.8499999999999</v>
      </c>
      <c r="E46" s="13"/>
      <c r="F46" s="30">
        <f>IF(D$12=0,0,D46/D$12)</f>
        <v>0</v>
      </c>
      <c r="G46" s="13"/>
      <c r="H46" s="35">
        <f>+H42-H44</f>
        <v>-1697.1099999999992</v>
      </c>
      <c r="I46" s="13"/>
      <c r="J46" s="30">
        <f>IF(H$12=0,0,H46/H$12)</f>
        <v>-2.7863956523880655</v>
      </c>
      <c r="K46" s="16"/>
      <c r="L46" s="35">
        <f>D46-H46</f>
        <v>484.25999999999931</v>
      </c>
      <c r="M46" s="16"/>
      <c r="N46" s="30">
        <f>IF(H46=0,0,L46/H46)</f>
        <v>-0.28534390817330613</v>
      </c>
      <c r="O46" s="25"/>
      <c r="P46" s="35">
        <f>+P42-P44</f>
        <v>-1212.8499999999999</v>
      </c>
      <c r="Q46" s="13"/>
      <c r="R46" s="30">
        <f>IF(P$12=0,0,P46/P$12)</f>
        <v>0</v>
      </c>
      <c r="S46" s="13"/>
      <c r="T46" s="35">
        <f>+T42-T44</f>
        <v>-1697.1099999999992</v>
      </c>
      <c r="U46" s="13"/>
      <c r="V46" s="30">
        <f>IF(T$12=0,0,T46/T$12)</f>
        <v>-2.7863956523880655</v>
      </c>
      <c r="W46" s="16"/>
      <c r="X46" s="35">
        <f>P46-T46</f>
        <v>484.25999999999931</v>
      </c>
      <c r="Y46" s="16"/>
      <c r="Z46" s="30">
        <f>IF(T46=0,0,X46/T46)</f>
        <v>-0.28534390817330613</v>
      </c>
    </row>
    <row r="47" spans="1:26" ht="15.75" thickTop="1" x14ac:dyDescent="0.25">
      <c r="A47" s="9"/>
      <c r="B47" s="9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x14ac:dyDescent="0.25">
      <c r="A48" s="9"/>
      <c r="B48" s="9"/>
      <c r="C48" s="9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ht="15.75" thickBot="1" x14ac:dyDescent="0.3">
      <c r="A49" s="10"/>
      <c r="B49" s="26" t="s">
        <v>5</v>
      </c>
      <c r="C49" s="26"/>
      <c r="D49" s="31">
        <f>SUM(D46:D48)</f>
        <v>-1212.8499999999999</v>
      </c>
      <c r="E49" s="13"/>
      <c r="F49" s="32">
        <f>IF(D$12=0,0,D49/D$12)</f>
        <v>0</v>
      </c>
      <c r="G49" s="13"/>
      <c r="H49" s="31">
        <f>SUM(H46:H48)</f>
        <v>-1697.1099999999992</v>
      </c>
      <c r="I49" s="13"/>
      <c r="J49" s="32">
        <f>IF(H$12=0,0,H49/H$12)</f>
        <v>-2.7863956523880655</v>
      </c>
      <c r="K49" s="16"/>
      <c r="L49" s="31">
        <f>+D49-H49</f>
        <v>484.25999999999931</v>
      </c>
      <c r="M49" s="16"/>
      <c r="N49" s="32">
        <f>IF(H49=0,0,L49/H49)</f>
        <v>-0.28534390817330613</v>
      </c>
      <c r="O49" s="25"/>
      <c r="P49" s="31">
        <f>SUM(P46:P48)</f>
        <v>-1212.8499999999999</v>
      </c>
      <c r="Q49" s="13"/>
      <c r="R49" s="32">
        <f>IF(P$12=0,0,P49/P$12)</f>
        <v>0</v>
      </c>
      <c r="S49" s="13"/>
      <c r="T49" s="31">
        <f>SUM(T46:T48)</f>
        <v>-1697.1099999999992</v>
      </c>
      <c r="U49" s="13"/>
      <c r="V49" s="32">
        <f>IF(T$12=0,0,T49/T$12)</f>
        <v>-2.7863956523880655</v>
      </c>
      <c r="W49" s="16"/>
      <c r="X49" s="31">
        <f>+P49-T49</f>
        <v>484.25999999999931</v>
      </c>
      <c r="Y49" s="16"/>
      <c r="Z49" s="32">
        <f>IF(T49=0,0,X49/T49)</f>
        <v>-0.28534390817330613</v>
      </c>
    </row>
    <row r="50" spans="1:26" ht="15.75" thickTop="1" x14ac:dyDescent="0.25">
      <c r="A50" s="9"/>
      <c r="C50" s="9"/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6" x14ac:dyDescent="0.25">
      <c r="A51" s="9"/>
      <c r="B51" s="59">
        <v>44109.414784259257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62" t="s">
        <v>313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6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24558.32</v>
      </c>
      <c r="I12" s="4"/>
      <c r="J12" s="12"/>
      <c r="K12" s="4"/>
      <c r="L12" s="4">
        <f t="shared" ref="L12:L14" si="0">+D12-H12</f>
        <v>-24558.32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24558.32</v>
      </c>
      <c r="U12" s="4"/>
      <c r="V12" s="12"/>
      <c r="W12" s="4"/>
      <c r="X12" s="4">
        <f t="shared" ref="X12:X14" si="2">+P12-T12</f>
        <v>-24558.32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"4052", " - ", "TAXABLE SALES-FOOD")</f>
        <v xml:space="preserve">          4052 - TAXABLE SALES-FOOD</v>
      </c>
      <c r="C13" s="11"/>
      <c r="D13" s="3">
        <f t="shared" ref="D13:D14" si="4">0</f>
        <v>0</v>
      </c>
      <c r="E13" s="3"/>
      <c r="F13" s="22"/>
      <c r="G13" s="3"/>
      <c r="H13" s="3">
        <f>--236.28</f>
        <v>236.28</v>
      </c>
      <c r="I13" s="3"/>
      <c r="J13" s="22"/>
      <c r="K13" s="3"/>
      <c r="L13" s="3">
        <f t="shared" si="0"/>
        <v>-236.28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--236.28</f>
        <v>236.28</v>
      </c>
      <c r="U13" s="3"/>
      <c r="V13" s="22"/>
      <c r="W13" s="3"/>
      <c r="X13" s="3">
        <f t="shared" si="2"/>
        <v>-236.28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"4053", " - ", "TAXABLE SALES-FOOD")</f>
        <v xml:space="preserve">          4053 - TAXABLE SALES-FOOD</v>
      </c>
      <c r="C14" s="11"/>
      <c r="D14" s="3">
        <f t="shared" si="4"/>
        <v>0</v>
      </c>
      <c r="E14" s="3"/>
      <c r="F14" s="22"/>
      <c r="G14" s="3"/>
      <c r="H14" s="3">
        <f>--24322.04</f>
        <v>24322.04</v>
      </c>
      <c r="I14" s="3"/>
      <c r="J14" s="22"/>
      <c r="K14" s="3"/>
      <c r="L14" s="3">
        <f t="shared" si="0"/>
        <v>-24322.04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--24322.04</f>
        <v>24322.04</v>
      </c>
      <c r="U14" s="3"/>
      <c r="V14" s="22"/>
      <c r="W14" s="3"/>
      <c r="X14" s="3">
        <f t="shared" si="2"/>
        <v>-24322.04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6593.4400000000005</v>
      </c>
      <c r="I16" s="4"/>
      <c r="J16" s="12">
        <f t="shared" ref="J16:J18" si="7">IF(H$12=0,0,H16/H$12)</f>
        <v>0.26848090586001</v>
      </c>
      <c r="K16" s="4"/>
      <c r="L16" s="4">
        <f t="shared" ref="L16:L18" si="8">+D16-H16</f>
        <v>-6593.4400000000005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6593.4400000000005</v>
      </c>
      <c r="U16" s="4"/>
      <c r="V16" s="12">
        <f t="shared" ref="V16:V18" si="11">IF(T$12=0,0,T16/T$12)</f>
        <v>0.26848090586001</v>
      </c>
      <c r="W16" s="4"/>
      <c r="X16" s="4">
        <f t="shared" ref="X16:X18" si="12">+P16-T16</f>
        <v>-6593.4400000000005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9914.44</v>
      </c>
      <c r="I17" s="3"/>
      <c r="J17" s="22">
        <f t="shared" si="7"/>
        <v>0.40371002576723491</v>
      </c>
      <c r="K17" s="3"/>
      <c r="L17" s="3">
        <f t="shared" si="8"/>
        <v>-9914.44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9914.44</v>
      </c>
      <c r="U17" s="3"/>
      <c r="V17" s="22">
        <f t="shared" si="11"/>
        <v>0.40371002576723491</v>
      </c>
      <c r="W17" s="3"/>
      <c r="X17" s="3">
        <f t="shared" si="12"/>
        <v>-9914.44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-3321</v>
      </c>
      <c r="I18" s="3"/>
      <c r="J18" s="22">
        <f t="shared" si="7"/>
        <v>-0.13522911990722492</v>
      </c>
      <c r="K18" s="3"/>
      <c r="L18" s="3">
        <f t="shared" si="8"/>
        <v>3321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-3321</v>
      </c>
      <c r="U18" s="3"/>
      <c r="V18" s="22">
        <f t="shared" si="11"/>
        <v>-0.13522911990722492</v>
      </c>
      <c r="W18" s="3"/>
      <c r="X18" s="3">
        <f t="shared" si="12"/>
        <v>3321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17964.879999999997</v>
      </c>
      <c r="I20" s="13"/>
      <c r="J20" s="20">
        <f>IF(H$12=0,0,H20/H$12)</f>
        <v>0.73151909413998994</v>
      </c>
      <c r="K20" s="16"/>
      <c r="L20" s="19">
        <f>+D20-H20</f>
        <v>-17964.879999999997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17964.879999999997</v>
      </c>
      <c r="U20" s="13"/>
      <c r="V20" s="20">
        <f>IF(T$12=0,0,T20/T$12)</f>
        <v>0.73151909413998994</v>
      </c>
      <c r="W20" s="16"/>
      <c r="X20" s="19">
        <f>+P20-T20</f>
        <v>-17964.879999999997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3855.2699999999995</v>
      </c>
      <c r="E22" s="21"/>
      <c r="F22" s="34">
        <f t="shared" ref="F22:F31" si="14">IF(D$12=0,0,D22/D$12)</f>
        <v>0</v>
      </c>
      <c r="G22" s="21"/>
      <c r="H22" s="21">
        <f>SUM(OSRRefH22x_0)</f>
        <v>25279.180000000004</v>
      </c>
      <c r="I22" s="21"/>
      <c r="J22" s="34">
        <f t="shared" ref="J22:J31" si="15">IF(H$12=0,0,H22/H$12)</f>
        <v>1.02935298505761</v>
      </c>
      <c r="K22" s="4"/>
      <c r="L22" s="21">
        <f t="shared" ref="L22:L31" si="16">+D22-H22</f>
        <v>-21423.910000000003</v>
      </c>
      <c r="M22" s="4"/>
      <c r="N22" s="34">
        <f t="shared" ref="N22:N31" si="17">IF(H22=0,0,L22/H22)</f>
        <v>-0.84749228416428068</v>
      </c>
      <c r="O22" s="10"/>
      <c r="P22" s="21">
        <f>SUM(OSRRefP22x_0)</f>
        <v>3855.2699999999995</v>
      </c>
      <c r="Q22" s="21"/>
      <c r="R22" s="34">
        <f t="shared" ref="R22:R31" si="18">IF(P$12=0,0,P22/P$12)</f>
        <v>0</v>
      </c>
      <c r="S22" s="21"/>
      <c r="T22" s="21">
        <f>SUM(OSRRefT22x_0)</f>
        <v>25279.180000000004</v>
      </c>
      <c r="U22" s="21"/>
      <c r="V22" s="34">
        <f t="shared" ref="V22:V31" si="19">IF(T$12=0,0,T22/T$12)</f>
        <v>1.02935298505761</v>
      </c>
      <c r="W22" s="4"/>
      <c r="X22" s="21">
        <f t="shared" ref="X22:X31" si="20">+P22-T22</f>
        <v>-21423.910000000003</v>
      </c>
      <c r="Y22" s="4"/>
      <c r="Z22" s="34">
        <f t="shared" ref="Z22:Z31" si="21">IF(T22=0,0,X22/T22)</f>
        <v>-0.84749228416428068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1419.75</v>
      </c>
      <c r="E23" s="1"/>
      <c r="F23" s="5">
        <f t="shared" si="14"/>
        <v>0</v>
      </c>
      <c r="G23" s="1"/>
      <c r="H23" s="1">
        <f>SUM(OSRRefH22_0x_0)</f>
        <v>2541.23</v>
      </c>
      <c r="I23" s="1"/>
      <c r="J23" s="5">
        <f t="shared" si="15"/>
        <v>0.10347735512852671</v>
      </c>
      <c r="K23" s="1"/>
      <c r="L23" s="1">
        <f t="shared" si="16"/>
        <v>-1121.48</v>
      </c>
      <c r="M23" s="1"/>
      <c r="N23" s="5">
        <f t="shared" si="17"/>
        <v>-0.44131385195358153</v>
      </c>
      <c r="O23" s="14"/>
      <c r="P23" s="1">
        <f>SUM(OSRRefP22_0x_0)</f>
        <v>1419.75</v>
      </c>
      <c r="Q23" s="1"/>
      <c r="R23" s="5">
        <f t="shared" si="18"/>
        <v>0</v>
      </c>
      <c r="S23" s="1"/>
      <c r="T23" s="1">
        <f>SUM(OSRRefT22_0x_0)</f>
        <v>2541.23</v>
      </c>
      <c r="U23" s="1"/>
      <c r="V23" s="5">
        <f t="shared" si="19"/>
        <v>0.10347735512852671</v>
      </c>
      <c r="W23" s="1"/>
      <c r="X23" s="1">
        <f t="shared" si="20"/>
        <v>-1121.48</v>
      </c>
      <c r="Y23" s="1"/>
      <c r="Z23" s="5">
        <f t="shared" si="21"/>
        <v>-0.44131385195358153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170.79</v>
      </c>
      <c r="E24" s="3"/>
      <c r="F24" s="7">
        <f t="shared" si="14"/>
        <v>0</v>
      </c>
      <c r="G24" s="3"/>
      <c r="H24" s="8">
        <v>466.02</v>
      </c>
      <c r="I24" s="3"/>
      <c r="J24" s="7">
        <f t="shared" si="15"/>
        <v>1.8976053736574815E-2</v>
      </c>
      <c r="K24" s="3"/>
      <c r="L24" s="8">
        <f t="shared" si="16"/>
        <v>-295.23</v>
      </c>
      <c r="M24" s="3"/>
      <c r="N24" s="7">
        <f t="shared" si="17"/>
        <v>-0.63351358310802119</v>
      </c>
      <c r="O24" s="11"/>
      <c r="P24" s="8">
        <v>170.79</v>
      </c>
      <c r="Q24" s="3"/>
      <c r="R24" s="7">
        <f t="shared" si="18"/>
        <v>0</v>
      </c>
      <c r="S24" s="3"/>
      <c r="T24" s="8">
        <v>466.02</v>
      </c>
      <c r="U24" s="3"/>
      <c r="V24" s="7">
        <f t="shared" si="19"/>
        <v>1.8976053736574815E-2</v>
      </c>
      <c r="W24" s="3"/>
      <c r="X24" s="8">
        <f t="shared" si="20"/>
        <v>-295.23</v>
      </c>
      <c r="Y24" s="3"/>
      <c r="Z24" s="7">
        <f t="shared" si="21"/>
        <v>-0.63351358310802119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372.07</v>
      </c>
      <c r="I25" s="3"/>
      <c r="J25" s="7">
        <f t="shared" si="15"/>
        <v>1.5150466318542962E-2</v>
      </c>
      <c r="K25" s="3"/>
      <c r="L25" s="8">
        <f t="shared" si="16"/>
        <v>-372.07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372.07</v>
      </c>
      <c r="U25" s="3"/>
      <c r="V25" s="7">
        <f t="shared" si="19"/>
        <v>1.5150466318542962E-2</v>
      </c>
      <c r="W25" s="3"/>
      <c r="X25" s="8">
        <f t="shared" si="20"/>
        <v>-372.07</v>
      </c>
      <c r="Y25" s="3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699.3</v>
      </c>
      <c r="E26" s="3"/>
      <c r="F26" s="7">
        <f t="shared" si="14"/>
        <v>0</v>
      </c>
      <c r="G26" s="3"/>
      <c r="H26" s="8">
        <v>698.2</v>
      </c>
      <c r="I26" s="3"/>
      <c r="J26" s="7">
        <f t="shared" si="15"/>
        <v>2.8430283504734855E-2</v>
      </c>
      <c r="K26" s="3"/>
      <c r="L26" s="8">
        <f t="shared" si="16"/>
        <v>1.0999999999999091</v>
      </c>
      <c r="M26" s="3"/>
      <c r="N26" s="7">
        <f t="shared" si="17"/>
        <v>1.5754798052132755E-3</v>
      </c>
      <c r="O26" s="11"/>
      <c r="P26" s="8">
        <v>699.3</v>
      </c>
      <c r="Q26" s="3"/>
      <c r="R26" s="7">
        <f t="shared" si="18"/>
        <v>0</v>
      </c>
      <c r="S26" s="3"/>
      <c r="T26" s="8">
        <v>698.2</v>
      </c>
      <c r="U26" s="3"/>
      <c r="V26" s="7">
        <f t="shared" si="19"/>
        <v>2.8430283504734855E-2</v>
      </c>
      <c r="W26" s="3"/>
      <c r="X26" s="8">
        <f t="shared" si="20"/>
        <v>1.0999999999999091</v>
      </c>
      <c r="Y26" s="3"/>
      <c r="Z26" s="7">
        <f t="shared" si="21"/>
        <v>1.5754798052132755E-3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24.93</v>
      </c>
      <c r="I27" s="3"/>
      <c r="J27" s="7">
        <f t="shared" si="15"/>
        <v>1.015134585753423E-3</v>
      </c>
      <c r="K27" s="3"/>
      <c r="L27" s="8">
        <f t="shared" si="16"/>
        <v>-24.93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24.93</v>
      </c>
      <c r="U27" s="3"/>
      <c r="V27" s="7">
        <f t="shared" si="19"/>
        <v>1.015134585753423E-3</v>
      </c>
      <c r="W27" s="3"/>
      <c r="X27" s="8">
        <f t="shared" si="20"/>
        <v>-24.93</v>
      </c>
      <c r="Y27" s="3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355.22</v>
      </c>
      <c r="E28" s="3"/>
      <c r="F28" s="7">
        <f t="shared" si="14"/>
        <v>0</v>
      </c>
      <c r="G28" s="3"/>
      <c r="H28" s="8">
        <v>320.99</v>
      </c>
      <c r="I28" s="3"/>
      <c r="J28" s="7">
        <f t="shared" si="15"/>
        <v>1.3070519481788657E-2</v>
      </c>
      <c r="K28" s="3"/>
      <c r="L28" s="8">
        <f t="shared" si="16"/>
        <v>34.230000000000018</v>
      </c>
      <c r="M28" s="3"/>
      <c r="N28" s="7">
        <f t="shared" si="17"/>
        <v>0.10663883610081316</v>
      </c>
      <c r="O28" s="11"/>
      <c r="P28" s="8">
        <v>355.22</v>
      </c>
      <c r="Q28" s="3"/>
      <c r="R28" s="7">
        <f t="shared" si="18"/>
        <v>0</v>
      </c>
      <c r="S28" s="3"/>
      <c r="T28" s="8">
        <v>320.99</v>
      </c>
      <c r="U28" s="3"/>
      <c r="V28" s="7">
        <f t="shared" si="19"/>
        <v>1.3070519481788657E-2</v>
      </c>
      <c r="W28" s="3"/>
      <c r="X28" s="8">
        <f t="shared" si="20"/>
        <v>34.230000000000018</v>
      </c>
      <c r="Y28" s="3"/>
      <c r="Z28" s="7">
        <f t="shared" si="21"/>
        <v>0.10663883610081316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8">
        <v>88.46</v>
      </c>
      <c r="E29" s="3"/>
      <c r="F29" s="7">
        <f t="shared" si="14"/>
        <v>0</v>
      </c>
      <c r="G29" s="3"/>
      <c r="H29" s="8">
        <v>203.22</v>
      </c>
      <c r="I29" s="3"/>
      <c r="J29" s="7">
        <f t="shared" si="15"/>
        <v>8.2749960094990211E-3</v>
      </c>
      <c r="K29" s="3"/>
      <c r="L29" s="8">
        <f t="shared" si="16"/>
        <v>-114.76</v>
      </c>
      <c r="M29" s="3"/>
      <c r="N29" s="7">
        <f t="shared" si="17"/>
        <v>-0.56470819801200667</v>
      </c>
      <c r="O29" s="11"/>
      <c r="P29" s="8">
        <v>88.46</v>
      </c>
      <c r="Q29" s="3"/>
      <c r="R29" s="7">
        <f t="shared" si="18"/>
        <v>0</v>
      </c>
      <c r="S29" s="3"/>
      <c r="T29" s="8">
        <v>203.22</v>
      </c>
      <c r="U29" s="3"/>
      <c r="V29" s="7">
        <f t="shared" si="19"/>
        <v>8.2749960094990211E-3</v>
      </c>
      <c r="W29" s="3"/>
      <c r="X29" s="8">
        <f t="shared" si="20"/>
        <v>-114.76</v>
      </c>
      <c r="Y29" s="3"/>
      <c r="Z29" s="7">
        <f t="shared" si="21"/>
        <v>-0.56470819801200667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8">
        <v>105.98</v>
      </c>
      <c r="E30" s="3"/>
      <c r="F30" s="7">
        <f t="shared" si="14"/>
        <v>0</v>
      </c>
      <c r="G30" s="3"/>
      <c r="H30" s="8">
        <v>305.8</v>
      </c>
      <c r="I30" s="3"/>
      <c r="J30" s="7">
        <f t="shared" si="15"/>
        <v>1.2451991830060037E-2</v>
      </c>
      <c r="K30" s="3"/>
      <c r="L30" s="8">
        <f t="shared" si="16"/>
        <v>-199.82</v>
      </c>
      <c r="M30" s="3"/>
      <c r="N30" s="7">
        <f t="shared" si="17"/>
        <v>-0.65343361674296918</v>
      </c>
      <c r="O30" s="11"/>
      <c r="P30" s="8">
        <v>105.98</v>
      </c>
      <c r="Q30" s="3"/>
      <c r="R30" s="7">
        <f t="shared" si="18"/>
        <v>0</v>
      </c>
      <c r="S30" s="3"/>
      <c r="T30" s="8">
        <v>305.8</v>
      </c>
      <c r="U30" s="3"/>
      <c r="V30" s="7">
        <f t="shared" si="19"/>
        <v>1.2451991830060037E-2</v>
      </c>
      <c r="W30" s="3"/>
      <c r="X30" s="8">
        <f t="shared" si="20"/>
        <v>-199.82</v>
      </c>
      <c r="Y30" s="3"/>
      <c r="Z30" s="7">
        <f t="shared" si="21"/>
        <v>-0.65343361674296918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8"/>
      <c r="E31" s="3"/>
      <c r="F31" s="7">
        <f t="shared" si="14"/>
        <v>0</v>
      </c>
      <c r="G31" s="3"/>
      <c r="H31" s="8">
        <v>150</v>
      </c>
      <c r="I31" s="3"/>
      <c r="J31" s="7">
        <f t="shared" si="15"/>
        <v>6.1079096615729413E-3</v>
      </c>
      <c r="K31" s="3"/>
      <c r="L31" s="8">
        <f t="shared" si="16"/>
        <v>-150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150</v>
      </c>
      <c r="U31" s="3"/>
      <c r="V31" s="7">
        <f t="shared" si="19"/>
        <v>6.1079096615729413E-3</v>
      </c>
      <c r="W31" s="3"/>
      <c r="X31" s="8">
        <f t="shared" si="20"/>
        <v>-150</v>
      </c>
      <c r="Y31" s="3"/>
      <c r="Z31" s="7">
        <f t="shared" si="21"/>
        <v>-1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1378.61</v>
      </c>
      <c r="E32" s="1"/>
      <c r="F32" s="5">
        <f t="shared" ref="F32:F37" si="22">IF(D$12=0,0,D32/D$12)</f>
        <v>0</v>
      </c>
      <c r="G32" s="1"/>
      <c r="H32" s="1">
        <f>SUM(OSRRefH22_1x_0)</f>
        <v>7794.93</v>
      </c>
      <c r="I32" s="1"/>
      <c r="J32" s="5">
        <f t="shared" ref="J32:J37" si="23">IF(H$12=0,0,H32/H$12)</f>
        <v>0.3174048550552318</v>
      </c>
      <c r="K32" s="1"/>
      <c r="L32" s="1">
        <f t="shared" ref="L32:L37" si="24">+D32-H32</f>
        <v>-6416.3200000000006</v>
      </c>
      <c r="M32" s="1"/>
      <c r="N32" s="5">
        <f t="shared" ref="N32:N37" si="25">IF(H32=0,0,L32/H32)</f>
        <v>-0.82314016931518308</v>
      </c>
      <c r="O32" s="14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7794.93</v>
      </c>
      <c r="U32" s="1"/>
      <c r="V32" s="5">
        <f t="shared" ref="V32:V37" si="27">IF(T$12=0,0,T32/T$12)</f>
        <v>0.3174048550552318</v>
      </c>
      <c r="W32" s="1"/>
      <c r="X32" s="1">
        <f t="shared" ref="X32:X37" si="28">+P32-T32</f>
        <v>-6416.3200000000006</v>
      </c>
      <c r="Y32" s="1"/>
      <c r="Z32" s="5">
        <f t="shared" ref="Z32:Z37" si="29">IF(T32=0,0,X32/T32)</f>
        <v>-0.82314016931518308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8">
        <v>1378.61</v>
      </c>
      <c r="E33" s="3"/>
      <c r="F33" s="7">
        <f t="shared" si="22"/>
        <v>0</v>
      </c>
      <c r="G33" s="3"/>
      <c r="H33" s="8">
        <v>5744.38</v>
      </c>
      <c r="I33" s="3"/>
      <c r="J33" s="7">
        <f t="shared" si="23"/>
        <v>0.23390769401164249</v>
      </c>
      <c r="K33" s="3"/>
      <c r="L33" s="8">
        <f t="shared" si="24"/>
        <v>-4365.7700000000004</v>
      </c>
      <c r="M33" s="3"/>
      <c r="N33" s="7">
        <f t="shared" si="25"/>
        <v>-0.76000717222746417</v>
      </c>
      <c r="O33" s="11"/>
      <c r="P33" s="8">
        <v>1378.61</v>
      </c>
      <c r="Q33" s="3"/>
      <c r="R33" s="7">
        <f t="shared" si="26"/>
        <v>0</v>
      </c>
      <c r="S33" s="3"/>
      <c r="T33" s="8">
        <v>5744.38</v>
      </c>
      <c r="U33" s="3"/>
      <c r="V33" s="7">
        <f t="shared" si="27"/>
        <v>0.23390769401164249</v>
      </c>
      <c r="W33" s="3"/>
      <c r="X33" s="8">
        <f t="shared" si="28"/>
        <v>-4365.7700000000004</v>
      </c>
      <c r="Y33" s="3"/>
      <c r="Z33" s="7">
        <f t="shared" si="29"/>
        <v>-0.76000717222746417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22"/>
        <v>0</v>
      </c>
      <c r="G34" s="3"/>
      <c r="H34" s="8">
        <v>1058.55</v>
      </c>
      <c r="I34" s="3"/>
      <c r="J34" s="7">
        <f t="shared" si="23"/>
        <v>4.3103518481720247E-2</v>
      </c>
      <c r="K34" s="3"/>
      <c r="L34" s="8">
        <f t="shared" si="24"/>
        <v>-1058.55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1058.55</v>
      </c>
      <c r="U34" s="3"/>
      <c r="V34" s="7">
        <f t="shared" si="27"/>
        <v>4.3103518481720247E-2</v>
      </c>
      <c r="W34" s="3"/>
      <c r="X34" s="8">
        <f t="shared" si="28"/>
        <v>-1058.55</v>
      </c>
      <c r="Y34" s="3"/>
      <c r="Z34" s="7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22"/>
        <v>0</v>
      </c>
      <c r="G35" s="3"/>
      <c r="H35" s="8">
        <v>78</v>
      </c>
      <c r="I35" s="3"/>
      <c r="J35" s="7">
        <f t="shared" si="23"/>
        <v>3.1761130240179295E-3</v>
      </c>
      <c r="K35" s="3"/>
      <c r="L35" s="8">
        <f t="shared" si="24"/>
        <v>-78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78</v>
      </c>
      <c r="U35" s="3"/>
      <c r="V35" s="7">
        <f t="shared" si="27"/>
        <v>3.1761130240179295E-3</v>
      </c>
      <c r="W35" s="3"/>
      <c r="X35" s="8">
        <f t="shared" si="28"/>
        <v>-78</v>
      </c>
      <c r="Y35" s="3"/>
      <c r="Z35" s="7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22"/>
        <v>0</v>
      </c>
      <c r="G36" s="3"/>
      <c r="H36" s="8">
        <v>866</v>
      </c>
      <c r="I36" s="3"/>
      <c r="J36" s="7">
        <f t="shared" si="23"/>
        <v>3.5262998446147782E-2</v>
      </c>
      <c r="K36" s="3"/>
      <c r="L36" s="8">
        <f t="shared" si="24"/>
        <v>-866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866</v>
      </c>
      <c r="U36" s="3"/>
      <c r="V36" s="7">
        <f t="shared" si="27"/>
        <v>3.5262998446147782E-2</v>
      </c>
      <c r="W36" s="3"/>
      <c r="X36" s="8">
        <f t="shared" si="28"/>
        <v>-866</v>
      </c>
      <c r="Y36" s="3"/>
      <c r="Z36" s="7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22"/>
        <v>0</v>
      </c>
      <c r="G37" s="3"/>
      <c r="H37" s="8">
        <v>48</v>
      </c>
      <c r="I37" s="3"/>
      <c r="J37" s="7">
        <f t="shared" si="23"/>
        <v>1.9545310917033413E-3</v>
      </c>
      <c r="K37" s="3"/>
      <c r="L37" s="8">
        <f t="shared" si="24"/>
        <v>-48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48</v>
      </c>
      <c r="U37" s="3"/>
      <c r="V37" s="7">
        <f t="shared" si="27"/>
        <v>1.9545310917033413E-3</v>
      </c>
      <c r="W37" s="3"/>
      <c r="X37" s="8">
        <f t="shared" si="28"/>
        <v>-48</v>
      </c>
      <c r="Y37" s="3"/>
      <c r="Z37" s="7">
        <f t="shared" si="29"/>
        <v>-1</v>
      </c>
    </row>
    <row r="38" spans="1:26" s="27" customFormat="1" outlineLevel="1" collapsed="1" x14ac:dyDescent="0.25">
      <c r="A38" s="28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SUM(OSRRefD22_2x_0)</f>
        <v>0</v>
      </c>
      <c r="E38" s="1"/>
      <c r="F38" s="5">
        <f t="shared" ref="F38:F50" si="30">IF(D$12=0,0,D38/D$12)</f>
        <v>0</v>
      </c>
      <c r="G38" s="1"/>
      <c r="H38" s="1">
        <f>SUM(OSRRefH22_2x_0)</f>
        <v>505.8</v>
      </c>
      <c r="I38" s="1"/>
      <c r="J38" s="5">
        <f t="shared" ref="J38:J50" si="31">IF(H$12=0,0,H38/H$12)</f>
        <v>2.059587137882396E-2</v>
      </c>
      <c r="K38" s="1"/>
      <c r="L38" s="1">
        <f t="shared" ref="L38:L50" si="32">+D38-H38</f>
        <v>-505.8</v>
      </c>
      <c r="M38" s="1"/>
      <c r="N38" s="5">
        <f t="shared" ref="N38:N50" si="33">IF(H38=0,0,L38/H38)</f>
        <v>-1</v>
      </c>
      <c r="O38" s="14"/>
      <c r="P38" s="1">
        <f>SUM(OSRRefP22_2x_0)</f>
        <v>0</v>
      </c>
      <c r="Q38" s="1"/>
      <c r="R38" s="5">
        <f t="shared" ref="R38:R50" si="34">IF(P$12=0,0,P38/P$12)</f>
        <v>0</v>
      </c>
      <c r="S38" s="1"/>
      <c r="T38" s="1">
        <f>SUM(OSRRefT22_2x_0)</f>
        <v>505.8</v>
      </c>
      <c r="U38" s="1"/>
      <c r="V38" s="5">
        <f t="shared" ref="V38:V50" si="35">IF(T$12=0,0,T38/T$12)</f>
        <v>2.059587137882396E-2</v>
      </c>
      <c r="W38" s="1"/>
      <c r="X38" s="1">
        <f t="shared" ref="X38:X50" si="36">+P38-T38</f>
        <v>-505.8</v>
      </c>
      <c r="Y38" s="1"/>
      <c r="Z38" s="5">
        <f t="shared" ref="Z38:Z50" si="37">IF(T38=0,0,X38/T38)</f>
        <v>-1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8"/>
      <c r="E39" s="3"/>
      <c r="F39" s="7">
        <f t="shared" si="30"/>
        <v>0</v>
      </c>
      <c r="G39" s="3"/>
      <c r="H39" s="8">
        <v>505.8</v>
      </c>
      <c r="I39" s="3"/>
      <c r="J39" s="7">
        <f t="shared" si="31"/>
        <v>2.059587137882396E-2</v>
      </c>
      <c r="K39" s="3"/>
      <c r="L39" s="8">
        <f t="shared" si="32"/>
        <v>-505.8</v>
      </c>
      <c r="M39" s="3"/>
      <c r="N39" s="7">
        <f t="shared" si="33"/>
        <v>-1</v>
      </c>
      <c r="O39" s="11"/>
      <c r="P39" s="8"/>
      <c r="Q39" s="3"/>
      <c r="R39" s="7">
        <f t="shared" si="34"/>
        <v>0</v>
      </c>
      <c r="S39" s="3"/>
      <c r="T39" s="8">
        <v>505.8</v>
      </c>
      <c r="U39" s="3"/>
      <c r="V39" s="7">
        <f t="shared" si="35"/>
        <v>2.059587137882396E-2</v>
      </c>
      <c r="W39" s="3"/>
      <c r="X39" s="8">
        <f t="shared" si="36"/>
        <v>-505.8</v>
      </c>
      <c r="Y39" s="3"/>
      <c r="Z39" s="7">
        <f t="shared" si="37"/>
        <v>-1</v>
      </c>
    </row>
    <row r="40" spans="1:26" s="27" customFormat="1" outlineLevel="1" collapsed="1" x14ac:dyDescent="0.25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SUM(OSRRefD22_3x_0)</f>
        <v>1000.91</v>
      </c>
      <c r="E40" s="1"/>
      <c r="F40" s="5">
        <f t="shared" si="30"/>
        <v>0</v>
      </c>
      <c r="G40" s="1"/>
      <c r="H40" s="1">
        <f>SUM(OSRRefH22_3x_0)</f>
        <v>255.35</v>
      </c>
      <c r="I40" s="1"/>
      <c r="J40" s="5">
        <f t="shared" si="31"/>
        <v>1.0397698213884338E-2</v>
      </c>
      <c r="K40" s="1"/>
      <c r="L40" s="1">
        <f t="shared" si="32"/>
        <v>745.56</v>
      </c>
      <c r="M40" s="1"/>
      <c r="N40" s="5">
        <f t="shared" si="33"/>
        <v>2.9197571960054827</v>
      </c>
      <c r="O40" s="14"/>
      <c r="P40" s="1">
        <f>SUM(OSRRefP22_3x_0)</f>
        <v>1000.91</v>
      </c>
      <c r="Q40" s="1"/>
      <c r="R40" s="5">
        <f t="shared" si="34"/>
        <v>0</v>
      </c>
      <c r="S40" s="1"/>
      <c r="T40" s="1">
        <f>SUM(OSRRefT22_3x_0)</f>
        <v>255.35</v>
      </c>
      <c r="U40" s="1"/>
      <c r="V40" s="5">
        <f t="shared" si="35"/>
        <v>1.0397698213884338E-2</v>
      </c>
      <c r="W40" s="1"/>
      <c r="X40" s="1">
        <f t="shared" si="36"/>
        <v>745.56</v>
      </c>
      <c r="Y40" s="1"/>
      <c r="Z40" s="5">
        <f t="shared" si="37"/>
        <v>2.9197571960054827</v>
      </c>
    </row>
    <row r="41" spans="1:26" s="24" customFormat="1" hidden="1" outlineLevel="2" x14ac:dyDescent="0.25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8">
        <v>1000.91</v>
      </c>
      <c r="E41" s="3"/>
      <c r="F41" s="7">
        <f t="shared" si="30"/>
        <v>0</v>
      </c>
      <c r="G41" s="3"/>
      <c r="H41" s="8">
        <v>255.35</v>
      </c>
      <c r="I41" s="3"/>
      <c r="J41" s="7">
        <f t="shared" si="31"/>
        <v>1.0397698213884338E-2</v>
      </c>
      <c r="K41" s="3"/>
      <c r="L41" s="8">
        <f t="shared" si="32"/>
        <v>745.56</v>
      </c>
      <c r="M41" s="3"/>
      <c r="N41" s="7">
        <f t="shared" si="33"/>
        <v>2.9197571960054827</v>
      </c>
      <c r="O41" s="11"/>
      <c r="P41" s="8">
        <v>1000.91</v>
      </c>
      <c r="Q41" s="3"/>
      <c r="R41" s="7">
        <f t="shared" si="34"/>
        <v>0</v>
      </c>
      <c r="S41" s="3"/>
      <c r="T41" s="8">
        <v>255.35</v>
      </c>
      <c r="U41" s="3"/>
      <c r="V41" s="7">
        <f t="shared" si="35"/>
        <v>1.0397698213884338E-2</v>
      </c>
      <c r="W41" s="3"/>
      <c r="X41" s="8">
        <f t="shared" si="36"/>
        <v>745.56</v>
      </c>
      <c r="Y41" s="3"/>
      <c r="Z41" s="7">
        <f t="shared" si="37"/>
        <v>2.9197571960054827</v>
      </c>
    </row>
    <row r="42" spans="1:26" s="27" customFormat="1" outlineLevel="1" collapsed="1" x14ac:dyDescent="0.25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4973.49</v>
      </c>
      <c r="I42" s="1"/>
      <c r="J42" s="5">
        <f t="shared" si="31"/>
        <v>0.2025175174849094</v>
      </c>
      <c r="K42" s="1"/>
      <c r="L42" s="1">
        <f t="shared" si="32"/>
        <v>-4973.49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4973.49</v>
      </c>
      <c r="U42" s="1"/>
      <c r="V42" s="5">
        <f t="shared" si="35"/>
        <v>0.2025175174849094</v>
      </c>
      <c r="W42" s="1"/>
      <c r="X42" s="1">
        <f t="shared" si="36"/>
        <v>-4973.49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"6279", " - ", "GENERAL EXPENSE")</f>
        <v xml:space="preserve">          6279 - GENERAL EXPENSE</v>
      </c>
      <c r="C43" s="11"/>
      <c r="D43" s="8"/>
      <c r="E43" s="3"/>
      <c r="F43" s="7">
        <f t="shared" si="30"/>
        <v>0</v>
      </c>
      <c r="G43" s="3"/>
      <c r="H43" s="8">
        <v>4973.49</v>
      </c>
      <c r="I43" s="3"/>
      <c r="J43" s="7">
        <f t="shared" si="31"/>
        <v>0.2025175174849094</v>
      </c>
      <c r="K43" s="3"/>
      <c r="L43" s="8">
        <f t="shared" si="32"/>
        <v>-4973.49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4973.49</v>
      </c>
      <c r="U43" s="3"/>
      <c r="V43" s="7">
        <f t="shared" si="35"/>
        <v>0.2025175174849094</v>
      </c>
      <c r="W43" s="3"/>
      <c r="X43" s="8">
        <f t="shared" si="36"/>
        <v>-4973.49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SUM(OSRRefD22_5x_0)</f>
        <v>0</v>
      </c>
      <c r="E44" s="1"/>
      <c r="F44" s="5">
        <f t="shared" si="30"/>
        <v>0</v>
      </c>
      <c r="G44" s="1"/>
      <c r="H44" s="1">
        <f>SUM(OSRRefH22_5x_0)</f>
        <v>838.95</v>
      </c>
      <c r="I44" s="1"/>
      <c r="J44" s="5">
        <f t="shared" si="31"/>
        <v>3.4161538737177463E-2</v>
      </c>
      <c r="K44" s="1"/>
      <c r="L44" s="1">
        <f t="shared" si="32"/>
        <v>-838.95</v>
      </c>
      <c r="M44" s="1"/>
      <c r="N44" s="5">
        <f t="shared" si="33"/>
        <v>-1</v>
      </c>
      <c r="O44" s="14"/>
      <c r="P44" s="1">
        <f>SUM(OSRRefP22_5x_0)</f>
        <v>0</v>
      </c>
      <c r="Q44" s="1"/>
      <c r="R44" s="5">
        <f t="shared" si="34"/>
        <v>0</v>
      </c>
      <c r="S44" s="1"/>
      <c r="T44" s="1">
        <f>SUM(OSRRefT22_5x_0)</f>
        <v>838.95</v>
      </c>
      <c r="U44" s="1"/>
      <c r="V44" s="5">
        <f t="shared" si="35"/>
        <v>3.4161538737177463E-2</v>
      </c>
      <c r="W44" s="1"/>
      <c r="X44" s="1">
        <f t="shared" si="36"/>
        <v>-838.95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"6375", " - ", "OUTSIDE REPAIRS &amp; MAINTENANCE")</f>
        <v xml:space="preserve">          6375 - OUTSIDE REPAIRS &amp; MAINTENANCE</v>
      </c>
      <c r="C45" s="11"/>
      <c r="D45" s="8"/>
      <c r="E45" s="3"/>
      <c r="F45" s="7">
        <f t="shared" si="30"/>
        <v>0</v>
      </c>
      <c r="G45" s="3"/>
      <c r="H45" s="8">
        <v>838.95</v>
      </c>
      <c r="I45" s="3"/>
      <c r="J45" s="7">
        <f t="shared" si="31"/>
        <v>3.4161538737177463E-2</v>
      </c>
      <c r="K45" s="3"/>
      <c r="L45" s="8">
        <f t="shared" si="32"/>
        <v>-838.95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838.95</v>
      </c>
      <c r="U45" s="3"/>
      <c r="V45" s="7">
        <f t="shared" si="35"/>
        <v>3.4161538737177463E-2</v>
      </c>
      <c r="W45" s="3"/>
      <c r="X45" s="8">
        <f t="shared" si="36"/>
        <v>-838.95</v>
      </c>
      <c r="Y45" s="3"/>
      <c r="Z45" s="7">
        <f t="shared" si="37"/>
        <v>-1</v>
      </c>
    </row>
    <row r="46" spans="1:26" s="27" customFormat="1" outlineLevel="1" collapsed="1" x14ac:dyDescent="0.25">
      <c r="A46" s="28"/>
      <c r="B46" s="14" t="str">
        <f>CONCATENATE("     ","Royalty &amp; Commissions                             ")</f>
        <v xml:space="preserve">     Royalty &amp; Commissions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6354.66</v>
      </c>
      <c r="I46" s="1"/>
      <c r="J46" s="5">
        <f t="shared" si="31"/>
        <v>0.25875792806674069</v>
      </c>
      <c r="K46" s="1"/>
      <c r="L46" s="1">
        <f t="shared" si="32"/>
        <v>-6354.66</v>
      </c>
      <c r="M46" s="1"/>
      <c r="N46" s="5">
        <f t="shared" si="33"/>
        <v>-1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6354.66</v>
      </c>
      <c r="U46" s="1"/>
      <c r="V46" s="5">
        <f t="shared" si="35"/>
        <v>0.25875792806674069</v>
      </c>
      <c r="W46" s="1"/>
      <c r="X46" s="1">
        <f t="shared" si="36"/>
        <v>-6354.66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"6254", " - ", "ROYALTY &amp; COMMISSIONS")</f>
        <v xml:space="preserve">          6254 - ROYALTY &amp; COMMISSIONS</v>
      </c>
      <c r="C47" s="11"/>
      <c r="D47" s="8"/>
      <c r="E47" s="3"/>
      <c r="F47" s="7">
        <f t="shared" si="30"/>
        <v>0</v>
      </c>
      <c r="G47" s="3"/>
      <c r="H47" s="8">
        <v>6354.66</v>
      </c>
      <c r="I47" s="3"/>
      <c r="J47" s="7">
        <f t="shared" si="31"/>
        <v>0.25875792806674069</v>
      </c>
      <c r="K47" s="3"/>
      <c r="L47" s="8">
        <f t="shared" si="32"/>
        <v>-6354.66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6354.66</v>
      </c>
      <c r="U47" s="3"/>
      <c r="V47" s="7">
        <f t="shared" si="35"/>
        <v>0.25875792806674069</v>
      </c>
      <c r="W47" s="3"/>
      <c r="X47" s="8">
        <f t="shared" si="36"/>
        <v>-6354.66</v>
      </c>
      <c r="Y47" s="3"/>
      <c r="Z47" s="7">
        <f t="shared" si="37"/>
        <v>-1</v>
      </c>
    </row>
    <row r="48" spans="1:26" s="27" customFormat="1" outlineLevel="1" collapsed="1" x14ac:dyDescent="0.25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233.93</v>
      </c>
      <c r="I48" s="1"/>
      <c r="J48" s="5">
        <f t="shared" si="31"/>
        <v>9.5254887142117214E-3</v>
      </c>
      <c r="K48" s="1"/>
      <c r="L48" s="1">
        <f t="shared" si="32"/>
        <v>-233.93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233.93</v>
      </c>
      <c r="U48" s="1"/>
      <c r="V48" s="5">
        <f t="shared" si="35"/>
        <v>9.5254887142117214E-3</v>
      </c>
      <c r="W48" s="1"/>
      <c r="X48" s="1">
        <f t="shared" si="36"/>
        <v>-233.93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"6282", " - ", "JANITORIAL/EXTERMINATOR EXPENS")</f>
        <v xml:space="preserve">          6282 - JANITORIAL/EXTERMINATOR EXPENS</v>
      </c>
      <c r="C49" s="11"/>
      <c r="D49" s="8"/>
      <c r="E49" s="3"/>
      <c r="F49" s="7">
        <f t="shared" si="30"/>
        <v>0</v>
      </c>
      <c r="G49" s="3"/>
      <c r="H49" s="8">
        <v>225.81</v>
      </c>
      <c r="I49" s="3"/>
      <c r="J49" s="7">
        <f t="shared" si="31"/>
        <v>9.1948472045319061E-3</v>
      </c>
      <c r="K49" s="3"/>
      <c r="L49" s="8">
        <f t="shared" si="32"/>
        <v>-225.81</v>
      </c>
      <c r="M49" s="3"/>
      <c r="N49" s="7">
        <f t="shared" si="33"/>
        <v>-1</v>
      </c>
      <c r="O49" s="11"/>
      <c r="P49" s="8"/>
      <c r="Q49" s="3"/>
      <c r="R49" s="7">
        <f t="shared" si="34"/>
        <v>0</v>
      </c>
      <c r="S49" s="3"/>
      <c r="T49" s="8">
        <v>225.81</v>
      </c>
      <c r="U49" s="3"/>
      <c r="V49" s="7">
        <f t="shared" si="35"/>
        <v>9.1948472045319061E-3</v>
      </c>
      <c r="W49" s="3"/>
      <c r="X49" s="8">
        <f t="shared" si="36"/>
        <v>-225.81</v>
      </c>
      <c r="Y49" s="3"/>
      <c r="Z49" s="7">
        <f t="shared" si="37"/>
        <v>-1</v>
      </c>
    </row>
    <row r="50" spans="1:26" s="24" customFormat="1" hidden="1" outlineLevel="2" x14ac:dyDescent="0.25">
      <c r="A50" s="29"/>
      <c r="B50" s="11" t="str">
        <f>CONCATENATE("          ", "6286", " - ", "LAUNDRY EXPENSE")</f>
        <v xml:space="preserve">          6286 - LAUNDRY EXPENSE</v>
      </c>
      <c r="C50" s="11"/>
      <c r="D50" s="8"/>
      <c r="E50" s="3"/>
      <c r="F50" s="7">
        <f t="shared" si="30"/>
        <v>0</v>
      </c>
      <c r="G50" s="3"/>
      <c r="H50" s="8">
        <v>8.1199999999999992</v>
      </c>
      <c r="I50" s="3"/>
      <c r="J50" s="7">
        <f t="shared" si="31"/>
        <v>3.3064150967981518E-4</v>
      </c>
      <c r="K50" s="3"/>
      <c r="L50" s="8">
        <f t="shared" si="32"/>
        <v>-8.1199999999999992</v>
      </c>
      <c r="M50" s="3"/>
      <c r="N50" s="7">
        <f t="shared" si="33"/>
        <v>-1</v>
      </c>
      <c r="O50" s="11"/>
      <c r="P50" s="8"/>
      <c r="Q50" s="3"/>
      <c r="R50" s="7">
        <f t="shared" si="34"/>
        <v>0</v>
      </c>
      <c r="S50" s="3"/>
      <c r="T50" s="8">
        <v>8.1199999999999992</v>
      </c>
      <c r="U50" s="3"/>
      <c r="V50" s="7">
        <f t="shared" si="35"/>
        <v>3.3064150967981518E-4</v>
      </c>
      <c r="W50" s="3"/>
      <c r="X50" s="8">
        <f t="shared" si="36"/>
        <v>-8.1199999999999992</v>
      </c>
      <c r="Y50" s="3"/>
      <c r="Z50" s="7">
        <f t="shared" si="37"/>
        <v>-1</v>
      </c>
    </row>
    <row r="51" spans="1:26" s="27" customFormat="1" outlineLevel="1" collapsed="1" x14ac:dyDescent="0.25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0</v>
      </c>
      <c r="E51" s="1"/>
      <c r="F51" s="5">
        <f t="shared" ref="F51:F53" si="38">IF(D$12=0,0,D51/D$12)</f>
        <v>0</v>
      </c>
      <c r="G51" s="1"/>
      <c r="H51" s="1">
        <f>SUM(OSRRefH22_8x_0)</f>
        <v>1406.46</v>
      </c>
      <c r="I51" s="1"/>
      <c r="J51" s="5">
        <f t="shared" ref="J51:J53" si="39">IF(H$12=0,0,H51/H$12)</f>
        <v>5.7270204150772532E-2</v>
      </c>
      <c r="K51" s="1"/>
      <c r="L51" s="1">
        <f t="shared" ref="L51:L53" si="40">+D51-H51</f>
        <v>-1406.46</v>
      </c>
      <c r="M51" s="1"/>
      <c r="N51" s="5">
        <f t="shared" ref="N51:N53" si="41">IF(H51=0,0,L51/H51)</f>
        <v>-1</v>
      </c>
      <c r="O51" s="14"/>
      <c r="P51" s="1">
        <f>SUM(OSRRefP22_8x_0)</f>
        <v>0</v>
      </c>
      <c r="Q51" s="1"/>
      <c r="R51" s="5">
        <f t="shared" ref="R51:R53" si="42">IF(P$12=0,0,P51/P$12)</f>
        <v>0</v>
      </c>
      <c r="S51" s="1"/>
      <c r="T51" s="1">
        <f>SUM(OSRRefT22_8x_0)</f>
        <v>1406.46</v>
      </c>
      <c r="U51" s="1"/>
      <c r="V51" s="5">
        <f t="shared" ref="V51:V53" si="43">IF(T$12=0,0,T51/T$12)</f>
        <v>5.7270204150772532E-2</v>
      </c>
      <c r="W51" s="1"/>
      <c r="X51" s="1">
        <f t="shared" ref="X51:X53" si="44">+P51-T51</f>
        <v>-1406.46</v>
      </c>
      <c r="Y51" s="1"/>
      <c r="Z51" s="5">
        <f t="shared" ref="Z51:Z53" si="45">IF(T51=0,0,X51/T51)</f>
        <v>-1</v>
      </c>
    </row>
    <row r="52" spans="1:26" s="24" customFormat="1" hidden="1" outlineLevel="2" x14ac:dyDescent="0.25">
      <c r="A52" s="29"/>
      <c r="B52" s="11" t="str">
        <f>CONCATENATE("          ", "6239", " - ", "KITCHEN SUPPLIES")</f>
        <v xml:space="preserve">          6239 - KITCHEN SUPPLIES</v>
      </c>
      <c r="C52" s="11"/>
      <c r="D52" s="8"/>
      <c r="E52" s="3"/>
      <c r="F52" s="7">
        <f t="shared" si="38"/>
        <v>0</v>
      </c>
      <c r="G52" s="3"/>
      <c r="H52" s="8">
        <v>1348.63</v>
      </c>
      <c r="I52" s="3"/>
      <c r="J52" s="7">
        <f t="shared" si="39"/>
        <v>5.4915401379247449E-2</v>
      </c>
      <c r="K52" s="3"/>
      <c r="L52" s="8">
        <f t="shared" si="40"/>
        <v>-1348.63</v>
      </c>
      <c r="M52" s="3"/>
      <c r="N52" s="7">
        <f t="shared" si="41"/>
        <v>-1</v>
      </c>
      <c r="O52" s="11"/>
      <c r="P52" s="8"/>
      <c r="Q52" s="3"/>
      <c r="R52" s="7">
        <f t="shared" si="42"/>
        <v>0</v>
      </c>
      <c r="S52" s="3"/>
      <c r="T52" s="8">
        <v>1348.63</v>
      </c>
      <c r="U52" s="3"/>
      <c r="V52" s="7">
        <f t="shared" si="43"/>
        <v>5.4915401379247449E-2</v>
      </c>
      <c r="W52" s="3"/>
      <c r="X52" s="8">
        <f t="shared" si="44"/>
        <v>-1348.63</v>
      </c>
      <c r="Y52" s="3"/>
      <c r="Z52" s="7">
        <f t="shared" si="45"/>
        <v>-1</v>
      </c>
    </row>
    <row r="53" spans="1:26" s="24" customFormat="1" hidden="1" outlineLevel="2" x14ac:dyDescent="0.25">
      <c r="A53" s="29"/>
      <c r="B53" s="11" t="str">
        <f>CONCATENATE("          ", "6241", " - ", "OFFICE EXPENSE")</f>
        <v xml:space="preserve">          6241 - OFFICE EXPENSE</v>
      </c>
      <c r="C53" s="11"/>
      <c r="D53" s="8"/>
      <c r="E53" s="3"/>
      <c r="F53" s="7">
        <f t="shared" si="38"/>
        <v>0</v>
      </c>
      <c r="G53" s="3"/>
      <c r="H53" s="8">
        <v>57.83</v>
      </c>
      <c r="I53" s="3"/>
      <c r="J53" s="7">
        <f t="shared" si="39"/>
        <v>2.3548027715250882E-3</v>
      </c>
      <c r="K53" s="3"/>
      <c r="L53" s="8">
        <f t="shared" si="40"/>
        <v>-57.83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57.83</v>
      </c>
      <c r="U53" s="3"/>
      <c r="V53" s="7">
        <f t="shared" si="43"/>
        <v>2.3548027715250882E-3</v>
      </c>
      <c r="W53" s="3"/>
      <c r="X53" s="8">
        <f t="shared" si="44"/>
        <v>-57.83</v>
      </c>
      <c r="Y53" s="3"/>
      <c r="Z53" s="7">
        <f t="shared" si="45"/>
        <v>-1</v>
      </c>
    </row>
    <row r="54" spans="1:26" s="27" customFormat="1" outlineLevel="1" collapsed="1" x14ac:dyDescent="0.25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56</v>
      </c>
      <c r="E54" s="1"/>
      <c r="F54" s="5">
        <f t="shared" ref="F54:F57" si="46">IF(D$12=0,0,D54/D$12)</f>
        <v>0</v>
      </c>
      <c r="G54" s="1"/>
      <c r="H54" s="1">
        <f>SUM(OSRRefH22_9x_0)</f>
        <v>221.43</v>
      </c>
      <c r="I54" s="1"/>
      <c r="J54" s="5">
        <f t="shared" ref="J54:J57" si="47">IF(H$12=0,0,H54/H$12)</f>
        <v>9.0164962424139766E-3</v>
      </c>
      <c r="K54" s="1"/>
      <c r="L54" s="1">
        <f t="shared" ref="L54:L57" si="48">+D54-H54</f>
        <v>-165.43</v>
      </c>
      <c r="M54" s="1"/>
      <c r="N54" s="5">
        <f t="shared" ref="N54:N57" si="49">IF(H54=0,0,L54/H54)</f>
        <v>-0.7470984058167367</v>
      </c>
      <c r="O54" s="14"/>
      <c r="P54" s="1">
        <f>SUM(OSRRefP22_9x_0)</f>
        <v>56</v>
      </c>
      <c r="Q54" s="1"/>
      <c r="R54" s="5">
        <f t="shared" ref="R54:R57" si="50">IF(P$12=0,0,P54/P$12)</f>
        <v>0</v>
      </c>
      <c r="S54" s="1"/>
      <c r="T54" s="1">
        <f>SUM(OSRRefT22_9x_0)</f>
        <v>221.43</v>
      </c>
      <c r="U54" s="1"/>
      <c r="V54" s="5">
        <f t="shared" ref="V54:V57" si="51">IF(T$12=0,0,T54/T$12)</f>
        <v>9.0164962424139766E-3</v>
      </c>
      <c r="W54" s="1"/>
      <c r="X54" s="1">
        <f t="shared" ref="X54:X57" si="52">+P54-T54</f>
        <v>-165.43</v>
      </c>
      <c r="Y54" s="1"/>
      <c r="Z54" s="5">
        <f t="shared" ref="Z54:Z57" si="53">IF(T54=0,0,X54/T54)</f>
        <v>-0.7470984058167367</v>
      </c>
    </row>
    <row r="55" spans="1:26" s="24" customFormat="1" hidden="1" outlineLevel="2" x14ac:dyDescent="0.25">
      <c r="A55" s="29"/>
      <c r="B55" s="11" t="str">
        <f>CONCATENATE("          ", "6309", " - ", "TELEPHONE")</f>
        <v xml:space="preserve">          6309 - TELEPHONE</v>
      </c>
      <c r="C55" s="11"/>
      <c r="D55" s="8">
        <v>56</v>
      </c>
      <c r="E55" s="3"/>
      <c r="F55" s="7">
        <f t="shared" si="46"/>
        <v>0</v>
      </c>
      <c r="G55" s="3"/>
      <c r="H55" s="8">
        <v>221.43</v>
      </c>
      <c r="I55" s="3"/>
      <c r="J55" s="7">
        <f t="shared" si="47"/>
        <v>9.0164962424139766E-3</v>
      </c>
      <c r="K55" s="3"/>
      <c r="L55" s="8">
        <f t="shared" si="48"/>
        <v>-165.43</v>
      </c>
      <c r="M55" s="3"/>
      <c r="N55" s="7">
        <f t="shared" si="49"/>
        <v>-0.7470984058167367</v>
      </c>
      <c r="O55" s="11"/>
      <c r="P55" s="8">
        <v>56</v>
      </c>
      <c r="Q55" s="3"/>
      <c r="R55" s="7">
        <f t="shared" si="50"/>
        <v>0</v>
      </c>
      <c r="S55" s="3"/>
      <c r="T55" s="8">
        <v>221.43</v>
      </c>
      <c r="U55" s="3"/>
      <c r="V55" s="7">
        <f t="shared" si="51"/>
        <v>9.0164962424139766E-3</v>
      </c>
      <c r="W55" s="3"/>
      <c r="X55" s="8">
        <f t="shared" si="52"/>
        <v>-165.43</v>
      </c>
      <c r="Y55" s="3"/>
      <c r="Z55" s="7">
        <f t="shared" si="53"/>
        <v>-0.7470984058167367</v>
      </c>
    </row>
    <row r="56" spans="1:26" s="27" customFormat="1" outlineLevel="1" collapsed="1" x14ac:dyDescent="0.25">
      <c r="A56" s="28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0</v>
      </c>
      <c r="E56" s="1"/>
      <c r="F56" s="5">
        <f t="shared" si="46"/>
        <v>0</v>
      </c>
      <c r="G56" s="1"/>
      <c r="H56" s="1">
        <f>SUM(OSRRefH22_10x_0)</f>
        <v>152.94999999999999</v>
      </c>
      <c r="I56" s="1"/>
      <c r="J56" s="5">
        <f t="shared" si="47"/>
        <v>6.2280318849172091E-3</v>
      </c>
      <c r="K56" s="1"/>
      <c r="L56" s="1">
        <f t="shared" si="48"/>
        <v>-152.94999999999999</v>
      </c>
      <c r="M56" s="1"/>
      <c r="N56" s="5">
        <f t="shared" si="49"/>
        <v>-1</v>
      </c>
      <c r="O56" s="14"/>
      <c r="P56" s="1">
        <f>SUM(OSRRefP22_10x_0)</f>
        <v>0</v>
      </c>
      <c r="Q56" s="1"/>
      <c r="R56" s="5">
        <f t="shared" si="50"/>
        <v>0</v>
      </c>
      <c r="S56" s="1"/>
      <c r="T56" s="1">
        <f>SUM(OSRRefT22_10x_0)</f>
        <v>152.94999999999999</v>
      </c>
      <c r="U56" s="1"/>
      <c r="V56" s="5">
        <f t="shared" si="51"/>
        <v>6.2280318849172091E-3</v>
      </c>
      <c r="W56" s="1"/>
      <c r="X56" s="1">
        <f t="shared" si="52"/>
        <v>-152.94999999999999</v>
      </c>
      <c r="Y56" s="1"/>
      <c r="Z56" s="5">
        <f t="shared" si="53"/>
        <v>-1</v>
      </c>
    </row>
    <row r="57" spans="1:26" s="24" customFormat="1" hidden="1" outlineLevel="2" x14ac:dyDescent="0.25">
      <c r="A57" s="29"/>
      <c r="B57" s="11" t="str">
        <f>CONCATENATE("          ", "6376", " - ", "TRAINING")</f>
        <v xml:space="preserve">          6376 - TRAINING</v>
      </c>
      <c r="C57" s="11"/>
      <c r="D57" s="8"/>
      <c r="E57" s="3"/>
      <c r="F57" s="7">
        <f t="shared" si="46"/>
        <v>0</v>
      </c>
      <c r="G57" s="3"/>
      <c r="H57" s="8">
        <v>152.94999999999999</v>
      </c>
      <c r="I57" s="3"/>
      <c r="J57" s="7">
        <f t="shared" si="47"/>
        <v>6.2280318849172091E-3</v>
      </c>
      <c r="K57" s="3"/>
      <c r="L57" s="8">
        <f t="shared" si="48"/>
        <v>-152.94999999999999</v>
      </c>
      <c r="M57" s="3"/>
      <c r="N57" s="7">
        <f t="shared" si="49"/>
        <v>-1</v>
      </c>
      <c r="O57" s="11"/>
      <c r="P57" s="8"/>
      <c r="Q57" s="3"/>
      <c r="R57" s="7">
        <f t="shared" si="50"/>
        <v>0</v>
      </c>
      <c r="S57" s="3"/>
      <c r="T57" s="8">
        <v>152.94999999999999</v>
      </c>
      <c r="U57" s="3"/>
      <c r="V57" s="7">
        <f t="shared" si="51"/>
        <v>6.2280318849172091E-3</v>
      </c>
      <c r="W57" s="3"/>
      <c r="X57" s="8">
        <f t="shared" si="52"/>
        <v>-152.94999999999999</v>
      </c>
      <c r="Y57" s="3"/>
      <c r="Z57" s="7">
        <f t="shared" si="53"/>
        <v>-1</v>
      </c>
    </row>
    <row r="58" spans="1:26" s="61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5" t="s">
        <v>0</v>
      </c>
      <c r="C59" s="10"/>
      <c r="D59" s="4">
        <f>SUM(OSRRefD25x_0)</f>
        <v>0</v>
      </c>
      <c r="E59" s="4"/>
      <c r="F59" s="12">
        <f t="shared" ref="F59:F60" si="54">IF(D$12=0,0,D59/D$12)</f>
        <v>0</v>
      </c>
      <c r="G59" s="4"/>
      <c r="H59" s="4">
        <f>SUM(OSRRefH25x_0)</f>
        <v>29281.48</v>
      </c>
      <c r="I59" s="4"/>
      <c r="J59" s="12">
        <f t="shared" ref="J59:J60" si="55">IF(H$12=0,0,H59/H$12)</f>
        <v>1.1923242306476991</v>
      </c>
      <c r="K59" s="4"/>
      <c r="L59" s="4">
        <f t="shared" ref="L59:L60" si="56">+D59-H59</f>
        <v>-29281.48</v>
      </c>
      <c r="M59" s="4"/>
      <c r="N59" s="12">
        <f t="shared" ref="N59:N60" si="57">IF(H59=0,0,L59/H59)</f>
        <v>-1</v>
      </c>
      <c r="O59" s="10"/>
      <c r="P59" s="4">
        <f>SUM(OSRRefP25x_0)</f>
        <v>0</v>
      </c>
      <c r="Q59" s="4"/>
      <c r="R59" s="12">
        <f t="shared" ref="R59:R60" si="58">IF(P$12=0,0,P59/P$12)</f>
        <v>0</v>
      </c>
      <c r="S59" s="4"/>
      <c r="T59" s="4">
        <f>SUM(OSRRefT25x_0)</f>
        <v>29281.48</v>
      </c>
      <c r="U59" s="4"/>
      <c r="V59" s="12">
        <f t="shared" ref="V59:V60" si="59">IF(T$12=0,0,T59/T$12)</f>
        <v>1.1923242306476991</v>
      </c>
      <c r="W59" s="4"/>
      <c r="X59" s="4">
        <f t="shared" ref="X59:X60" si="60">+P59-T59</f>
        <v>-29281.48</v>
      </c>
      <c r="Y59" s="4"/>
      <c r="Z59" s="12">
        <f t="shared" ref="Z59:Z60" si="61">IF(T59=0,0,X59/T59)</f>
        <v>-1</v>
      </c>
    </row>
    <row r="60" spans="1:26" s="24" customFormat="1" hidden="1" outlineLevel="1" x14ac:dyDescent="0.25">
      <c r="A60" s="50"/>
      <c r="B60" s="11" t="str">
        <f>CONCATENATE("          ", "9150", " - ", "MISC. INCOME")</f>
        <v xml:space="preserve">          9150 - MISC. INCOME</v>
      </c>
      <c r="C60" s="11"/>
      <c r="D60" s="3">
        <f>0</f>
        <v>0</v>
      </c>
      <c r="E60" s="3"/>
      <c r="F60" s="22">
        <f t="shared" si="54"/>
        <v>0</v>
      </c>
      <c r="G60" s="3"/>
      <c r="H60" s="3">
        <f>--29281.48</f>
        <v>29281.48</v>
      </c>
      <c r="I60" s="3"/>
      <c r="J60" s="22">
        <f t="shared" si="55"/>
        <v>1.1923242306476991</v>
      </c>
      <c r="K60" s="3"/>
      <c r="L60" s="3">
        <f t="shared" si="56"/>
        <v>-29281.48</v>
      </c>
      <c r="M60" s="3"/>
      <c r="N60" s="22">
        <f t="shared" si="57"/>
        <v>-1</v>
      </c>
      <c r="O60" s="11"/>
      <c r="P60" s="3">
        <f>0</f>
        <v>0</v>
      </c>
      <c r="Q60" s="3"/>
      <c r="R60" s="22">
        <f t="shared" si="58"/>
        <v>0</v>
      </c>
      <c r="S60" s="3"/>
      <c r="T60" s="3">
        <f>--29281.48</f>
        <v>29281.48</v>
      </c>
      <c r="U60" s="3"/>
      <c r="V60" s="22">
        <f t="shared" si="59"/>
        <v>1.1923242306476991</v>
      </c>
      <c r="W60" s="3"/>
      <c r="X60" s="3">
        <f t="shared" si="60"/>
        <v>-29281.48</v>
      </c>
      <c r="Y60" s="3"/>
      <c r="Z60" s="22">
        <f t="shared" si="61"/>
        <v>-1</v>
      </c>
    </row>
    <row r="61" spans="1:26" x14ac:dyDescent="0.25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x14ac:dyDescent="0.25">
      <c r="A62" s="10"/>
      <c r="B62" s="26" t="s">
        <v>3</v>
      </c>
      <c r="C62" s="26"/>
      <c r="D62" s="19">
        <f>+D20-D22+D59</f>
        <v>-3855.2699999999995</v>
      </c>
      <c r="E62" s="13"/>
      <c r="F62" s="20">
        <f>IF(D$12=0,0,D62/D$12)</f>
        <v>0</v>
      </c>
      <c r="G62" s="13"/>
      <c r="H62" s="19">
        <f>+H20-H22+H59</f>
        <v>21967.179999999993</v>
      </c>
      <c r="I62" s="13"/>
      <c r="J62" s="20">
        <f>IF(H$12=0,0,H62/H$12)</f>
        <v>0.89449033973007896</v>
      </c>
      <c r="K62" s="16"/>
      <c r="L62" s="19">
        <f>+D62-H62</f>
        <v>-25822.449999999993</v>
      </c>
      <c r="M62" s="16"/>
      <c r="N62" s="20">
        <f>IF(H62=0,0,L62/H62)</f>
        <v>-1.1755013615766794</v>
      </c>
      <c r="O62" s="25"/>
      <c r="P62" s="19">
        <f>+P20-P22+P59</f>
        <v>-3855.2699999999995</v>
      </c>
      <c r="Q62" s="13"/>
      <c r="R62" s="20">
        <f>IF(P$12=0,0,P62/P$12)</f>
        <v>0</v>
      </c>
      <c r="S62" s="13"/>
      <c r="T62" s="19">
        <f>+T20-T22+T59</f>
        <v>21967.179999999993</v>
      </c>
      <c r="U62" s="13"/>
      <c r="V62" s="20">
        <f>IF(T$12=0,0,T62/T$12)</f>
        <v>0.89449033973007896</v>
      </c>
      <c r="W62" s="16"/>
      <c r="X62" s="19">
        <f>+P62-T62</f>
        <v>-25822.449999999993</v>
      </c>
      <c r="Y62" s="16"/>
      <c r="Z62" s="20">
        <f>IF(T62=0,0,X62/T62)</f>
        <v>-1.1755013615766794</v>
      </c>
    </row>
    <row r="63" spans="1:26" x14ac:dyDescent="0.25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>
        <v>5106.3999999999996</v>
      </c>
      <c r="I64" s="4"/>
      <c r="J64" s="12">
        <f>IF(H$12=0,0,H64/H$12)</f>
        <v>0.20792953263904043</v>
      </c>
      <c r="K64" s="4"/>
      <c r="L64" s="4">
        <f>+D64-H64</f>
        <v>-5106.3999999999996</v>
      </c>
      <c r="M64" s="4"/>
      <c r="N64" s="12">
        <f>IF(H64=0,0,L64/H64)</f>
        <v>-1</v>
      </c>
      <c r="O64" s="10"/>
      <c r="P64" s="4"/>
      <c r="Q64" s="4"/>
      <c r="R64" s="12">
        <f>IF(P$12=0,0,P64/P$12)</f>
        <v>0</v>
      </c>
      <c r="S64" s="4"/>
      <c r="T64" s="4">
        <v>5106.3999999999996</v>
      </c>
      <c r="U64" s="4"/>
      <c r="V64" s="12">
        <f>IF(T$12=0,0,T64/T$12)</f>
        <v>0.20792953263904043</v>
      </c>
      <c r="W64" s="4"/>
      <c r="X64" s="4">
        <f>+P64-T64</f>
        <v>-5106.3999999999996</v>
      </c>
      <c r="Y64" s="4"/>
      <c r="Z64" s="12">
        <f>IF(T64=0,0,X64/T64)</f>
        <v>-1</v>
      </c>
    </row>
    <row r="65" spans="1:26" x14ac:dyDescent="0.25">
      <c r="A65" s="9"/>
      <c r="B65" s="10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10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.75" thickBot="1" x14ac:dyDescent="0.3">
      <c r="A66" s="10"/>
      <c r="B66" s="26" t="s">
        <v>4</v>
      </c>
      <c r="C66" s="26"/>
      <c r="D66" s="35">
        <f>+D62-D64</f>
        <v>-3855.2699999999995</v>
      </c>
      <c r="E66" s="13"/>
      <c r="F66" s="30">
        <f>IF(D$12=0,0,D66/D$12)</f>
        <v>0</v>
      </c>
      <c r="G66" s="13"/>
      <c r="H66" s="35">
        <f>+H62-H64</f>
        <v>16860.779999999992</v>
      </c>
      <c r="I66" s="13"/>
      <c r="J66" s="30">
        <f>IF(H$12=0,0,H66/H$12)</f>
        <v>0.68656080709103851</v>
      </c>
      <c r="K66" s="16"/>
      <c r="L66" s="35">
        <f>D66-H66</f>
        <v>-20716.049999999992</v>
      </c>
      <c r="M66" s="16"/>
      <c r="N66" s="30">
        <f>IF(H66=0,0,L66/H66)</f>
        <v>-1.2286531228092652</v>
      </c>
      <c r="O66" s="25"/>
      <c r="P66" s="35">
        <f>+P62-P64</f>
        <v>-3855.2699999999995</v>
      </c>
      <c r="Q66" s="13"/>
      <c r="R66" s="30">
        <f>IF(P$12=0,0,P66/P$12)</f>
        <v>0</v>
      </c>
      <c r="S66" s="13"/>
      <c r="T66" s="35">
        <f>+T62-T64</f>
        <v>16860.779999999992</v>
      </c>
      <c r="U66" s="13"/>
      <c r="V66" s="30">
        <f>IF(T$12=0,0,T66/T$12)</f>
        <v>0.68656080709103851</v>
      </c>
      <c r="W66" s="16"/>
      <c r="X66" s="35">
        <f>P66-T66</f>
        <v>-20716.049999999992</v>
      </c>
      <c r="Y66" s="16"/>
      <c r="Z66" s="30">
        <f>IF(T66=0,0,X66/T66)</f>
        <v>-1.2286531228092652</v>
      </c>
    </row>
    <row r="67" spans="1:26" ht="15.75" thickTop="1" x14ac:dyDescent="0.25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x14ac:dyDescent="0.25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.75" thickBot="1" x14ac:dyDescent="0.3">
      <c r="A69" s="10"/>
      <c r="B69" s="26" t="s">
        <v>5</v>
      </c>
      <c r="C69" s="26"/>
      <c r="D69" s="31">
        <f>SUM(D66:D68)</f>
        <v>-3855.2699999999995</v>
      </c>
      <c r="E69" s="13"/>
      <c r="F69" s="32">
        <f>IF(D$12=0,0,D69/D$12)</f>
        <v>0</v>
      </c>
      <c r="G69" s="13"/>
      <c r="H69" s="31">
        <f>SUM(H66:H68)</f>
        <v>16860.779999999992</v>
      </c>
      <c r="I69" s="13"/>
      <c r="J69" s="32">
        <f>IF(H$12=0,0,H69/H$12)</f>
        <v>0.68656080709103851</v>
      </c>
      <c r="K69" s="16"/>
      <c r="L69" s="31">
        <f>+D69-H69</f>
        <v>-20716.049999999992</v>
      </c>
      <c r="M69" s="16"/>
      <c r="N69" s="32">
        <f>IF(H69=0,0,L69/H69)</f>
        <v>-1.2286531228092652</v>
      </c>
      <c r="O69" s="25"/>
      <c r="P69" s="31">
        <f>SUM(P66:P68)</f>
        <v>-3855.2699999999995</v>
      </c>
      <c r="Q69" s="13"/>
      <c r="R69" s="32">
        <f>IF(P$12=0,0,P69/P$12)</f>
        <v>0</v>
      </c>
      <c r="S69" s="13"/>
      <c r="T69" s="31">
        <f>SUM(T66:T68)</f>
        <v>16860.779999999992</v>
      </c>
      <c r="U69" s="13"/>
      <c r="V69" s="32">
        <f>IF(T$12=0,0,T69/T$12)</f>
        <v>0.68656080709103851</v>
      </c>
      <c r="W69" s="16"/>
      <c r="X69" s="31">
        <f>+P69-T69</f>
        <v>-20716.049999999992</v>
      </c>
      <c r="Y69" s="16"/>
      <c r="Z69" s="32">
        <f>IF(T69=0,0,X69/T69)</f>
        <v>-1.2286531228092652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9">
        <v>44109.414800543978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2" t="s">
        <v>313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6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0</v>
      </c>
      <c r="E18" s="21"/>
      <c r="F18" s="34">
        <f t="shared" ref="F18:F26" si="0">IF(D$12=0,0,D18/D$12)</f>
        <v>0</v>
      </c>
      <c r="G18" s="21"/>
      <c r="H18" s="21">
        <f>SUM(OSRRefH22x_0)</f>
        <v>10114.89</v>
      </c>
      <c r="I18" s="21"/>
      <c r="J18" s="34">
        <f t="shared" ref="J18:J26" si="1">IF(H$12=0,0,H18/H$12)</f>
        <v>0</v>
      </c>
      <c r="K18" s="4"/>
      <c r="L18" s="21">
        <f t="shared" ref="L18:L26" si="2">+D18-H18</f>
        <v>-10114.89</v>
      </c>
      <c r="M18" s="4"/>
      <c r="N18" s="34">
        <f t="shared" ref="N18:N26" si="3">IF(H18=0,0,L18/H18)</f>
        <v>-1</v>
      </c>
      <c r="O18" s="10"/>
      <c r="P18" s="21">
        <f>SUM(OSRRefP22x_0)</f>
        <v>0</v>
      </c>
      <c r="Q18" s="21"/>
      <c r="R18" s="34">
        <f t="shared" ref="R18:R26" si="4">IF(P$12=0,0,P18/P$12)</f>
        <v>0</v>
      </c>
      <c r="S18" s="21"/>
      <c r="T18" s="21">
        <f>SUM(OSRRefT22x_0)</f>
        <v>10114.89</v>
      </c>
      <c r="U18" s="21"/>
      <c r="V18" s="34">
        <f t="shared" ref="V18:V26" si="5">IF(T$12=0,0,T18/T$12)</f>
        <v>0</v>
      </c>
      <c r="W18" s="4"/>
      <c r="X18" s="21">
        <f t="shared" ref="X18:X26" si="6">+P18-T18</f>
        <v>-10114.89</v>
      </c>
      <c r="Y18" s="4"/>
      <c r="Z18" s="34">
        <f t="shared" ref="Z18:Z26" si="7">IF(T18=0,0,X18/T18)</f>
        <v>-1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4396.8100000000004</v>
      </c>
      <c r="I19" s="1"/>
      <c r="J19" s="5">
        <f t="shared" si="1"/>
        <v>0</v>
      </c>
      <c r="K19" s="1"/>
      <c r="L19" s="1">
        <f t="shared" si="2"/>
        <v>-4396.8100000000004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4396.8100000000004</v>
      </c>
      <c r="U19" s="1"/>
      <c r="V19" s="5">
        <f t="shared" si="5"/>
        <v>0</v>
      </c>
      <c r="W19" s="1"/>
      <c r="X19" s="1">
        <f t="shared" si="6"/>
        <v>-4396.8100000000004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/>
      <c r="E20" s="3"/>
      <c r="F20" s="7">
        <f t="shared" si="0"/>
        <v>0</v>
      </c>
      <c r="G20" s="3"/>
      <c r="H20" s="8">
        <v>349.92</v>
      </c>
      <c r="I20" s="3"/>
      <c r="J20" s="7">
        <f t="shared" si="1"/>
        <v>0</v>
      </c>
      <c r="K20" s="3"/>
      <c r="L20" s="8">
        <f t="shared" si="2"/>
        <v>-349.92</v>
      </c>
      <c r="M20" s="3"/>
      <c r="N20" s="7">
        <f t="shared" si="3"/>
        <v>-1</v>
      </c>
      <c r="O20" s="11"/>
      <c r="P20" s="8"/>
      <c r="Q20" s="3"/>
      <c r="R20" s="7">
        <f t="shared" si="4"/>
        <v>0</v>
      </c>
      <c r="S20" s="3"/>
      <c r="T20" s="8">
        <v>349.92</v>
      </c>
      <c r="U20" s="3"/>
      <c r="V20" s="7">
        <f t="shared" si="5"/>
        <v>0</v>
      </c>
      <c r="W20" s="3"/>
      <c r="X20" s="8">
        <f t="shared" si="6"/>
        <v>-349.92</v>
      </c>
      <c r="Y20" s="3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/>
      <c r="E21" s="3"/>
      <c r="F21" s="7">
        <f t="shared" si="0"/>
        <v>0</v>
      </c>
      <c r="G21" s="3"/>
      <c r="H21" s="8">
        <v>177.47</v>
      </c>
      <c r="I21" s="3"/>
      <c r="J21" s="7">
        <f t="shared" si="1"/>
        <v>0</v>
      </c>
      <c r="K21" s="3"/>
      <c r="L21" s="8">
        <f t="shared" si="2"/>
        <v>-177.47</v>
      </c>
      <c r="M21" s="3"/>
      <c r="N21" s="7">
        <f t="shared" si="3"/>
        <v>-1</v>
      </c>
      <c r="O21" s="11"/>
      <c r="P21" s="8"/>
      <c r="Q21" s="3"/>
      <c r="R21" s="7">
        <f t="shared" si="4"/>
        <v>0</v>
      </c>
      <c r="S21" s="3"/>
      <c r="T21" s="8">
        <v>177.47</v>
      </c>
      <c r="U21" s="3"/>
      <c r="V21" s="7">
        <f t="shared" si="5"/>
        <v>0</v>
      </c>
      <c r="W21" s="3"/>
      <c r="X21" s="8">
        <f t="shared" si="6"/>
        <v>-177.47</v>
      </c>
      <c r="Y21" s="3"/>
      <c r="Z21" s="7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/>
      <c r="E22" s="3"/>
      <c r="F22" s="7">
        <f t="shared" si="0"/>
        <v>0</v>
      </c>
      <c r="G22" s="3"/>
      <c r="H22" s="8">
        <v>931.95</v>
      </c>
      <c r="I22" s="3"/>
      <c r="J22" s="7">
        <f t="shared" si="1"/>
        <v>0</v>
      </c>
      <c r="K22" s="3"/>
      <c r="L22" s="8">
        <f t="shared" si="2"/>
        <v>-931.95</v>
      </c>
      <c r="M22" s="3"/>
      <c r="N22" s="7">
        <f t="shared" si="3"/>
        <v>-1</v>
      </c>
      <c r="O22" s="11"/>
      <c r="P22" s="8"/>
      <c r="Q22" s="3"/>
      <c r="R22" s="7">
        <f t="shared" si="4"/>
        <v>0</v>
      </c>
      <c r="S22" s="3"/>
      <c r="T22" s="8">
        <v>931.95</v>
      </c>
      <c r="U22" s="3"/>
      <c r="V22" s="7">
        <f t="shared" si="5"/>
        <v>0</v>
      </c>
      <c r="W22" s="3"/>
      <c r="X22" s="8">
        <f t="shared" si="6"/>
        <v>-931.95</v>
      </c>
      <c r="Y22" s="3"/>
      <c r="Z22" s="7">
        <f t="shared" si="7"/>
        <v>-1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/>
      <c r="E23" s="3"/>
      <c r="F23" s="7">
        <f t="shared" si="0"/>
        <v>0</v>
      </c>
      <c r="G23" s="3"/>
      <c r="H23" s="8">
        <v>11.89</v>
      </c>
      <c r="I23" s="3"/>
      <c r="J23" s="7">
        <f t="shared" si="1"/>
        <v>0</v>
      </c>
      <c r="K23" s="3"/>
      <c r="L23" s="8">
        <f t="shared" si="2"/>
        <v>-11.89</v>
      </c>
      <c r="M23" s="3"/>
      <c r="N23" s="7">
        <f t="shared" si="3"/>
        <v>-1</v>
      </c>
      <c r="O23" s="11"/>
      <c r="P23" s="8"/>
      <c r="Q23" s="3"/>
      <c r="R23" s="7">
        <f t="shared" si="4"/>
        <v>0</v>
      </c>
      <c r="S23" s="3"/>
      <c r="T23" s="8">
        <v>11.89</v>
      </c>
      <c r="U23" s="3"/>
      <c r="V23" s="7">
        <f t="shared" si="5"/>
        <v>0</v>
      </c>
      <c r="W23" s="3"/>
      <c r="X23" s="8">
        <f t="shared" si="6"/>
        <v>-11.89</v>
      </c>
      <c r="Y23" s="3"/>
      <c r="Z23" s="7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/>
      <c r="E24" s="3"/>
      <c r="F24" s="7">
        <f t="shared" si="0"/>
        <v>0</v>
      </c>
      <c r="G24" s="3"/>
      <c r="H24" s="8">
        <v>467.52</v>
      </c>
      <c r="I24" s="3"/>
      <c r="J24" s="7">
        <f t="shared" si="1"/>
        <v>0</v>
      </c>
      <c r="K24" s="3"/>
      <c r="L24" s="8">
        <f t="shared" si="2"/>
        <v>-467.52</v>
      </c>
      <c r="M24" s="3"/>
      <c r="N24" s="7">
        <f t="shared" si="3"/>
        <v>-1</v>
      </c>
      <c r="O24" s="11"/>
      <c r="P24" s="8"/>
      <c r="Q24" s="3"/>
      <c r="R24" s="7">
        <f t="shared" si="4"/>
        <v>0</v>
      </c>
      <c r="S24" s="3"/>
      <c r="T24" s="8">
        <v>467.52</v>
      </c>
      <c r="U24" s="3"/>
      <c r="V24" s="7">
        <f t="shared" si="5"/>
        <v>0</v>
      </c>
      <c r="W24" s="3"/>
      <c r="X24" s="8">
        <f t="shared" si="6"/>
        <v>-467.52</v>
      </c>
      <c r="Y24" s="3"/>
      <c r="Z24" s="7">
        <f t="shared" si="7"/>
        <v>-1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/>
      <c r="E25" s="3"/>
      <c r="F25" s="7">
        <f t="shared" si="0"/>
        <v>0</v>
      </c>
      <c r="G25" s="3"/>
      <c r="H25" s="8">
        <v>755.72</v>
      </c>
      <c r="I25" s="3"/>
      <c r="J25" s="7">
        <f t="shared" si="1"/>
        <v>0</v>
      </c>
      <c r="K25" s="3"/>
      <c r="L25" s="8">
        <f t="shared" si="2"/>
        <v>-755.72</v>
      </c>
      <c r="M25" s="3"/>
      <c r="N25" s="7">
        <f t="shared" si="3"/>
        <v>-1</v>
      </c>
      <c r="O25" s="11"/>
      <c r="P25" s="8"/>
      <c r="Q25" s="3"/>
      <c r="R25" s="7">
        <f t="shared" si="4"/>
        <v>0</v>
      </c>
      <c r="S25" s="3"/>
      <c r="T25" s="8">
        <v>755.72</v>
      </c>
      <c r="U25" s="3"/>
      <c r="V25" s="7">
        <f t="shared" si="5"/>
        <v>0</v>
      </c>
      <c r="W25" s="3"/>
      <c r="X25" s="8">
        <f t="shared" si="6"/>
        <v>-755.72</v>
      </c>
      <c r="Y25" s="3"/>
      <c r="Z25" s="7">
        <f t="shared" si="7"/>
        <v>-1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/>
      <c r="E26" s="3"/>
      <c r="F26" s="7">
        <f t="shared" si="0"/>
        <v>0</v>
      </c>
      <c r="G26" s="3"/>
      <c r="H26" s="8">
        <v>1702.34</v>
      </c>
      <c r="I26" s="3"/>
      <c r="J26" s="7">
        <f t="shared" si="1"/>
        <v>0</v>
      </c>
      <c r="K26" s="3"/>
      <c r="L26" s="8">
        <f t="shared" si="2"/>
        <v>-1702.34</v>
      </c>
      <c r="M26" s="3"/>
      <c r="N26" s="7">
        <f t="shared" si="3"/>
        <v>-1</v>
      </c>
      <c r="O26" s="11"/>
      <c r="P26" s="8"/>
      <c r="Q26" s="3"/>
      <c r="R26" s="7">
        <f t="shared" si="4"/>
        <v>0</v>
      </c>
      <c r="S26" s="3"/>
      <c r="T26" s="8">
        <v>1702.34</v>
      </c>
      <c r="U26" s="3"/>
      <c r="V26" s="7">
        <f t="shared" si="5"/>
        <v>0</v>
      </c>
      <c r="W26" s="3"/>
      <c r="X26" s="8">
        <f t="shared" si="6"/>
        <v>-1702.34</v>
      </c>
      <c r="Y26" s="3"/>
      <c r="Z26" s="7">
        <f t="shared" si="7"/>
        <v>-1</v>
      </c>
    </row>
    <row r="27" spans="1:26" s="27" customFormat="1" outlineLevel="1" collapsed="1" x14ac:dyDescent="0.25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5718.08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-5718.08</v>
      </c>
      <c r="M27" s="1"/>
      <c r="N27" s="5">
        <f t="shared" ref="N27:N29" si="11">IF(H27=0,0,L27/H27)</f>
        <v>-1</v>
      </c>
      <c r="O27" s="14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5718.08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-5718.08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9"/>
      <c r="B28" s="11" t="str">
        <f>CONCATENATE("          ", "6001", " - ", "ADMINISTRATIVE SALARIES")</f>
        <v xml:space="preserve">          6001 - ADMINISTRATIVE SALARIES</v>
      </c>
      <c r="C28" s="11"/>
      <c r="D28" s="8"/>
      <c r="E28" s="3"/>
      <c r="F28" s="7">
        <f t="shared" si="8"/>
        <v>0</v>
      </c>
      <c r="G28" s="3"/>
      <c r="H28" s="8">
        <v>4574.08</v>
      </c>
      <c r="I28" s="3"/>
      <c r="J28" s="7">
        <f t="shared" si="9"/>
        <v>0</v>
      </c>
      <c r="K28" s="3"/>
      <c r="L28" s="8">
        <f t="shared" si="10"/>
        <v>-4574.08</v>
      </c>
      <c r="M28" s="3"/>
      <c r="N28" s="7">
        <f t="shared" si="11"/>
        <v>-1</v>
      </c>
      <c r="O28" s="11"/>
      <c r="P28" s="8"/>
      <c r="Q28" s="3"/>
      <c r="R28" s="7">
        <f t="shared" si="12"/>
        <v>0</v>
      </c>
      <c r="S28" s="3"/>
      <c r="T28" s="8">
        <v>4574.08</v>
      </c>
      <c r="U28" s="3"/>
      <c r="V28" s="7">
        <f t="shared" si="13"/>
        <v>0</v>
      </c>
      <c r="W28" s="3"/>
      <c r="X28" s="8">
        <f t="shared" si="14"/>
        <v>-4574.08</v>
      </c>
      <c r="Y28" s="3"/>
      <c r="Z28" s="7">
        <f t="shared" si="15"/>
        <v>-1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8"/>
      <c r="E29" s="3"/>
      <c r="F29" s="7">
        <f t="shared" si="8"/>
        <v>0</v>
      </c>
      <c r="G29" s="3"/>
      <c r="H29" s="8">
        <v>1144</v>
      </c>
      <c r="I29" s="3"/>
      <c r="J29" s="7">
        <f t="shared" si="9"/>
        <v>0</v>
      </c>
      <c r="K29" s="3"/>
      <c r="L29" s="8">
        <f t="shared" si="10"/>
        <v>-1144</v>
      </c>
      <c r="M29" s="3"/>
      <c r="N29" s="7">
        <f t="shared" si="11"/>
        <v>-1</v>
      </c>
      <c r="O29" s="11"/>
      <c r="P29" s="8"/>
      <c r="Q29" s="3"/>
      <c r="R29" s="7">
        <f t="shared" si="12"/>
        <v>0</v>
      </c>
      <c r="S29" s="3"/>
      <c r="T29" s="8">
        <v>1144</v>
      </c>
      <c r="U29" s="3"/>
      <c r="V29" s="7">
        <f t="shared" si="13"/>
        <v>0</v>
      </c>
      <c r="W29" s="3"/>
      <c r="X29" s="8">
        <f t="shared" si="14"/>
        <v>-1144</v>
      </c>
      <c r="Y29" s="3"/>
      <c r="Z29" s="7">
        <f t="shared" si="15"/>
        <v>-1</v>
      </c>
    </row>
    <row r="30" spans="1:26" s="61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5" t="s">
        <v>0</v>
      </c>
      <c r="C31" s="10"/>
      <c r="D31" s="4">
        <f>SUM(OSRRefD25x_0)</f>
        <v>1564.13</v>
      </c>
      <c r="E31" s="4"/>
      <c r="F31" s="12">
        <f t="shared" ref="F31:F33" si="16">IF(D$12=0,0,D31/D$12)</f>
        <v>0</v>
      </c>
      <c r="G31" s="4"/>
      <c r="H31" s="4">
        <f>SUM(OSRRefH25x_0)</f>
        <v>8662.2200000000012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-7098.0900000000011</v>
      </c>
      <c r="M31" s="4"/>
      <c r="N31" s="12">
        <f t="shared" ref="N31:N33" si="19">IF(H31=0,0,L31/H31)</f>
        <v>-0.8194308156569563</v>
      </c>
      <c r="O31" s="10"/>
      <c r="P31" s="4">
        <f>SUM(OSRRefP25x_0)</f>
        <v>1564.13</v>
      </c>
      <c r="Q31" s="4"/>
      <c r="R31" s="12">
        <f t="shared" ref="R31:R33" si="20">IF(P$12=0,0,P31/P$12)</f>
        <v>0</v>
      </c>
      <c r="S31" s="4"/>
      <c r="T31" s="4">
        <f>SUM(OSRRefT25x_0)</f>
        <v>8662.2200000000012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-7098.0900000000011</v>
      </c>
      <c r="Y31" s="4"/>
      <c r="Z31" s="12">
        <f t="shared" ref="Z31:Z33" si="23">IF(T31=0,0,X31/T31)</f>
        <v>-0.8194308156569563</v>
      </c>
    </row>
    <row r="32" spans="1:26" s="24" customFormat="1" hidden="1" outlineLevel="1" x14ac:dyDescent="0.25">
      <c r="A32" s="50"/>
      <c r="B32" s="11" t="str">
        <f>CONCATENATE("          ", "9160", " - ", "MISC. INCOME")</f>
        <v xml:space="preserve">          9160 - MISC. INCOME</v>
      </c>
      <c r="C32" s="11"/>
      <c r="D32" s="3">
        <f>--1363.63</f>
        <v>1363.63</v>
      </c>
      <c r="E32" s="3"/>
      <c r="F32" s="22">
        <f t="shared" si="16"/>
        <v>0</v>
      </c>
      <c r="G32" s="3"/>
      <c r="H32" s="3">
        <f>--4981.17</f>
        <v>4981.17</v>
      </c>
      <c r="I32" s="3"/>
      <c r="J32" s="22">
        <f t="shared" si="17"/>
        <v>0</v>
      </c>
      <c r="K32" s="3"/>
      <c r="L32" s="3">
        <f t="shared" si="18"/>
        <v>-3617.54</v>
      </c>
      <c r="M32" s="3"/>
      <c r="N32" s="22">
        <f t="shared" si="19"/>
        <v>-0.72624303125570899</v>
      </c>
      <c r="O32" s="11"/>
      <c r="P32" s="3">
        <f>--1363.63</f>
        <v>1363.63</v>
      </c>
      <c r="Q32" s="3"/>
      <c r="R32" s="22">
        <f t="shared" si="20"/>
        <v>0</v>
      </c>
      <c r="S32" s="3"/>
      <c r="T32" s="3">
        <f>--4981.17</f>
        <v>4981.17</v>
      </c>
      <c r="U32" s="3"/>
      <c r="V32" s="22">
        <f t="shared" si="21"/>
        <v>0</v>
      </c>
      <c r="W32" s="3"/>
      <c r="X32" s="3">
        <f t="shared" si="22"/>
        <v>-3617.54</v>
      </c>
      <c r="Y32" s="3"/>
      <c r="Z32" s="22">
        <f t="shared" si="23"/>
        <v>-0.72624303125570899</v>
      </c>
    </row>
    <row r="33" spans="1:26" s="24" customFormat="1" hidden="1" outlineLevel="1" x14ac:dyDescent="0.25">
      <c r="A33" s="50"/>
      <c r="B33" s="11" t="str">
        <f>CONCATENATE("          ", "9165", " - ", "OTHER INCOME")</f>
        <v xml:space="preserve">          9165 - OTHER INCOME</v>
      </c>
      <c r="C33" s="11"/>
      <c r="D33" s="3">
        <f>--200.5</f>
        <v>200.5</v>
      </c>
      <c r="E33" s="3"/>
      <c r="F33" s="22">
        <f t="shared" si="16"/>
        <v>0</v>
      </c>
      <c r="G33" s="3"/>
      <c r="H33" s="3">
        <f>--3681.05</f>
        <v>3681.05</v>
      </c>
      <c r="I33" s="3"/>
      <c r="J33" s="22">
        <f t="shared" si="17"/>
        <v>0</v>
      </c>
      <c r="K33" s="3"/>
      <c r="L33" s="3">
        <f t="shared" si="18"/>
        <v>-3480.55</v>
      </c>
      <c r="M33" s="3"/>
      <c r="N33" s="22">
        <f t="shared" si="19"/>
        <v>-0.9455318455332038</v>
      </c>
      <c r="O33" s="11"/>
      <c r="P33" s="3">
        <f>--200.5</f>
        <v>200.5</v>
      </c>
      <c r="Q33" s="3"/>
      <c r="R33" s="22">
        <f t="shared" si="20"/>
        <v>0</v>
      </c>
      <c r="S33" s="3"/>
      <c r="T33" s="3">
        <f>--3681.05</f>
        <v>3681.05</v>
      </c>
      <c r="U33" s="3"/>
      <c r="V33" s="22">
        <f t="shared" si="21"/>
        <v>0</v>
      </c>
      <c r="W33" s="3"/>
      <c r="X33" s="3">
        <f t="shared" si="22"/>
        <v>-3480.55</v>
      </c>
      <c r="Y33" s="3"/>
      <c r="Z33" s="22">
        <f t="shared" si="23"/>
        <v>-0.9455318455332038</v>
      </c>
    </row>
    <row r="34" spans="1:26" x14ac:dyDescent="0.25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x14ac:dyDescent="0.25">
      <c r="A35" s="10"/>
      <c r="B35" s="26" t="s">
        <v>3</v>
      </c>
      <c r="C35" s="26"/>
      <c r="D35" s="19">
        <f>+D16-D18+D31</f>
        <v>1564.13</v>
      </c>
      <c r="E35" s="13"/>
      <c r="F35" s="20">
        <f>IF(D$12=0,0,D35/D$12)</f>
        <v>0</v>
      </c>
      <c r="G35" s="13"/>
      <c r="H35" s="19">
        <f>+H16-H18+H31</f>
        <v>-1452.6699999999983</v>
      </c>
      <c r="I35" s="13"/>
      <c r="J35" s="20">
        <f>IF(H$12=0,0,H35/H$12)</f>
        <v>0</v>
      </c>
      <c r="K35" s="16"/>
      <c r="L35" s="19">
        <f>+D35-H35</f>
        <v>3016.7999999999984</v>
      </c>
      <c r="M35" s="16"/>
      <c r="N35" s="20">
        <f>IF(H35=0,0,L35/H35)</f>
        <v>-2.0767276807533728</v>
      </c>
      <c r="O35" s="25"/>
      <c r="P35" s="19">
        <f>+P16-P18+P31</f>
        <v>1564.13</v>
      </c>
      <c r="Q35" s="13"/>
      <c r="R35" s="20">
        <f>IF(P$12=0,0,P35/P$12)</f>
        <v>0</v>
      </c>
      <c r="S35" s="13"/>
      <c r="T35" s="19">
        <f>+T16-T18+T31</f>
        <v>-1452.6699999999983</v>
      </c>
      <c r="U35" s="13"/>
      <c r="V35" s="20">
        <f>IF(T$12=0,0,T35/T$12)</f>
        <v>0</v>
      </c>
      <c r="W35" s="16"/>
      <c r="X35" s="19">
        <f>+P35-T35</f>
        <v>3016.7999999999984</v>
      </c>
      <c r="Y35" s="16"/>
      <c r="Z35" s="20">
        <f>IF(T35=0,0,X35/T35)</f>
        <v>-2.0767276807533728</v>
      </c>
    </row>
    <row r="36" spans="1:26" x14ac:dyDescent="0.25">
      <c r="A36" s="9"/>
      <c r="B36" s="10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2"/>
      <c r="E38" s="2"/>
      <c r="F38" s="6"/>
      <c r="G38" s="2"/>
      <c r="H38" s="2"/>
      <c r="I38" s="2"/>
      <c r="J38" s="6"/>
      <c r="K38" s="2"/>
      <c r="L38" s="2"/>
      <c r="M38" s="2"/>
      <c r="N38" s="6"/>
      <c r="O38" s="10"/>
      <c r="P38" s="2"/>
      <c r="Q38" s="2"/>
      <c r="R38" s="6"/>
      <c r="S38" s="2"/>
      <c r="T38" s="2"/>
      <c r="U38" s="2"/>
      <c r="V38" s="6"/>
      <c r="W38" s="2"/>
      <c r="X38" s="2"/>
      <c r="Y38" s="2"/>
      <c r="Z38" s="6"/>
    </row>
    <row r="39" spans="1:26" s="23" customFormat="1" ht="15.75" thickBot="1" x14ac:dyDescent="0.3">
      <c r="A39" s="10"/>
      <c r="B39" s="26" t="s">
        <v>4</v>
      </c>
      <c r="C39" s="26"/>
      <c r="D39" s="35">
        <f>+D35-D37</f>
        <v>1564.13</v>
      </c>
      <c r="E39" s="13"/>
      <c r="F39" s="30">
        <f>IF(D$12=0,0,D39/D$12)</f>
        <v>0</v>
      </c>
      <c r="G39" s="13"/>
      <c r="H39" s="35">
        <f>+H35-H37</f>
        <v>-1452.6699999999983</v>
      </c>
      <c r="I39" s="13"/>
      <c r="J39" s="30">
        <f>IF(H$12=0,0,H39/H$12)</f>
        <v>0</v>
      </c>
      <c r="K39" s="16"/>
      <c r="L39" s="35">
        <f>D39-H39</f>
        <v>3016.7999999999984</v>
      </c>
      <c r="M39" s="16"/>
      <c r="N39" s="30">
        <f>IF(H39=0,0,L39/H39)</f>
        <v>-2.0767276807533728</v>
      </c>
      <c r="O39" s="25"/>
      <c r="P39" s="35">
        <f>+P35-P37</f>
        <v>1564.13</v>
      </c>
      <c r="Q39" s="13"/>
      <c r="R39" s="30">
        <f>IF(P$12=0,0,P39/P$12)</f>
        <v>0</v>
      </c>
      <c r="S39" s="13"/>
      <c r="T39" s="35">
        <f>+T35-T37</f>
        <v>-1452.6699999999983</v>
      </c>
      <c r="U39" s="13"/>
      <c r="V39" s="30">
        <f>IF(T$12=0,0,T39/T$12)</f>
        <v>0</v>
      </c>
      <c r="W39" s="16"/>
      <c r="X39" s="35">
        <f>P39-T39</f>
        <v>3016.7999999999984</v>
      </c>
      <c r="Y39" s="16"/>
      <c r="Z39" s="30">
        <f>IF(T39=0,0,X39/T39)</f>
        <v>-2.0767276807533728</v>
      </c>
    </row>
    <row r="40" spans="1:26" ht="15.75" thickTop="1" x14ac:dyDescent="0.25">
      <c r="A40" s="9"/>
      <c r="B40" s="9"/>
      <c r="C40" s="9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x14ac:dyDescent="0.25">
      <c r="A41" s="9"/>
      <c r="B41" s="9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ht="15.75" thickBot="1" x14ac:dyDescent="0.3">
      <c r="A42" s="10"/>
      <c r="B42" s="26" t="s">
        <v>5</v>
      </c>
      <c r="C42" s="26"/>
      <c r="D42" s="31">
        <f>SUM(D39:D41)</f>
        <v>1564.13</v>
      </c>
      <c r="E42" s="13"/>
      <c r="F42" s="32">
        <f>IF(D$12=0,0,D42/D$12)</f>
        <v>0</v>
      </c>
      <c r="G42" s="13"/>
      <c r="H42" s="31">
        <f>SUM(H39:H41)</f>
        <v>-1452.6699999999983</v>
      </c>
      <c r="I42" s="13"/>
      <c r="J42" s="32">
        <f>IF(H$12=0,0,H42/H$12)</f>
        <v>0</v>
      </c>
      <c r="K42" s="16"/>
      <c r="L42" s="31">
        <f>+D42-H42</f>
        <v>3016.7999999999984</v>
      </c>
      <c r="M42" s="16"/>
      <c r="N42" s="32">
        <f>IF(H42=0,0,L42/H42)</f>
        <v>-2.0767276807533728</v>
      </c>
      <c r="O42" s="25"/>
      <c r="P42" s="31">
        <f>SUM(P39:P41)</f>
        <v>1564.13</v>
      </c>
      <c r="Q42" s="13"/>
      <c r="R42" s="32">
        <f>IF(P$12=0,0,P42/P$12)</f>
        <v>0</v>
      </c>
      <c r="S42" s="13"/>
      <c r="T42" s="31">
        <f>SUM(T39:T41)</f>
        <v>-1452.6699999999983</v>
      </c>
      <c r="U42" s="13"/>
      <c r="V42" s="32">
        <f>IF(T$12=0,0,T42/T$12)</f>
        <v>0</v>
      </c>
      <c r="W42" s="16"/>
      <c r="X42" s="31">
        <f>+P42-T42</f>
        <v>3016.7999999999984</v>
      </c>
      <c r="Y42" s="16"/>
      <c r="Z42" s="32">
        <f>IF(T42=0,0,X42/T42)</f>
        <v>-2.0767276807533728</v>
      </c>
    </row>
    <row r="43" spans="1:26" ht="15.75" thickTop="1" x14ac:dyDescent="0.25">
      <c r="A43" s="9"/>
      <c r="C43" s="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9">
        <v>44109.414917361108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62" t="s">
        <v>313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56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19327.919999999998</v>
      </c>
      <c r="E12" s="4"/>
      <c r="F12" s="12"/>
      <c r="G12" s="4"/>
      <c r="H12" s="4">
        <f>SUM(OSRRefH13x_0)</f>
        <v>509433.86</v>
      </c>
      <c r="I12" s="4"/>
      <c r="J12" s="12"/>
      <c r="K12" s="4"/>
      <c r="L12" s="4">
        <f t="shared" ref="L12:L15" si="0">+D12-H12</f>
        <v>-490105.94</v>
      </c>
      <c r="M12" s="4"/>
      <c r="N12" s="12">
        <f t="shared" ref="N12:N15" si="1">IF(H12=0,0,L12/H12)</f>
        <v>-0.96206000127278546</v>
      </c>
      <c r="O12" s="10"/>
      <c r="P12" s="4">
        <f>SUM(OSRRefP13x_0)</f>
        <v>19327.919999999998</v>
      </c>
      <c r="Q12" s="4"/>
      <c r="R12" s="12"/>
      <c r="S12" s="4"/>
      <c r="T12" s="4">
        <f>SUM(OSRRefT13x_0)</f>
        <v>509433.86</v>
      </c>
      <c r="U12" s="4"/>
      <c r="V12" s="12"/>
      <c r="W12" s="4"/>
      <c r="X12" s="4">
        <f t="shared" ref="X12:X15" si="2">+P12-T12</f>
        <v>-490105.94</v>
      </c>
      <c r="Y12" s="4"/>
      <c r="Z12" s="12">
        <f t="shared" ref="Z12:Z15" si="3">IF(T12=0,0,X12/T12)</f>
        <v>-0.96206000127278546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3">
        <f>--199.89</f>
        <v>199.89</v>
      </c>
      <c r="E13" s="3"/>
      <c r="F13" s="22"/>
      <c r="G13" s="3"/>
      <c r="H13" s="3">
        <f>--1144.1</f>
        <v>1144.0999999999999</v>
      </c>
      <c r="I13" s="3"/>
      <c r="J13" s="22"/>
      <c r="K13" s="3"/>
      <c r="L13" s="3">
        <f t="shared" si="0"/>
        <v>-944.20999999999992</v>
      </c>
      <c r="M13" s="3"/>
      <c r="N13" s="22">
        <f t="shared" si="1"/>
        <v>-0.82528625120181798</v>
      </c>
      <c r="O13" s="11"/>
      <c r="P13" s="3">
        <f>--199.89</f>
        <v>199.89</v>
      </c>
      <c r="Q13" s="3"/>
      <c r="R13" s="22"/>
      <c r="S13" s="3"/>
      <c r="T13" s="3">
        <f>--1144.1</f>
        <v>1144.0999999999999</v>
      </c>
      <c r="U13" s="3"/>
      <c r="V13" s="22"/>
      <c r="W13" s="3"/>
      <c r="X13" s="3">
        <f t="shared" si="2"/>
        <v>-944.20999999999992</v>
      </c>
      <c r="Y13" s="3"/>
      <c r="Z13" s="22">
        <f t="shared" si="3"/>
        <v>-0.82528625120181798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>--1300</f>
        <v>1300</v>
      </c>
      <c r="E14" s="3"/>
      <c r="F14" s="22"/>
      <c r="G14" s="3"/>
      <c r="H14" s="3">
        <f>--489278.05</f>
        <v>489278.05</v>
      </c>
      <c r="I14" s="3"/>
      <c r="J14" s="22"/>
      <c r="K14" s="3"/>
      <c r="L14" s="3">
        <f t="shared" si="0"/>
        <v>-487978.05</v>
      </c>
      <c r="M14" s="3"/>
      <c r="N14" s="22">
        <f t="shared" si="1"/>
        <v>-0.99734302407393916</v>
      </c>
      <c r="O14" s="11"/>
      <c r="P14" s="3">
        <f>--1300</f>
        <v>1300</v>
      </c>
      <c r="Q14" s="3"/>
      <c r="R14" s="22"/>
      <c r="S14" s="3"/>
      <c r="T14" s="3">
        <f>--489278.05</f>
        <v>489278.05</v>
      </c>
      <c r="U14" s="3"/>
      <c r="V14" s="22"/>
      <c r="W14" s="3"/>
      <c r="X14" s="3">
        <f t="shared" si="2"/>
        <v>-487978.05</v>
      </c>
      <c r="Y14" s="3"/>
      <c r="Z14" s="22">
        <f t="shared" si="3"/>
        <v>-0.99734302407393916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3">
        <f>--17828.03</f>
        <v>17828.03</v>
      </c>
      <c r="E15" s="3"/>
      <c r="F15" s="22"/>
      <c r="G15" s="3"/>
      <c r="H15" s="3">
        <f>--19011.71</f>
        <v>19011.71</v>
      </c>
      <c r="I15" s="3"/>
      <c r="J15" s="22"/>
      <c r="K15" s="3"/>
      <c r="L15" s="3">
        <f t="shared" si="0"/>
        <v>-1183.6800000000003</v>
      </c>
      <c r="M15" s="3"/>
      <c r="N15" s="22">
        <f t="shared" si="1"/>
        <v>-6.2260575192867991E-2</v>
      </c>
      <c r="O15" s="11"/>
      <c r="P15" s="3">
        <f>--17828.03</f>
        <v>17828.03</v>
      </c>
      <c r="Q15" s="3"/>
      <c r="R15" s="22"/>
      <c r="S15" s="3"/>
      <c r="T15" s="3">
        <f>--19011.71</f>
        <v>19011.71</v>
      </c>
      <c r="U15" s="3"/>
      <c r="V15" s="22"/>
      <c r="W15" s="3"/>
      <c r="X15" s="3">
        <f t="shared" si="2"/>
        <v>-1183.6800000000003</v>
      </c>
      <c r="Y15" s="3"/>
      <c r="Z15" s="22">
        <f t="shared" si="3"/>
        <v>-6.2260575192867991E-2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11689.62</v>
      </c>
      <c r="E17" s="4"/>
      <c r="F17" s="12">
        <f t="shared" ref="F17:F19" si="4">IF(D$12=0,0,D17/D$12)</f>
        <v>0.60480486260290822</v>
      </c>
      <c r="G17" s="4"/>
      <c r="H17" s="4">
        <f>SUM(OSRRefH16x_0)</f>
        <v>158407.47</v>
      </c>
      <c r="I17" s="4"/>
      <c r="J17" s="12">
        <f t="shared" ref="J17:J19" si="5">IF(H$12=0,0,H17/H$12)</f>
        <v>0.31094805908661038</v>
      </c>
      <c r="K17" s="4"/>
      <c r="L17" s="4">
        <f t="shared" ref="L17:L19" si="6">+D17-H17</f>
        <v>-146717.85</v>
      </c>
      <c r="M17" s="4"/>
      <c r="N17" s="12">
        <f t="shared" ref="N17:N19" si="7">IF(H17=0,0,L17/H17)</f>
        <v>-0.92620537402686887</v>
      </c>
      <c r="O17" s="10"/>
      <c r="P17" s="4">
        <f>SUM(OSRRefP16x_0)</f>
        <v>11689.62</v>
      </c>
      <c r="Q17" s="4"/>
      <c r="R17" s="12">
        <f t="shared" ref="R17:R19" si="8">IF(P$12=0,0,P17/P$12)</f>
        <v>0.60480486260290822</v>
      </c>
      <c r="S17" s="4"/>
      <c r="T17" s="4">
        <f>SUM(OSRRefT16x_0)</f>
        <v>158407.47</v>
      </c>
      <c r="U17" s="4"/>
      <c r="V17" s="12">
        <f t="shared" ref="V17:V19" si="9">IF(T$12=0,0,T17/T$12)</f>
        <v>0.31094805908661038</v>
      </c>
      <c r="W17" s="4"/>
      <c r="X17" s="4">
        <f t="shared" ref="X17:X19" si="10">+P17-T17</f>
        <v>-146717.85</v>
      </c>
      <c r="Y17" s="4"/>
      <c r="Z17" s="12">
        <f t="shared" ref="Z17:Z19" si="11">IF(T17=0,0,X17/T17)</f>
        <v>-0.92620537402686887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3">
        <v>8280.6200000000008</v>
      </c>
      <c r="E18" s="3"/>
      <c r="F18" s="22">
        <f t="shared" si="4"/>
        <v>0.42842789084391913</v>
      </c>
      <c r="G18" s="3"/>
      <c r="H18" s="3">
        <v>154210.47</v>
      </c>
      <c r="I18" s="3"/>
      <c r="J18" s="22">
        <f t="shared" si="5"/>
        <v>0.30270950187724077</v>
      </c>
      <c r="K18" s="3"/>
      <c r="L18" s="3">
        <f t="shared" si="6"/>
        <v>-145929.85</v>
      </c>
      <c r="M18" s="3"/>
      <c r="N18" s="22">
        <f t="shared" si="7"/>
        <v>-0.94630312714824105</v>
      </c>
      <c r="O18" s="11"/>
      <c r="P18" s="3">
        <v>8280.6200000000008</v>
      </c>
      <c r="Q18" s="3"/>
      <c r="R18" s="22">
        <f t="shared" si="8"/>
        <v>0.42842789084391913</v>
      </c>
      <c r="S18" s="3"/>
      <c r="T18" s="3">
        <v>154210.47</v>
      </c>
      <c r="U18" s="3"/>
      <c r="V18" s="22">
        <f t="shared" si="9"/>
        <v>0.30270950187724077</v>
      </c>
      <c r="W18" s="3"/>
      <c r="X18" s="3">
        <f t="shared" si="10"/>
        <v>-145929.85</v>
      </c>
      <c r="Y18" s="3"/>
      <c r="Z18" s="22">
        <f t="shared" si="11"/>
        <v>-0.94630312714824105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3">
        <v>3409</v>
      </c>
      <c r="E19" s="3"/>
      <c r="F19" s="22">
        <f t="shared" si="4"/>
        <v>0.17637697175898909</v>
      </c>
      <c r="G19" s="3"/>
      <c r="H19" s="3">
        <v>4197</v>
      </c>
      <c r="I19" s="3"/>
      <c r="J19" s="22">
        <f t="shared" si="5"/>
        <v>8.2385572093696333E-3</v>
      </c>
      <c r="K19" s="3"/>
      <c r="L19" s="3">
        <f t="shared" si="6"/>
        <v>-788</v>
      </c>
      <c r="M19" s="3"/>
      <c r="N19" s="22">
        <f t="shared" si="7"/>
        <v>-0.18775315701691683</v>
      </c>
      <c r="O19" s="11"/>
      <c r="P19" s="3">
        <v>3409</v>
      </c>
      <c r="Q19" s="3"/>
      <c r="R19" s="22">
        <f t="shared" si="8"/>
        <v>0.17637697175898909</v>
      </c>
      <c r="S19" s="3"/>
      <c r="T19" s="3">
        <v>4197</v>
      </c>
      <c r="U19" s="3"/>
      <c r="V19" s="22">
        <f t="shared" si="9"/>
        <v>8.2385572093696333E-3</v>
      </c>
      <c r="W19" s="3"/>
      <c r="X19" s="3">
        <f t="shared" si="10"/>
        <v>-788</v>
      </c>
      <c r="Y19" s="3"/>
      <c r="Z19" s="22">
        <f t="shared" si="11"/>
        <v>-0.18775315701691683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25">
      <c r="A21" s="10"/>
      <c r="B21" s="26" t="s">
        <v>6</v>
      </c>
      <c r="C21" s="26"/>
      <c r="D21" s="19">
        <f>D12-D17</f>
        <v>7638.2999999999975</v>
      </c>
      <c r="E21" s="13"/>
      <c r="F21" s="20">
        <f>IF(D$12=0,0,D21/D$12)</f>
        <v>0.39519513739709178</v>
      </c>
      <c r="G21" s="13"/>
      <c r="H21" s="19">
        <f>H12-H17</f>
        <v>351026.39</v>
      </c>
      <c r="I21" s="13"/>
      <c r="J21" s="20">
        <f>IF(H$12=0,0,H21/H$12)</f>
        <v>0.68905194091338962</v>
      </c>
      <c r="K21" s="16"/>
      <c r="L21" s="19">
        <f>+D21-H21</f>
        <v>-343388.09</v>
      </c>
      <c r="M21" s="16"/>
      <c r="N21" s="20">
        <f>IF(H21=0,0,L21/H21)</f>
        <v>-0.97824009756075603</v>
      </c>
      <c r="O21" s="25"/>
      <c r="P21" s="19">
        <f>P12-P17</f>
        <v>7638.2999999999975</v>
      </c>
      <c r="Q21" s="13"/>
      <c r="R21" s="20">
        <f>IF(P$12=0,0,P21/P$12)</f>
        <v>0.39519513739709178</v>
      </c>
      <c r="S21" s="13"/>
      <c r="T21" s="19">
        <f>T12-T17</f>
        <v>351026.39</v>
      </c>
      <c r="U21" s="13"/>
      <c r="V21" s="20">
        <f>IF(T$12=0,0,T21/T$12)</f>
        <v>0.68905194091338962</v>
      </c>
      <c r="W21" s="16"/>
      <c r="X21" s="19">
        <f>+P21-T21</f>
        <v>-343388.09</v>
      </c>
      <c r="Y21" s="16"/>
      <c r="Z21" s="20">
        <f>IF(T21=0,0,X21/T21)</f>
        <v>-0.97824009756075603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SUM(OSRRefD22x_0)</f>
        <v>185970</v>
      </c>
      <c r="E23" s="21"/>
      <c r="F23" s="34">
        <f t="shared" ref="F23:F33" si="12">IF(D$12=0,0,D23/D$12)</f>
        <v>9.6218320440068048</v>
      </c>
      <c r="G23" s="21"/>
      <c r="H23" s="21">
        <f>SUM(OSRRefH22x_0)</f>
        <v>405619.70000000007</v>
      </c>
      <c r="I23" s="21"/>
      <c r="J23" s="34">
        <f t="shared" ref="J23:J33" si="13">IF(H$12=0,0,H23/H$12)</f>
        <v>0.79621660798126004</v>
      </c>
      <c r="K23" s="4"/>
      <c r="L23" s="21">
        <f t="shared" ref="L23:L33" si="14">+D23-H23</f>
        <v>-219649.70000000007</v>
      </c>
      <c r="M23" s="4"/>
      <c r="N23" s="34">
        <f t="shared" ref="N23:N33" si="15">IF(H23=0,0,L23/H23)</f>
        <v>-0.54151635140009236</v>
      </c>
      <c r="O23" s="10"/>
      <c r="P23" s="21">
        <f>SUM(OSRRefP22x_0)</f>
        <v>185970</v>
      </c>
      <c r="Q23" s="21"/>
      <c r="R23" s="34">
        <f t="shared" ref="R23:R33" si="16">IF(P$12=0,0,P23/P$12)</f>
        <v>9.6218320440068048</v>
      </c>
      <c r="S23" s="21"/>
      <c r="T23" s="21">
        <f>SUM(OSRRefT22x_0)</f>
        <v>405619.70000000007</v>
      </c>
      <c r="U23" s="21"/>
      <c r="V23" s="34">
        <f t="shared" ref="V23:V33" si="17">IF(T$12=0,0,T23/T$12)</f>
        <v>0.79621660798126004</v>
      </c>
      <c r="W23" s="4"/>
      <c r="X23" s="21">
        <f t="shared" ref="X23:X33" si="18">+P23-T23</f>
        <v>-219649.70000000007</v>
      </c>
      <c r="Y23" s="4"/>
      <c r="Z23" s="34">
        <f t="shared" ref="Z23:Z33" si="19">IF(T23=0,0,X23/T23)</f>
        <v>-0.54151635140009236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71541.810000000012</v>
      </c>
      <c r="E24" s="1"/>
      <c r="F24" s="5">
        <f t="shared" si="12"/>
        <v>3.7014748612370094</v>
      </c>
      <c r="G24" s="1"/>
      <c r="H24" s="1">
        <f>SUM(OSRRefH22_0x_0)</f>
        <v>100933.98</v>
      </c>
      <c r="I24" s="1"/>
      <c r="J24" s="5">
        <f t="shared" si="13"/>
        <v>0.19812970421714804</v>
      </c>
      <c r="K24" s="1"/>
      <c r="L24" s="1">
        <f t="shared" si="14"/>
        <v>-29392.169999999984</v>
      </c>
      <c r="M24" s="1"/>
      <c r="N24" s="5">
        <f t="shared" si="15"/>
        <v>-0.29120193219369717</v>
      </c>
      <c r="O24" s="14"/>
      <c r="P24" s="1">
        <f>SUM(OSRRefP22_0x_0)</f>
        <v>71541.810000000012</v>
      </c>
      <c r="Q24" s="1"/>
      <c r="R24" s="5">
        <f t="shared" si="16"/>
        <v>3.7014748612370094</v>
      </c>
      <c r="S24" s="1"/>
      <c r="T24" s="1">
        <f>SUM(OSRRefT22_0x_0)</f>
        <v>100933.98</v>
      </c>
      <c r="U24" s="1"/>
      <c r="V24" s="5">
        <f t="shared" si="17"/>
        <v>0.19812970421714804</v>
      </c>
      <c r="W24" s="1"/>
      <c r="X24" s="1">
        <f t="shared" si="18"/>
        <v>-29392.169999999984</v>
      </c>
      <c r="Y24" s="1"/>
      <c r="Z24" s="5">
        <f t="shared" si="19"/>
        <v>-0.29120193219369717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8">
        <v>6400.51</v>
      </c>
      <c r="E25" s="3"/>
      <c r="F25" s="7">
        <f t="shared" si="12"/>
        <v>0.33115358507278592</v>
      </c>
      <c r="G25" s="3"/>
      <c r="H25" s="8">
        <v>13134.84</v>
      </c>
      <c r="I25" s="3"/>
      <c r="J25" s="7">
        <f t="shared" si="13"/>
        <v>2.5783209620185044E-2</v>
      </c>
      <c r="K25" s="3"/>
      <c r="L25" s="8">
        <f t="shared" si="14"/>
        <v>-6734.33</v>
      </c>
      <c r="M25" s="3"/>
      <c r="N25" s="7">
        <f t="shared" si="15"/>
        <v>-0.51270742544256342</v>
      </c>
      <c r="O25" s="11"/>
      <c r="P25" s="8">
        <v>6400.51</v>
      </c>
      <c r="Q25" s="3"/>
      <c r="R25" s="7">
        <f t="shared" si="16"/>
        <v>0.33115358507278592</v>
      </c>
      <c r="S25" s="3"/>
      <c r="T25" s="8">
        <v>13134.84</v>
      </c>
      <c r="U25" s="3"/>
      <c r="V25" s="7">
        <f t="shared" si="17"/>
        <v>2.5783209620185044E-2</v>
      </c>
      <c r="W25" s="3"/>
      <c r="X25" s="8">
        <f t="shared" si="18"/>
        <v>-6734.33</v>
      </c>
      <c r="Y25" s="3"/>
      <c r="Z25" s="7">
        <f t="shared" si="19"/>
        <v>-0.51270742544256342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3571.21</v>
      </c>
      <c r="E26" s="3"/>
      <c r="F26" s="7">
        <f t="shared" si="12"/>
        <v>0.18476949407903182</v>
      </c>
      <c r="G26" s="3"/>
      <c r="H26" s="8">
        <v>7054.76</v>
      </c>
      <c r="I26" s="3"/>
      <c r="J26" s="7">
        <f t="shared" si="13"/>
        <v>1.384823537249762E-2</v>
      </c>
      <c r="K26" s="3"/>
      <c r="L26" s="8">
        <f t="shared" si="14"/>
        <v>-3483.55</v>
      </c>
      <c r="M26" s="3"/>
      <c r="N26" s="7">
        <f t="shared" si="15"/>
        <v>-0.49378717348286832</v>
      </c>
      <c r="O26" s="11"/>
      <c r="P26" s="8">
        <v>3571.21</v>
      </c>
      <c r="Q26" s="3"/>
      <c r="R26" s="7">
        <f t="shared" si="16"/>
        <v>0.18476949407903182</v>
      </c>
      <c r="S26" s="3"/>
      <c r="T26" s="8">
        <v>7054.76</v>
      </c>
      <c r="U26" s="3"/>
      <c r="V26" s="7">
        <f t="shared" si="17"/>
        <v>1.384823537249762E-2</v>
      </c>
      <c r="W26" s="3"/>
      <c r="X26" s="8">
        <f t="shared" si="18"/>
        <v>-3483.55</v>
      </c>
      <c r="Y26" s="3"/>
      <c r="Z26" s="7">
        <f t="shared" si="19"/>
        <v>-0.49378717348286832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8">
        <v>41691.089999999997</v>
      </c>
      <c r="E27" s="3"/>
      <c r="F27" s="7">
        <f t="shared" si="12"/>
        <v>2.1570396607601854</v>
      </c>
      <c r="G27" s="3"/>
      <c r="H27" s="8">
        <v>44461.03</v>
      </c>
      <c r="I27" s="3"/>
      <c r="J27" s="7">
        <f t="shared" si="13"/>
        <v>8.727537270490815E-2</v>
      </c>
      <c r="K27" s="3"/>
      <c r="L27" s="8">
        <f t="shared" si="14"/>
        <v>-2769.9400000000023</v>
      </c>
      <c r="M27" s="3"/>
      <c r="N27" s="7">
        <f t="shared" si="15"/>
        <v>-6.230040104783903E-2</v>
      </c>
      <c r="O27" s="11"/>
      <c r="P27" s="8">
        <v>41691.089999999997</v>
      </c>
      <c r="Q27" s="3"/>
      <c r="R27" s="7">
        <f t="shared" si="16"/>
        <v>2.1570396607601854</v>
      </c>
      <c r="S27" s="3"/>
      <c r="T27" s="8">
        <v>44461.03</v>
      </c>
      <c r="U27" s="3"/>
      <c r="V27" s="7">
        <f t="shared" si="17"/>
        <v>8.727537270490815E-2</v>
      </c>
      <c r="W27" s="3"/>
      <c r="X27" s="8">
        <f t="shared" si="18"/>
        <v>-2769.9400000000023</v>
      </c>
      <c r="Y27" s="3"/>
      <c r="Z27" s="7">
        <f t="shared" si="19"/>
        <v>-6.230040104783903E-2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292.62</v>
      </c>
      <c r="E28" s="3"/>
      <c r="F28" s="7">
        <f t="shared" si="12"/>
        <v>1.5139756373163797E-2</v>
      </c>
      <c r="G28" s="3"/>
      <c r="H28" s="8">
        <v>474.02</v>
      </c>
      <c r="I28" s="3"/>
      <c r="J28" s="7">
        <f t="shared" si="13"/>
        <v>9.3048389048972912E-4</v>
      </c>
      <c r="K28" s="3"/>
      <c r="L28" s="8">
        <f t="shared" si="14"/>
        <v>-181.39999999999998</v>
      </c>
      <c r="M28" s="3"/>
      <c r="N28" s="7">
        <f t="shared" si="15"/>
        <v>-0.38268427492510859</v>
      </c>
      <c r="O28" s="11"/>
      <c r="P28" s="8">
        <v>292.62</v>
      </c>
      <c r="Q28" s="3"/>
      <c r="R28" s="7">
        <f t="shared" si="16"/>
        <v>1.5139756373163797E-2</v>
      </c>
      <c r="S28" s="3"/>
      <c r="T28" s="8">
        <v>474.02</v>
      </c>
      <c r="U28" s="3"/>
      <c r="V28" s="7">
        <f t="shared" si="17"/>
        <v>9.3048389048972912E-4</v>
      </c>
      <c r="W28" s="3"/>
      <c r="X28" s="8">
        <f t="shared" si="18"/>
        <v>-181.39999999999998</v>
      </c>
      <c r="Y28" s="3"/>
      <c r="Z28" s="7">
        <f t="shared" si="19"/>
        <v>-0.38268427492510859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8">
        <v>5377.76</v>
      </c>
      <c r="E29" s="3"/>
      <c r="F29" s="7">
        <f t="shared" si="12"/>
        <v>0.27823790661385189</v>
      </c>
      <c r="G29" s="3"/>
      <c r="H29" s="8">
        <v>3962.54</v>
      </c>
      <c r="I29" s="3"/>
      <c r="J29" s="7">
        <f t="shared" si="13"/>
        <v>7.7783208206851423E-3</v>
      </c>
      <c r="K29" s="3"/>
      <c r="L29" s="8">
        <f t="shared" si="14"/>
        <v>1415.2200000000003</v>
      </c>
      <c r="M29" s="3"/>
      <c r="N29" s="7">
        <f t="shared" si="15"/>
        <v>0.35714970700611232</v>
      </c>
      <c r="O29" s="11"/>
      <c r="P29" s="8">
        <v>5377.76</v>
      </c>
      <c r="Q29" s="3"/>
      <c r="R29" s="7">
        <f t="shared" si="16"/>
        <v>0.27823790661385189</v>
      </c>
      <c r="S29" s="3"/>
      <c r="T29" s="8">
        <v>3962.54</v>
      </c>
      <c r="U29" s="3"/>
      <c r="V29" s="7">
        <f t="shared" si="17"/>
        <v>7.7783208206851423E-3</v>
      </c>
      <c r="W29" s="3"/>
      <c r="X29" s="8">
        <f t="shared" si="18"/>
        <v>1415.2200000000003</v>
      </c>
      <c r="Y29" s="3"/>
      <c r="Z29" s="7">
        <f t="shared" si="19"/>
        <v>0.35714970700611232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8">
        <v>1969.14</v>
      </c>
      <c r="E30" s="3"/>
      <c r="F30" s="7">
        <f t="shared" si="12"/>
        <v>0.10188059553226629</v>
      </c>
      <c r="G30" s="3"/>
      <c r="H30" s="8">
        <v>1382.26</v>
      </c>
      <c r="I30" s="3"/>
      <c r="J30" s="7">
        <f t="shared" si="13"/>
        <v>2.7133257298602022E-3</v>
      </c>
      <c r="K30" s="3"/>
      <c r="L30" s="8">
        <f t="shared" si="14"/>
        <v>586.88000000000011</v>
      </c>
      <c r="M30" s="3"/>
      <c r="N30" s="7">
        <f t="shared" si="15"/>
        <v>0.42458003559388258</v>
      </c>
      <c r="O30" s="11"/>
      <c r="P30" s="8">
        <v>1969.14</v>
      </c>
      <c r="Q30" s="3"/>
      <c r="R30" s="7">
        <f t="shared" si="16"/>
        <v>0.10188059553226629</v>
      </c>
      <c r="S30" s="3"/>
      <c r="T30" s="8">
        <v>1382.26</v>
      </c>
      <c r="U30" s="3"/>
      <c r="V30" s="7">
        <f t="shared" si="17"/>
        <v>2.7133257298602022E-3</v>
      </c>
      <c r="W30" s="3"/>
      <c r="X30" s="8">
        <f t="shared" si="18"/>
        <v>586.88000000000011</v>
      </c>
      <c r="Y30" s="3"/>
      <c r="Z30" s="7">
        <f t="shared" si="19"/>
        <v>0.42458003559388258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8">
        <v>5452.12</v>
      </c>
      <c r="E31" s="3"/>
      <c r="F31" s="7">
        <f t="shared" si="12"/>
        <v>0.28208519074996175</v>
      </c>
      <c r="G31" s="3"/>
      <c r="H31" s="8">
        <v>10944.66</v>
      </c>
      <c r="I31" s="3"/>
      <c r="J31" s="7">
        <f t="shared" si="13"/>
        <v>2.148396653492958E-2</v>
      </c>
      <c r="K31" s="3"/>
      <c r="L31" s="8">
        <f t="shared" si="14"/>
        <v>-5492.54</v>
      </c>
      <c r="M31" s="3"/>
      <c r="N31" s="7">
        <f t="shared" si="15"/>
        <v>-0.50184656261592409</v>
      </c>
      <c r="O31" s="11"/>
      <c r="P31" s="8">
        <v>5452.12</v>
      </c>
      <c r="Q31" s="3"/>
      <c r="R31" s="7">
        <f t="shared" si="16"/>
        <v>0.28208519074996175</v>
      </c>
      <c r="S31" s="3"/>
      <c r="T31" s="8">
        <v>10944.66</v>
      </c>
      <c r="U31" s="3"/>
      <c r="V31" s="7">
        <f t="shared" si="17"/>
        <v>2.148396653492958E-2</v>
      </c>
      <c r="W31" s="3"/>
      <c r="X31" s="8">
        <f t="shared" si="18"/>
        <v>-5492.54</v>
      </c>
      <c r="Y31" s="3"/>
      <c r="Z31" s="7">
        <f t="shared" si="19"/>
        <v>-0.50184656261592409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8">
        <v>4078.56</v>
      </c>
      <c r="E32" s="3"/>
      <c r="F32" s="7">
        <f t="shared" si="12"/>
        <v>0.2110190853438963</v>
      </c>
      <c r="G32" s="3"/>
      <c r="H32" s="8">
        <v>16429.3</v>
      </c>
      <c r="I32" s="3"/>
      <c r="J32" s="7">
        <f t="shared" si="13"/>
        <v>3.2250113881319153E-2</v>
      </c>
      <c r="K32" s="3"/>
      <c r="L32" s="8">
        <f t="shared" si="14"/>
        <v>-12350.74</v>
      </c>
      <c r="M32" s="3"/>
      <c r="N32" s="7">
        <f t="shared" si="15"/>
        <v>-0.75175083539773457</v>
      </c>
      <c r="O32" s="11"/>
      <c r="P32" s="8">
        <v>4078.56</v>
      </c>
      <c r="Q32" s="3"/>
      <c r="R32" s="7">
        <f t="shared" si="16"/>
        <v>0.2110190853438963</v>
      </c>
      <c r="S32" s="3"/>
      <c r="T32" s="8">
        <v>16429.3</v>
      </c>
      <c r="U32" s="3"/>
      <c r="V32" s="7">
        <f t="shared" si="17"/>
        <v>3.2250113881319153E-2</v>
      </c>
      <c r="W32" s="3"/>
      <c r="X32" s="8">
        <f t="shared" si="18"/>
        <v>-12350.74</v>
      </c>
      <c r="Y32" s="3"/>
      <c r="Z32" s="7">
        <f t="shared" si="19"/>
        <v>-0.75175083539773457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8">
        <v>2708.8</v>
      </c>
      <c r="E33" s="3"/>
      <c r="F33" s="7">
        <f t="shared" si="12"/>
        <v>0.14014958671186556</v>
      </c>
      <c r="G33" s="3"/>
      <c r="H33" s="8">
        <v>3090.57</v>
      </c>
      <c r="I33" s="3"/>
      <c r="J33" s="7">
        <f t="shared" si="13"/>
        <v>6.0666756622734111E-3</v>
      </c>
      <c r="K33" s="3"/>
      <c r="L33" s="8">
        <f t="shared" si="14"/>
        <v>-381.77</v>
      </c>
      <c r="M33" s="3"/>
      <c r="N33" s="7">
        <f t="shared" si="15"/>
        <v>-0.12352737520910381</v>
      </c>
      <c r="O33" s="11"/>
      <c r="P33" s="8">
        <v>2708.8</v>
      </c>
      <c r="Q33" s="3"/>
      <c r="R33" s="7">
        <f t="shared" si="16"/>
        <v>0.14014958671186556</v>
      </c>
      <c r="S33" s="3"/>
      <c r="T33" s="8">
        <v>3090.57</v>
      </c>
      <c r="U33" s="3"/>
      <c r="V33" s="7">
        <f t="shared" si="17"/>
        <v>6.0666756622734111E-3</v>
      </c>
      <c r="W33" s="3"/>
      <c r="X33" s="8">
        <f t="shared" si="18"/>
        <v>-381.77</v>
      </c>
      <c r="Y33" s="3"/>
      <c r="Z33" s="7">
        <f t="shared" si="19"/>
        <v>-0.12352737520910381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86997.56</v>
      </c>
      <c r="E34" s="1"/>
      <c r="F34" s="5">
        <f t="shared" ref="F34:F41" si="20">IF(D$12=0,0,D34/D$12)</f>
        <v>4.5011341106544318</v>
      </c>
      <c r="G34" s="1"/>
      <c r="H34" s="1">
        <f>SUM(OSRRefH22_1x_0)</f>
        <v>205421.06</v>
      </c>
      <c r="I34" s="1"/>
      <c r="J34" s="5">
        <f t="shared" ref="J34:J41" si="21">IF(H$12=0,0,H34/H$12)</f>
        <v>0.40323401353808719</v>
      </c>
      <c r="K34" s="1"/>
      <c r="L34" s="1">
        <f t="shared" ref="L34:L41" si="22">+D34-H34</f>
        <v>-118423.5</v>
      </c>
      <c r="M34" s="1"/>
      <c r="N34" s="5">
        <f t="shared" ref="N34:N41" si="23">IF(H34=0,0,L34/H34)</f>
        <v>-0.57649152428675032</v>
      </c>
      <c r="O34" s="14"/>
      <c r="P34" s="1">
        <f>SUM(OSRRefP22_1x_0)</f>
        <v>86997.56</v>
      </c>
      <c r="Q34" s="1"/>
      <c r="R34" s="5">
        <f t="shared" ref="R34:R41" si="24">IF(P$12=0,0,P34/P$12)</f>
        <v>4.5011341106544318</v>
      </c>
      <c r="S34" s="1"/>
      <c r="T34" s="1">
        <f>SUM(OSRRefT22_1x_0)</f>
        <v>205421.06</v>
      </c>
      <c r="U34" s="1"/>
      <c r="V34" s="5">
        <f t="shared" ref="V34:V41" si="25">IF(T$12=0,0,T34/T$12)</f>
        <v>0.40323401353808719</v>
      </c>
      <c r="W34" s="1"/>
      <c r="X34" s="1">
        <f t="shared" ref="X34:X41" si="26">+P34-T34</f>
        <v>-118423.5</v>
      </c>
      <c r="Y34" s="1"/>
      <c r="Z34" s="5">
        <f t="shared" ref="Z34:Z41" si="27">IF(T34=0,0,X34/T34)</f>
        <v>-0.57649152428675032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8">
        <v>11199.54</v>
      </c>
      <c r="E35" s="3"/>
      <c r="F35" s="7">
        <f t="shared" si="20"/>
        <v>0.57944879738740651</v>
      </c>
      <c r="G35" s="3"/>
      <c r="H35" s="8">
        <v>7737.53</v>
      </c>
      <c r="I35" s="3"/>
      <c r="J35" s="7">
        <f t="shared" si="21"/>
        <v>1.5188487863763119E-2</v>
      </c>
      <c r="K35" s="3"/>
      <c r="L35" s="8">
        <f t="shared" si="22"/>
        <v>3462.0100000000011</v>
      </c>
      <c r="M35" s="3"/>
      <c r="N35" s="7">
        <f t="shared" si="23"/>
        <v>0.44743089849086221</v>
      </c>
      <c r="O35" s="11"/>
      <c r="P35" s="8">
        <v>11199.54</v>
      </c>
      <c r="Q35" s="3"/>
      <c r="R35" s="7">
        <f t="shared" si="24"/>
        <v>0.57944879738740651</v>
      </c>
      <c r="S35" s="3"/>
      <c r="T35" s="8">
        <v>7737.53</v>
      </c>
      <c r="U35" s="3"/>
      <c r="V35" s="7">
        <f t="shared" si="25"/>
        <v>1.5188487863763119E-2</v>
      </c>
      <c r="W35" s="3"/>
      <c r="X35" s="8">
        <f t="shared" si="26"/>
        <v>3462.0100000000011</v>
      </c>
      <c r="Y35" s="3"/>
      <c r="Z35" s="7">
        <f t="shared" si="27"/>
        <v>0.44743089849086221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8">
        <v>34236.54</v>
      </c>
      <c r="E36" s="3"/>
      <c r="F36" s="7">
        <f t="shared" si="20"/>
        <v>1.7713514956601644</v>
      </c>
      <c r="G36" s="3"/>
      <c r="H36" s="8">
        <v>45384.409999999996</v>
      </c>
      <c r="I36" s="3"/>
      <c r="J36" s="7">
        <f t="shared" si="21"/>
        <v>8.908793380950375E-2</v>
      </c>
      <c r="K36" s="3"/>
      <c r="L36" s="8">
        <f t="shared" si="22"/>
        <v>-11147.869999999995</v>
      </c>
      <c r="M36" s="3"/>
      <c r="N36" s="7">
        <f t="shared" si="23"/>
        <v>-0.24563214548784476</v>
      </c>
      <c r="O36" s="11"/>
      <c r="P36" s="8">
        <v>34236.54</v>
      </c>
      <c r="Q36" s="3"/>
      <c r="R36" s="7">
        <f t="shared" si="24"/>
        <v>1.7713514956601644</v>
      </c>
      <c r="S36" s="3"/>
      <c r="T36" s="8">
        <v>45384.409999999996</v>
      </c>
      <c r="U36" s="3"/>
      <c r="V36" s="7">
        <f t="shared" si="25"/>
        <v>8.908793380950375E-2</v>
      </c>
      <c r="W36" s="3"/>
      <c r="X36" s="8">
        <f t="shared" si="26"/>
        <v>-11147.869999999995</v>
      </c>
      <c r="Y36" s="3"/>
      <c r="Z36" s="7">
        <f t="shared" si="27"/>
        <v>-0.24563214548784476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8">
        <v>33160.480000000003</v>
      </c>
      <c r="E37" s="3"/>
      <c r="F37" s="7">
        <f t="shared" si="20"/>
        <v>1.7156776311160231</v>
      </c>
      <c r="G37" s="3"/>
      <c r="H37" s="8">
        <v>45772.49</v>
      </c>
      <c r="I37" s="3"/>
      <c r="J37" s="7">
        <f t="shared" si="21"/>
        <v>8.9849720629092064E-2</v>
      </c>
      <c r="K37" s="3"/>
      <c r="L37" s="8">
        <f t="shared" si="22"/>
        <v>-12612.009999999995</v>
      </c>
      <c r="M37" s="3"/>
      <c r="N37" s="7">
        <f t="shared" si="23"/>
        <v>-0.27553690000259973</v>
      </c>
      <c r="O37" s="11"/>
      <c r="P37" s="8">
        <v>33160.480000000003</v>
      </c>
      <c r="Q37" s="3"/>
      <c r="R37" s="7">
        <f t="shared" si="24"/>
        <v>1.7156776311160231</v>
      </c>
      <c r="S37" s="3"/>
      <c r="T37" s="8">
        <v>45772.49</v>
      </c>
      <c r="U37" s="3"/>
      <c r="V37" s="7">
        <f t="shared" si="25"/>
        <v>8.9849720629092064E-2</v>
      </c>
      <c r="W37" s="3"/>
      <c r="X37" s="8">
        <f t="shared" si="26"/>
        <v>-12612.009999999995</v>
      </c>
      <c r="Y37" s="3"/>
      <c r="Z37" s="7">
        <f t="shared" si="27"/>
        <v>-0.27553690000259973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8"/>
      <c r="E38" s="3"/>
      <c r="F38" s="7">
        <f t="shared" si="20"/>
        <v>0</v>
      </c>
      <c r="G38" s="3"/>
      <c r="H38" s="8">
        <v>34175.409999999996</v>
      </c>
      <c r="I38" s="3"/>
      <c r="J38" s="7">
        <f t="shared" si="21"/>
        <v>6.7085077540782231E-2</v>
      </c>
      <c r="K38" s="3"/>
      <c r="L38" s="8">
        <f t="shared" si="22"/>
        <v>-34175.409999999996</v>
      </c>
      <c r="M38" s="3"/>
      <c r="N38" s="7">
        <f t="shared" si="23"/>
        <v>-1</v>
      </c>
      <c r="O38" s="11"/>
      <c r="P38" s="8"/>
      <c r="Q38" s="3"/>
      <c r="R38" s="7">
        <f t="shared" si="24"/>
        <v>0</v>
      </c>
      <c r="S38" s="3"/>
      <c r="T38" s="8">
        <v>34175.409999999996</v>
      </c>
      <c r="U38" s="3"/>
      <c r="V38" s="7">
        <f t="shared" si="25"/>
        <v>6.7085077540782231E-2</v>
      </c>
      <c r="W38" s="3"/>
      <c r="X38" s="8">
        <f t="shared" si="26"/>
        <v>-34175.409999999996</v>
      </c>
      <c r="Y38" s="3"/>
      <c r="Z38" s="7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8"/>
      <c r="E39" s="3"/>
      <c r="F39" s="7">
        <f t="shared" si="20"/>
        <v>0</v>
      </c>
      <c r="G39" s="3"/>
      <c r="H39" s="8">
        <v>6324.57</v>
      </c>
      <c r="I39" s="3"/>
      <c r="J39" s="7">
        <f t="shared" si="21"/>
        <v>1.241489915884272E-2</v>
      </c>
      <c r="K39" s="3"/>
      <c r="L39" s="8">
        <f t="shared" si="22"/>
        <v>-6324.57</v>
      </c>
      <c r="M39" s="3"/>
      <c r="N39" s="7">
        <f t="shared" si="23"/>
        <v>-1</v>
      </c>
      <c r="O39" s="11"/>
      <c r="P39" s="8"/>
      <c r="Q39" s="3"/>
      <c r="R39" s="7">
        <f t="shared" si="24"/>
        <v>0</v>
      </c>
      <c r="S39" s="3"/>
      <c r="T39" s="8">
        <v>6324.57</v>
      </c>
      <c r="U39" s="3"/>
      <c r="V39" s="7">
        <f t="shared" si="25"/>
        <v>1.241489915884272E-2</v>
      </c>
      <c r="W39" s="3"/>
      <c r="X39" s="8">
        <f t="shared" si="26"/>
        <v>-6324.57</v>
      </c>
      <c r="Y39" s="3"/>
      <c r="Z39" s="7">
        <f t="shared" si="27"/>
        <v>-1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8">
        <v>8401</v>
      </c>
      <c r="E40" s="3"/>
      <c r="F40" s="7">
        <f t="shared" si="20"/>
        <v>0.43465618649083815</v>
      </c>
      <c r="G40" s="3"/>
      <c r="H40" s="8">
        <v>56756.65</v>
      </c>
      <c r="I40" s="3"/>
      <c r="J40" s="7">
        <f t="shared" si="21"/>
        <v>0.11141122421662353</v>
      </c>
      <c r="K40" s="3"/>
      <c r="L40" s="8">
        <f t="shared" si="22"/>
        <v>-48355.65</v>
      </c>
      <c r="M40" s="3"/>
      <c r="N40" s="7">
        <f t="shared" si="23"/>
        <v>-0.8519821025377643</v>
      </c>
      <c r="O40" s="11"/>
      <c r="P40" s="8">
        <v>8401</v>
      </c>
      <c r="Q40" s="3"/>
      <c r="R40" s="7">
        <f t="shared" si="24"/>
        <v>0.43465618649083815</v>
      </c>
      <c r="S40" s="3"/>
      <c r="T40" s="8">
        <v>56756.65</v>
      </c>
      <c r="U40" s="3"/>
      <c r="V40" s="7">
        <f t="shared" si="25"/>
        <v>0.11141122421662353</v>
      </c>
      <c r="W40" s="3"/>
      <c r="X40" s="8">
        <f t="shared" si="26"/>
        <v>-48355.65</v>
      </c>
      <c r="Y40" s="3"/>
      <c r="Z40" s="7">
        <f t="shared" si="27"/>
        <v>-0.8519821025377643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8"/>
      <c r="E41" s="3"/>
      <c r="F41" s="7">
        <f t="shared" si="20"/>
        <v>0</v>
      </c>
      <c r="G41" s="3"/>
      <c r="H41" s="8">
        <v>9270</v>
      </c>
      <c r="I41" s="3"/>
      <c r="J41" s="7">
        <f t="shared" si="21"/>
        <v>1.8196670319479746E-2</v>
      </c>
      <c r="K41" s="3"/>
      <c r="L41" s="8">
        <f t="shared" si="22"/>
        <v>-9270</v>
      </c>
      <c r="M41" s="3"/>
      <c r="N41" s="7">
        <f t="shared" si="23"/>
        <v>-1</v>
      </c>
      <c r="O41" s="11"/>
      <c r="P41" s="8"/>
      <c r="Q41" s="3"/>
      <c r="R41" s="7">
        <f t="shared" si="24"/>
        <v>0</v>
      </c>
      <c r="S41" s="3"/>
      <c r="T41" s="8">
        <v>9270</v>
      </c>
      <c r="U41" s="3"/>
      <c r="V41" s="7">
        <f t="shared" si="25"/>
        <v>1.8196670319479746E-2</v>
      </c>
      <c r="W41" s="3"/>
      <c r="X41" s="8">
        <f t="shared" si="26"/>
        <v>-9270</v>
      </c>
      <c r="Y41" s="3"/>
      <c r="Z41" s="7">
        <f t="shared" si="27"/>
        <v>-1</v>
      </c>
    </row>
    <row r="42" spans="1:26" s="27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724.49</v>
      </c>
      <c r="E42" s="1"/>
      <c r="F42" s="5">
        <f t="shared" ref="F42:F63" si="28">IF(D$12=0,0,D42/D$12)</f>
        <v>3.7484116242202992E-2</v>
      </c>
      <c r="G42" s="1"/>
      <c r="H42" s="1">
        <f>SUM(OSRRefH22_2x_0)</f>
        <v>1268.07</v>
      </c>
      <c r="I42" s="1"/>
      <c r="J42" s="5">
        <f t="shared" ref="J42:J63" si="29">IF(H$12=0,0,H42/H$12)</f>
        <v>2.4891749441232664E-3</v>
      </c>
      <c r="K42" s="1"/>
      <c r="L42" s="1">
        <f t="shared" ref="L42:L63" si="30">+D42-H42</f>
        <v>-543.57999999999993</v>
      </c>
      <c r="M42" s="1"/>
      <c r="N42" s="5">
        <f t="shared" ref="N42:N63" si="31">IF(H42=0,0,L42/H42)</f>
        <v>-0.42866718714266561</v>
      </c>
      <c r="O42" s="14"/>
      <c r="P42" s="1">
        <f>SUM(OSRRefP22_2x_0)</f>
        <v>724.49</v>
      </c>
      <c r="Q42" s="1"/>
      <c r="R42" s="5">
        <f t="shared" ref="R42:R63" si="32">IF(P$12=0,0,P42/P$12)</f>
        <v>3.7484116242202992E-2</v>
      </c>
      <c r="S42" s="1"/>
      <c r="T42" s="1">
        <f>SUM(OSRRefT22_2x_0)</f>
        <v>1268.07</v>
      </c>
      <c r="U42" s="1"/>
      <c r="V42" s="5">
        <f t="shared" ref="V42:V63" si="33">IF(T$12=0,0,T42/T$12)</f>
        <v>2.4891749441232664E-3</v>
      </c>
      <c r="W42" s="1"/>
      <c r="X42" s="1">
        <f t="shared" ref="X42:X63" si="34">+P42-T42</f>
        <v>-543.57999999999993</v>
      </c>
      <c r="Y42" s="1"/>
      <c r="Z42" s="5">
        <f t="shared" ref="Z42:Z63" si="35">IF(T42=0,0,X42/T42)</f>
        <v>-0.42866718714266561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8">
        <v>724.49</v>
      </c>
      <c r="E43" s="3"/>
      <c r="F43" s="7">
        <f t="shared" si="28"/>
        <v>3.7484116242202992E-2</v>
      </c>
      <c r="G43" s="3"/>
      <c r="H43" s="8">
        <v>1268.07</v>
      </c>
      <c r="I43" s="3"/>
      <c r="J43" s="7">
        <f t="shared" si="29"/>
        <v>2.4891749441232664E-3</v>
      </c>
      <c r="K43" s="3"/>
      <c r="L43" s="8">
        <f t="shared" si="30"/>
        <v>-543.57999999999993</v>
      </c>
      <c r="M43" s="3"/>
      <c r="N43" s="7">
        <f t="shared" si="31"/>
        <v>-0.42866718714266561</v>
      </c>
      <c r="O43" s="11"/>
      <c r="P43" s="8">
        <v>724.49</v>
      </c>
      <c r="Q43" s="3"/>
      <c r="R43" s="7">
        <f t="shared" si="32"/>
        <v>3.7484116242202992E-2</v>
      </c>
      <c r="S43" s="3"/>
      <c r="T43" s="8">
        <v>1268.07</v>
      </c>
      <c r="U43" s="3"/>
      <c r="V43" s="7">
        <f t="shared" si="33"/>
        <v>2.4891749441232664E-3</v>
      </c>
      <c r="W43" s="3"/>
      <c r="X43" s="8">
        <f t="shared" si="34"/>
        <v>-543.57999999999993</v>
      </c>
      <c r="Y43" s="3"/>
      <c r="Z43" s="7">
        <f t="shared" si="35"/>
        <v>-0.42866718714266561</v>
      </c>
    </row>
    <row r="44" spans="1:26" s="27" customFormat="1" outlineLevel="1" collapsed="1" x14ac:dyDescent="0.25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-2.1</v>
      </c>
      <c r="I44" s="1"/>
      <c r="J44" s="5">
        <f t="shared" si="29"/>
        <v>-4.1222230497203314E-6</v>
      </c>
      <c r="K44" s="1"/>
      <c r="L44" s="1">
        <f t="shared" si="30"/>
        <v>2.1</v>
      </c>
      <c r="M44" s="1"/>
      <c r="N44" s="5">
        <f t="shared" si="31"/>
        <v>-1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-2.1</v>
      </c>
      <c r="U44" s="1"/>
      <c r="V44" s="5">
        <f t="shared" si="33"/>
        <v>-4.1222230497203314E-6</v>
      </c>
      <c r="W44" s="1"/>
      <c r="X44" s="1">
        <f t="shared" si="34"/>
        <v>2.1</v>
      </c>
      <c r="Y44" s="1"/>
      <c r="Z44" s="5">
        <f t="shared" si="35"/>
        <v>-1</v>
      </c>
    </row>
    <row r="45" spans="1:26" s="24" customFormat="1" hidden="1" outlineLevel="2" x14ac:dyDescent="0.25">
      <c r="A45" s="29"/>
      <c r="B45" s="11" t="str">
        <f>CONCATENATE("          ", "6272", " - ", "CASH (OVER/SHORT)")</f>
        <v xml:space="preserve">          6272 - CASH (OVER/SHORT)</v>
      </c>
      <c r="C45" s="11"/>
      <c r="D45" s="8"/>
      <c r="E45" s="3"/>
      <c r="F45" s="7">
        <f t="shared" si="28"/>
        <v>0</v>
      </c>
      <c r="G45" s="3"/>
      <c r="H45" s="8">
        <v>-2.1</v>
      </c>
      <c r="I45" s="3"/>
      <c r="J45" s="7">
        <f t="shared" si="29"/>
        <v>-4.1222230497203314E-6</v>
      </c>
      <c r="K45" s="3"/>
      <c r="L45" s="8">
        <f t="shared" si="30"/>
        <v>2.1</v>
      </c>
      <c r="M45" s="3"/>
      <c r="N45" s="7">
        <f t="shared" si="31"/>
        <v>-1</v>
      </c>
      <c r="O45" s="11"/>
      <c r="P45" s="8"/>
      <c r="Q45" s="3"/>
      <c r="R45" s="7">
        <f t="shared" si="32"/>
        <v>0</v>
      </c>
      <c r="S45" s="3"/>
      <c r="T45" s="8">
        <v>-2.1</v>
      </c>
      <c r="U45" s="3"/>
      <c r="V45" s="7">
        <f t="shared" si="33"/>
        <v>-4.1222230497203314E-6</v>
      </c>
      <c r="W45" s="3"/>
      <c r="X45" s="8">
        <f t="shared" si="34"/>
        <v>2.1</v>
      </c>
      <c r="Y45" s="3"/>
      <c r="Z45" s="7">
        <f t="shared" si="35"/>
        <v>-1</v>
      </c>
    </row>
    <row r="46" spans="1:26" s="27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0</v>
      </c>
      <c r="E46" s="1"/>
      <c r="F46" s="5">
        <f t="shared" si="28"/>
        <v>0</v>
      </c>
      <c r="G46" s="1"/>
      <c r="H46" s="1">
        <f>SUM(OSRRefH22_4x_0)</f>
        <v>373.38</v>
      </c>
      <c r="I46" s="1"/>
      <c r="J46" s="5">
        <f t="shared" si="29"/>
        <v>7.3293125824027479E-4</v>
      </c>
      <c r="K46" s="1"/>
      <c r="L46" s="1">
        <f t="shared" si="30"/>
        <v>-373.38</v>
      </c>
      <c r="M46" s="1"/>
      <c r="N46" s="5">
        <f t="shared" si="31"/>
        <v>-1</v>
      </c>
      <c r="O46" s="14"/>
      <c r="P46" s="1">
        <f>SUM(OSRRefP22_4x_0)</f>
        <v>0</v>
      </c>
      <c r="Q46" s="1"/>
      <c r="R46" s="5">
        <f t="shared" si="32"/>
        <v>0</v>
      </c>
      <c r="S46" s="1"/>
      <c r="T46" s="1">
        <f>SUM(OSRRefT22_4x_0)</f>
        <v>373.38</v>
      </c>
      <c r="U46" s="1"/>
      <c r="V46" s="5">
        <f t="shared" si="33"/>
        <v>7.3293125824027479E-4</v>
      </c>
      <c r="W46" s="1"/>
      <c r="X46" s="1">
        <f t="shared" si="34"/>
        <v>-373.38</v>
      </c>
      <c r="Y46" s="1"/>
      <c r="Z46" s="5">
        <f t="shared" si="35"/>
        <v>-1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8"/>
      <c r="E47" s="3"/>
      <c r="F47" s="7">
        <f t="shared" si="28"/>
        <v>0</v>
      </c>
      <c r="G47" s="3"/>
      <c r="H47" s="8">
        <v>373.38</v>
      </c>
      <c r="I47" s="3"/>
      <c r="J47" s="7">
        <f t="shared" si="29"/>
        <v>7.3293125824027479E-4</v>
      </c>
      <c r="K47" s="3"/>
      <c r="L47" s="8">
        <f t="shared" si="30"/>
        <v>-373.38</v>
      </c>
      <c r="M47" s="3"/>
      <c r="N47" s="7">
        <f t="shared" si="31"/>
        <v>-1</v>
      </c>
      <c r="O47" s="11"/>
      <c r="P47" s="8"/>
      <c r="Q47" s="3"/>
      <c r="R47" s="7">
        <f t="shared" si="32"/>
        <v>0</v>
      </c>
      <c r="S47" s="3"/>
      <c r="T47" s="8">
        <v>373.38</v>
      </c>
      <c r="U47" s="3"/>
      <c r="V47" s="7">
        <f t="shared" si="33"/>
        <v>7.3293125824027479E-4</v>
      </c>
      <c r="W47" s="3"/>
      <c r="X47" s="8">
        <f t="shared" si="34"/>
        <v>-373.38</v>
      </c>
      <c r="Y47" s="3"/>
      <c r="Z47" s="7">
        <f t="shared" si="35"/>
        <v>-1</v>
      </c>
    </row>
    <row r="48" spans="1:26" s="27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213.02</v>
      </c>
      <c r="E48" s="1"/>
      <c r="F48" s="5">
        <f t="shared" si="28"/>
        <v>1.1021361843385116E-2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213.02</v>
      </c>
      <c r="M48" s="1"/>
      <c r="N48" s="5">
        <f t="shared" si="31"/>
        <v>0</v>
      </c>
      <c r="O48" s="14"/>
      <c r="P48" s="1">
        <f>SUM(OSRRefP22_5x_0)</f>
        <v>213.02</v>
      </c>
      <c r="Q48" s="1"/>
      <c r="R48" s="5">
        <f t="shared" si="32"/>
        <v>1.1021361843385116E-2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213.02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8">
        <v>213.02</v>
      </c>
      <c r="E49" s="3"/>
      <c r="F49" s="7">
        <f t="shared" si="28"/>
        <v>1.1021361843385116E-2</v>
      </c>
      <c r="G49" s="3"/>
      <c r="H49" s="8"/>
      <c r="I49" s="3"/>
      <c r="J49" s="7">
        <f t="shared" si="29"/>
        <v>0</v>
      </c>
      <c r="K49" s="3"/>
      <c r="L49" s="8">
        <f t="shared" si="30"/>
        <v>213.02</v>
      </c>
      <c r="M49" s="3"/>
      <c r="N49" s="7">
        <f t="shared" si="31"/>
        <v>0</v>
      </c>
      <c r="O49" s="11"/>
      <c r="P49" s="8">
        <v>213.02</v>
      </c>
      <c r="Q49" s="3"/>
      <c r="R49" s="7">
        <f t="shared" si="32"/>
        <v>1.1021361843385116E-2</v>
      </c>
      <c r="S49" s="3"/>
      <c r="T49" s="8"/>
      <c r="U49" s="3"/>
      <c r="V49" s="7">
        <f t="shared" si="33"/>
        <v>0</v>
      </c>
      <c r="W49" s="3"/>
      <c r="X49" s="8">
        <f t="shared" si="34"/>
        <v>213.02</v>
      </c>
      <c r="Y49" s="3"/>
      <c r="Z49" s="7">
        <f t="shared" si="35"/>
        <v>0</v>
      </c>
    </row>
    <row r="50" spans="1:26" s="27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381.55</v>
      </c>
      <c r="E50" s="1"/>
      <c r="F50" s="5">
        <f t="shared" si="28"/>
        <v>1.9740872271822321E-2</v>
      </c>
      <c r="G50" s="1"/>
      <c r="H50" s="1">
        <f>SUM(OSRRefH22_6x_0)</f>
        <v>251.63</v>
      </c>
      <c r="I50" s="1"/>
      <c r="J50" s="5">
        <f t="shared" si="29"/>
        <v>4.9394046952434606E-4</v>
      </c>
      <c r="K50" s="1"/>
      <c r="L50" s="1">
        <f t="shared" si="30"/>
        <v>129.92000000000002</v>
      </c>
      <c r="M50" s="1"/>
      <c r="N50" s="5">
        <f t="shared" si="31"/>
        <v>0.51631363509915362</v>
      </c>
      <c r="O50" s="14"/>
      <c r="P50" s="1">
        <f>SUM(OSRRefP22_6x_0)</f>
        <v>381.55</v>
      </c>
      <c r="Q50" s="1"/>
      <c r="R50" s="5">
        <f t="shared" si="32"/>
        <v>1.9740872271822321E-2</v>
      </c>
      <c r="S50" s="1"/>
      <c r="T50" s="1">
        <f>SUM(OSRRefT22_6x_0)</f>
        <v>251.63</v>
      </c>
      <c r="U50" s="1"/>
      <c r="V50" s="5">
        <f t="shared" si="33"/>
        <v>4.9394046952434606E-4</v>
      </c>
      <c r="W50" s="1"/>
      <c r="X50" s="1">
        <f t="shared" si="34"/>
        <v>129.92000000000002</v>
      </c>
      <c r="Y50" s="1"/>
      <c r="Z50" s="5">
        <f t="shared" si="35"/>
        <v>0.51631363509915362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8">
        <v>381.55</v>
      </c>
      <c r="E51" s="3"/>
      <c r="F51" s="7">
        <f t="shared" si="28"/>
        <v>1.9740872271822321E-2</v>
      </c>
      <c r="G51" s="3"/>
      <c r="H51" s="8">
        <v>251.63</v>
      </c>
      <c r="I51" s="3"/>
      <c r="J51" s="7">
        <f t="shared" si="29"/>
        <v>4.9394046952434606E-4</v>
      </c>
      <c r="K51" s="3"/>
      <c r="L51" s="8">
        <f t="shared" si="30"/>
        <v>129.92000000000002</v>
      </c>
      <c r="M51" s="3"/>
      <c r="N51" s="7">
        <f t="shared" si="31"/>
        <v>0.51631363509915362</v>
      </c>
      <c r="O51" s="11"/>
      <c r="P51" s="8">
        <v>381.55</v>
      </c>
      <c r="Q51" s="3"/>
      <c r="R51" s="7">
        <f t="shared" si="32"/>
        <v>1.9740872271822321E-2</v>
      </c>
      <c r="S51" s="3"/>
      <c r="T51" s="8">
        <v>251.63</v>
      </c>
      <c r="U51" s="3"/>
      <c r="V51" s="7">
        <f t="shared" si="33"/>
        <v>4.9394046952434606E-4</v>
      </c>
      <c r="W51" s="3"/>
      <c r="X51" s="8">
        <f t="shared" si="34"/>
        <v>129.92000000000002</v>
      </c>
      <c r="Y51" s="3"/>
      <c r="Z51" s="7">
        <f t="shared" si="35"/>
        <v>0.51631363509915362</v>
      </c>
    </row>
    <row r="52" spans="1:26" s="27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6298.65</v>
      </c>
      <c r="E52" s="1"/>
      <c r="F52" s="5">
        <f t="shared" si="28"/>
        <v>0.32588348875616208</v>
      </c>
      <c r="G52" s="1"/>
      <c r="H52" s="1">
        <f>SUM(OSRRefH22_7x_0)</f>
        <v>5625.86</v>
      </c>
      <c r="I52" s="1"/>
      <c r="J52" s="5">
        <f t="shared" si="29"/>
        <v>1.1043357031666486E-2</v>
      </c>
      <c r="K52" s="1"/>
      <c r="L52" s="1">
        <f t="shared" si="30"/>
        <v>672.79</v>
      </c>
      <c r="M52" s="1"/>
      <c r="N52" s="5">
        <f t="shared" si="31"/>
        <v>0.11958882730818043</v>
      </c>
      <c r="O52" s="14"/>
      <c r="P52" s="1">
        <f>SUM(OSRRefP22_7x_0)</f>
        <v>6298.65</v>
      </c>
      <c r="Q52" s="1"/>
      <c r="R52" s="5">
        <f t="shared" si="32"/>
        <v>0.32588348875616208</v>
      </c>
      <c r="S52" s="1"/>
      <c r="T52" s="1">
        <f>SUM(OSRRefT22_7x_0)</f>
        <v>5625.86</v>
      </c>
      <c r="U52" s="1"/>
      <c r="V52" s="5">
        <f t="shared" si="33"/>
        <v>1.1043357031666486E-2</v>
      </c>
      <c r="W52" s="1"/>
      <c r="X52" s="1">
        <f t="shared" si="34"/>
        <v>672.79</v>
      </c>
      <c r="Y52" s="1"/>
      <c r="Z52" s="5">
        <f t="shared" si="35"/>
        <v>0.11958882730818043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8">
        <v>6298.65</v>
      </c>
      <c r="E53" s="3"/>
      <c r="F53" s="7">
        <f t="shared" si="28"/>
        <v>0.32588348875616208</v>
      </c>
      <c r="G53" s="3"/>
      <c r="H53" s="8">
        <v>5625.86</v>
      </c>
      <c r="I53" s="3"/>
      <c r="J53" s="7">
        <f t="shared" si="29"/>
        <v>1.1043357031666486E-2</v>
      </c>
      <c r="K53" s="3"/>
      <c r="L53" s="8">
        <f t="shared" si="30"/>
        <v>672.79</v>
      </c>
      <c r="M53" s="3"/>
      <c r="N53" s="7">
        <f t="shared" si="31"/>
        <v>0.11958882730818043</v>
      </c>
      <c r="O53" s="11"/>
      <c r="P53" s="8">
        <v>6298.65</v>
      </c>
      <c r="Q53" s="3"/>
      <c r="R53" s="7">
        <f t="shared" si="32"/>
        <v>0.32588348875616208</v>
      </c>
      <c r="S53" s="3"/>
      <c r="T53" s="8">
        <v>5625.86</v>
      </c>
      <c r="U53" s="3"/>
      <c r="V53" s="7">
        <f t="shared" si="33"/>
        <v>1.1043357031666486E-2</v>
      </c>
      <c r="W53" s="3"/>
      <c r="X53" s="8">
        <f t="shared" si="34"/>
        <v>672.79</v>
      </c>
      <c r="Y53" s="3"/>
      <c r="Z53" s="7">
        <f t="shared" si="35"/>
        <v>0.11958882730818043</v>
      </c>
    </row>
    <row r="54" spans="1:26" s="27" customFormat="1" outlineLevel="1" collapsed="1" x14ac:dyDescent="0.25">
      <c r="A54" s="28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SUM(OSRRefD22_8x_0)</f>
        <v>5.9</v>
      </c>
      <c r="E54" s="1"/>
      <c r="F54" s="5">
        <f t="shared" si="28"/>
        <v>3.0525788600118385E-4</v>
      </c>
      <c r="G54" s="1"/>
      <c r="H54" s="1">
        <f>SUM(OSRRefH22_8x_0)</f>
        <v>5.9</v>
      </c>
      <c r="I54" s="1"/>
      <c r="J54" s="5">
        <f t="shared" si="29"/>
        <v>1.158148380635712E-5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SUM(OSRRefP22_8x_0)</f>
        <v>5.9</v>
      </c>
      <c r="Q54" s="1"/>
      <c r="R54" s="5">
        <f t="shared" si="32"/>
        <v>3.0525788600118385E-4</v>
      </c>
      <c r="S54" s="1"/>
      <c r="T54" s="1">
        <f>SUM(OSRRefT22_8x_0)</f>
        <v>5.9</v>
      </c>
      <c r="U54" s="1"/>
      <c r="V54" s="5">
        <f t="shared" si="33"/>
        <v>1.158148380635712E-5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"6314", " - ", "LIABILITY INSURANCE")</f>
        <v xml:space="preserve">          6314 - LIABILITY INSURANCE</v>
      </c>
      <c r="C55" s="11"/>
      <c r="D55" s="8">
        <v>5.9</v>
      </c>
      <c r="E55" s="3"/>
      <c r="F55" s="7">
        <f t="shared" si="28"/>
        <v>3.0525788600118385E-4</v>
      </c>
      <c r="G55" s="3"/>
      <c r="H55" s="8">
        <v>5.9</v>
      </c>
      <c r="I55" s="3"/>
      <c r="J55" s="7">
        <f t="shared" si="29"/>
        <v>1.158148380635712E-5</v>
      </c>
      <c r="K55" s="3"/>
      <c r="L55" s="8">
        <f t="shared" si="30"/>
        <v>0</v>
      </c>
      <c r="M55" s="3"/>
      <c r="N55" s="7">
        <f t="shared" si="31"/>
        <v>0</v>
      </c>
      <c r="O55" s="11"/>
      <c r="P55" s="8">
        <v>5.9</v>
      </c>
      <c r="Q55" s="3"/>
      <c r="R55" s="7">
        <f t="shared" si="32"/>
        <v>3.0525788600118385E-4</v>
      </c>
      <c r="S55" s="3"/>
      <c r="T55" s="8">
        <v>5.9</v>
      </c>
      <c r="U55" s="3"/>
      <c r="V55" s="7">
        <f t="shared" si="33"/>
        <v>1.158148380635712E-5</v>
      </c>
      <c r="W55" s="3"/>
      <c r="X55" s="8">
        <f t="shared" si="34"/>
        <v>0</v>
      </c>
      <c r="Y55" s="3"/>
      <c r="Z55" s="7">
        <f t="shared" si="35"/>
        <v>0</v>
      </c>
    </row>
    <row r="56" spans="1:26" s="27" customFormat="1" outlineLevel="1" collapsed="1" x14ac:dyDescent="0.25">
      <c r="A56" s="28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SUM(OSRRefD22_9x_0)</f>
        <v>1151.68</v>
      </c>
      <c r="E56" s="1"/>
      <c r="F56" s="5">
        <f t="shared" si="28"/>
        <v>5.9586339347431079E-2</v>
      </c>
      <c r="G56" s="1"/>
      <c r="H56" s="1">
        <f>SUM(OSRRefH22_9x_0)</f>
        <v>39712.65</v>
      </c>
      <c r="I56" s="1"/>
      <c r="J56" s="5">
        <f t="shared" si="29"/>
        <v>7.7954476759750521E-2</v>
      </c>
      <c r="K56" s="1"/>
      <c r="L56" s="1">
        <f t="shared" si="30"/>
        <v>-38560.97</v>
      </c>
      <c r="M56" s="1"/>
      <c r="N56" s="5">
        <f t="shared" si="31"/>
        <v>-0.97099966887125388</v>
      </c>
      <c r="O56" s="14"/>
      <c r="P56" s="1">
        <f>SUM(OSRRefP22_9x_0)</f>
        <v>1151.68</v>
      </c>
      <c r="Q56" s="1"/>
      <c r="R56" s="5">
        <f t="shared" si="32"/>
        <v>5.9586339347431079E-2</v>
      </c>
      <c r="S56" s="1"/>
      <c r="T56" s="1">
        <f>SUM(OSRRefT22_9x_0)</f>
        <v>39712.65</v>
      </c>
      <c r="U56" s="1"/>
      <c r="V56" s="5">
        <f t="shared" si="33"/>
        <v>7.7954476759750521E-2</v>
      </c>
      <c r="W56" s="1"/>
      <c r="X56" s="1">
        <f t="shared" si="34"/>
        <v>-38560.97</v>
      </c>
      <c r="Y56" s="1"/>
      <c r="Z56" s="5">
        <f t="shared" si="35"/>
        <v>-0.97099966887125388</v>
      </c>
    </row>
    <row r="57" spans="1:26" s="24" customFormat="1" hidden="1" outlineLevel="2" x14ac:dyDescent="0.25">
      <c r="A57" s="29"/>
      <c r="B57" s="11" t="str">
        <f>CONCATENATE("          ", "6387", " - ", "COMMISSION DUE HOUSING")</f>
        <v xml:space="preserve">          6387 - COMMISSION DUE HOUSING</v>
      </c>
      <c r="C57" s="11"/>
      <c r="D57" s="8">
        <v>1151.68</v>
      </c>
      <c r="E57" s="3"/>
      <c r="F57" s="7">
        <f t="shared" si="28"/>
        <v>5.9586339347431079E-2</v>
      </c>
      <c r="G57" s="3"/>
      <c r="H57" s="8">
        <v>39712.65</v>
      </c>
      <c r="I57" s="3"/>
      <c r="J57" s="7">
        <f t="shared" si="29"/>
        <v>7.7954476759750521E-2</v>
      </c>
      <c r="K57" s="3"/>
      <c r="L57" s="8">
        <f t="shared" si="30"/>
        <v>-38560.97</v>
      </c>
      <c r="M57" s="3"/>
      <c r="N57" s="7">
        <f t="shared" si="31"/>
        <v>-0.97099966887125388</v>
      </c>
      <c r="O57" s="11"/>
      <c r="P57" s="8">
        <v>1151.68</v>
      </c>
      <c r="Q57" s="3"/>
      <c r="R57" s="7">
        <f t="shared" si="32"/>
        <v>5.9586339347431079E-2</v>
      </c>
      <c r="S57" s="3"/>
      <c r="T57" s="8">
        <v>39712.65</v>
      </c>
      <c r="U57" s="3"/>
      <c r="V57" s="7">
        <f t="shared" si="33"/>
        <v>7.7954476759750521E-2</v>
      </c>
      <c r="W57" s="3"/>
      <c r="X57" s="8">
        <f t="shared" si="34"/>
        <v>-38560.97</v>
      </c>
      <c r="Y57" s="3"/>
      <c r="Z57" s="7">
        <f t="shared" si="35"/>
        <v>-0.97099966887125388</v>
      </c>
    </row>
    <row r="58" spans="1:26" s="27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1.65</v>
      </c>
      <c r="E58" s="1"/>
      <c r="F58" s="5">
        <f t="shared" si="28"/>
        <v>8.5368730830839531E-5</v>
      </c>
      <c r="G58" s="1"/>
      <c r="H58" s="1">
        <f>SUM(OSRRefH22_10x_0)</f>
        <v>8.82</v>
      </c>
      <c r="I58" s="1"/>
      <c r="J58" s="5">
        <f t="shared" si="29"/>
        <v>1.7313336808825389E-5</v>
      </c>
      <c r="K58" s="1"/>
      <c r="L58" s="1">
        <f t="shared" si="30"/>
        <v>-7.17</v>
      </c>
      <c r="M58" s="1"/>
      <c r="N58" s="5">
        <f t="shared" si="31"/>
        <v>-0.81292517006802723</v>
      </c>
      <c r="O58" s="14"/>
      <c r="P58" s="1">
        <f>SUM(OSRRefP22_10x_0)</f>
        <v>1.65</v>
      </c>
      <c r="Q58" s="1"/>
      <c r="R58" s="5">
        <f t="shared" si="32"/>
        <v>8.5368730830839531E-5</v>
      </c>
      <c r="S58" s="1"/>
      <c r="T58" s="1">
        <f>SUM(OSRRefT22_10x_0)</f>
        <v>8.82</v>
      </c>
      <c r="U58" s="1"/>
      <c r="V58" s="5">
        <f t="shared" si="33"/>
        <v>1.7313336808825389E-5</v>
      </c>
      <c r="W58" s="1"/>
      <c r="X58" s="1">
        <f t="shared" si="34"/>
        <v>-7.17</v>
      </c>
      <c r="Y58" s="1"/>
      <c r="Z58" s="5">
        <f t="shared" si="35"/>
        <v>-0.81292517006802723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8">
        <v>1.65</v>
      </c>
      <c r="E59" s="3"/>
      <c r="F59" s="7">
        <f t="shared" si="28"/>
        <v>8.5368730830839531E-5</v>
      </c>
      <c r="G59" s="3"/>
      <c r="H59" s="8">
        <v>8.82</v>
      </c>
      <c r="I59" s="3"/>
      <c r="J59" s="7">
        <f t="shared" si="29"/>
        <v>1.7313336808825389E-5</v>
      </c>
      <c r="K59" s="3"/>
      <c r="L59" s="8">
        <f t="shared" si="30"/>
        <v>-7.17</v>
      </c>
      <c r="M59" s="3"/>
      <c r="N59" s="7">
        <f t="shared" si="31"/>
        <v>-0.81292517006802723</v>
      </c>
      <c r="O59" s="11"/>
      <c r="P59" s="8">
        <v>1.65</v>
      </c>
      <c r="Q59" s="3"/>
      <c r="R59" s="7">
        <f t="shared" si="32"/>
        <v>8.5368730830839531E-5</v>
      </c>
      <c r="S59" s="3"/>
      <c r="T59" s="8">
        <v>8.82</v>
      </c>
      <c r="U59" s="3"/>
      <c r="V59" s="7">
        <f t="shared" si="33"/>
        <v>1.7313336808825389E-5</v>
      </c>
      <c r="W59" s="3"/>
      <c r="X59" s="8">
        <f t="shared" si="34"/>
        <v>-7.17</v>
      </c>
      <c r="Y59" s="3"/>
      <c r="Z59" s="7">
        <f t="shared" si="35"/>
        <v>-0.81292517006802723</v>
      </c>
    </row>
    <row r="60" spans="1:26" s="27" customFormat="1" outlineLevel="1" collapsed="1" x14ac:dyDescent="0.25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11152.67</v>
      </c>
      <c r="E60" s="1"/>
      <c r="F60" s="5">
        <f t="shared" si="28"/>
        <v>0.57702380804556319</v>
      </c>
      <c r="G60" s="1"/>
      <c r="H60" s="1">
        <f>SUM(OSRRefH22_11x_0)</f>
        <v>19561.64</v>
      </c>
      <c r="I60" s="1"/>
      <c r="J60" s="5">
        <f t="shared" si="29"/>
        <v>3.839878252301486E-2</v>
      </c>
      <c r="K60" s="1"/>
      <c r="L60" s="1">
        <f t="shared" si="30"/>
        <v>-8408.9699999999993</v>
      </c>
      <c r="M60" s="1"/>
      <c r="N60" s="5">
        <f t="shared" si="31"/>
        <v>-0.429870399414364</v>
      </c>
      <c r="O60" s="14"/>
      <c r="P60" s="1">
        <f>SUM(OSRRefP22_11x_0)</f>
        <v>11152.67</v>
      </c>
      <c r="Q60" s="1"/>
      <c r="R60" s="5">
        <f t="shared" si="32"/>
        <v>0.57702380804556319</v>
      </c>
      <c r="S60" s="1"/>
      <c r="T60" s="1">
        <f>SUM(OSRRefT22_11x_0)</f>
        <v>19561.64</v>
      </c>
      <c r="U60" s="1"/>
      <c r="V60" s="5">
        <f t="shared" si="33"/>
        <v>3.839878252301486E-2</v>
      </c>
      <c r="W60" s="1"/>
      <c r="X60" s="1">
        <f t="shared" si="34"/>
        <v>-8408.9699999999993</v>
      </c>
      <c r="Y60" s="1"/>
      <c r="Z60" s="5">
        <f t="shared" si="35"/>
        <v>-0.429870399414364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8">
        <v>1221.68</v>
      </c>
      <c r="E61" s="3"/>
      <c r="F61" s="7">
        <f t="shared" si="28"/>
        <v>6.3208043079648515E-2</v>
      </c>
      <c r="G61" s="3"/>
      <c r="H61" s="8">
        <v>1508.3</v>
      </c>
      <c r="I61" s="3"/>
      <c r="J61" s="7">
        <f t="shared" si="29"/>
        <v>2.9607376313777025E-3</v>
      </c>
      <c r="K61" s="3"/>
      <c r="L61" s="8">
        <f t="shared" si="30"/>
        <v>-286.61999999999989</v>
      </c>
      <c r="M61" s="3"/>
      <c r="N61" s="7">
        <f t="shared" si="31"/>
        <v>-0.19002850891732406</v>
      </c>
      <c r="O61" s="11"/>
      <c r="P61" s="8">
        <v>1221.68</v>
      </c>
      <c r="Q61" s="3"/>
      <c r="R61" s="7">
        <f t="shared" si="32"/>
        <v>6.3208043079648515E-2</v>
      </c>
      <c r="S61" s="3"/>
      <c r="T61" s="8">
        <v>1508.3</v>
      </c>
      <c r="U61" s="3"/>
      <c r="V61" s="7">
        <f t="shared" si="33"/>
        <v>2.9607376313777025E-3</v>
      </c>
      <c r="W61" s="3"/>
      <c r="X61" s="8">
        <f t="shared" si="34"/>
        <v>-286.61999999999989</v>
      </c>
      <c r="Y61" s="3"/>
      <c r="Z61" s="7">
        <f t="shared" si="35"/>
        <v>-0.19002850891732406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8">
        <v>8314.1</v>
      </c>
      <c r="E62" s="3"/>
      <c r="F62" s="7">
        <f t="shared" si="28"/>
        <v>0.43016010000041399</v>
      </c>
      <c r="G62" s="3"/>
      <c r="H62" s="8">
        <v>13011.01</v>
      </c>
      <c r="I62" s="3"/>
      <c r="J62" s="7">
        <f t="shared" si="29"/>
        <v>2.5540135867686536E-2</v>
      </c>
      <c r="K62" s="3"/>
      <c r="L62" s="8">
        <f t="shared" si="30"/>
        <v>-4696.91</v>
      </c>
      <c r="M62" s="3"/>
      <c r="N62" s="7">
        <f t="shared" si="31"/>
        <v>-0.36099503420564583</v>
      </c>
      <c r="O62" s="11"/>
      <c r="P62" s="8">
        <v>8314.1</v>
      </c>
      <c r="Q62" s="3"/>
      <c r="R62" s="7">
        <f t="shared" si="32"/>
        <v>0.43016010000041399</v>
      </c>
      <c r="S62" s="3"/>
      <c r="T62" s="8">
        <v>13011.01</v>
      </c>
      <c r="U62" s="3"/>
      <c r="V62" s="7">
        <f t="shared" si="33"/>
        <v>2.5540135867686536E-2</v>
      </c>
      <c r="W62" s="3"/>
      <c r="X62" s="8">
        <f t="shared" si="34"/>
        <v>-4696.91</v>
      </c>
      <c r="Y62" s="3"/>
      <c r="Z62" s="7">
        <f t="shared" si="35"/>
        <v>-0.36099503420564583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8">
        <v>1616.89</v>
      </c>
      <c r="E63" s="3"/>
      <c r="F63" s="7">
        <f t="shared" si="28"/>
        <v>8.3655664965500698E-2</v>
      </c>
      <c r="G63" s="3"/>
      <c r="H63" s="8">
        <v>5042.33</v>
      </c>
      <c r="I63" s="3"/>
      <c r="J63" s="7">
        <f t="shared" si="29"/>
        <v>9.8979090239506261E-3</v>
      </c>
      <c r="K63" s="3"/>
      <c r="L63" s="8">
        <f t="shared" si="30"/>
        <v>-3425.4399999999996</v>
      </c>
      <c r="M63" s="3"/>
      <c r="N63" s="7">
        <f t="shared" si="31"/>
        <v>-0.67933673519979842</v>
      </c>
      <c r="O63" s="11"/>
      <c r="P63" s="8">
        <v>1616.89</v>
      </c>
      <c r="Q63" s="3"/>
      <c r="R63" s="7">
        <f t="shared" si="32"/>
        <v>8.3655664965500698E-2</v>
      </c>
      <c r="S63" s="3"/>
      <c r="T63" s="8">
        <v>5042.33</v>
      </c>
      <c r="U63" s="3"/>
      <c r="V63" s="7">
        <f t="shared" si="33"/>
        <v>9.8979090239506261E-3</v>
      </c>
      <c r="W63" s="3"/>
      <c r="X63" s="8">
        <f t="shared" si="34"/>
        <v>-3425.4399999999996</v>
      </c>
      <c r="Y63" s="3"/>
      <c r="Z63" s="7">
        <f t="shared" si="35"/>
        <v>-0.67933673519979842</v>
      </c>
    </row>
    <row r="64" spans="1:26" s="27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SUM(OSRRefD22_12x_0)</f>
        <v>6868.5199999999995</v>
      </c>
      <c r="E64" s="1"/>
      <c r="F64" s="5">
        <f t="shared" ref="F64:F71" si="36">IF(D$12=0,0,D64/D$12)</f>
        <v>0.3553677788401442</v>
      </c>
      <c r="G64" s="1"/>
      <c r="H64" s="1">
        <f>SUM(OSRRefH22_12x_0)</f>
        <v>28118.28</v>
      </c>
      <c r="I64" s="1"/>
      <c r="J64" s="5">
        <f t="shared" ref="J64:J71" si="37">IF(H$12=0,0,H64/H$12)</f>
        <v>5.5195153302138179E-2</v>
      </c>
      <c r="K64" s="1"/>
      <c r="L64" s="1">
        <f t="shared" ref="L64:L71" si="38">+D64-H64</f>
        <v>-21249.759999999998</v>
      </c>
      <c r="M64" s="1"/>
      <c r="N64" s="5">
        <f t="shared" ref="N64:N71" si="39">IF(H64=0,0,L64/H64)</f>
        <v>-0.75572759073456841</v>
      </c>
      <c r="O64" s="14"/>
      <c r="P64" s="1">
        <f>SUM(OSRRefP22_12x_0)</f>
        <v>6868.5199999999995</v>
      </c>
      <c r="Q64" s="1"/>
      <c r="R64" s="5">
        <f t="shared" ref="R64:R71" si="40">IF(P$12=0,0,P64/P$12)</f>
        <v>0.3553677788401442</v>
      </c>
      <c r="S64" s="1"/>
      <c r="T64" s="1">
        <f>SUM(OSRRefT22_12x_0)</f>
        <v>28118.28</v>
      </c>
      <c r="U64" s="1"/>
      <c r="V64" s="5">
        <f t="shared" ref="V64:V71" si="41">IF(T$12=0,0,T64/T$12)</f>
        <v>5.5195153302138179E-2</v>
      </c>
      <c r="W64" s="1"/>
      <c r="X64" s="1">
        <f t="shared" ref="X64:X71" si="42">+P64-T64</f>
        <v>-21249.759999999998</v>
      </c>
      <c r="Y64" s="1"/>
      <c r="Z64" s="5">
        <f t="shared" ref="Z64:Z71" si="43">IF(T64=0,0,X64/T64)</f>
        <v>-0.75572759073456841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8">
        <v>4966.12</v>
      </c>
      <c r="E65" s="3"/>
      <c r="F65" s="7">
        <f t="shared" si="36"/>
        <v>0.25694021912342352</v>
      </c>
      <c r="G65" s="3"/>
      <c r="H65" s="8"/>
      <c r="I65" s="3"/>
      <c r="J65" s="7">
        <f t="shared" si="37"/>
        <v>0</v>
      </c>
      <c r="K65" s="3"/>
      <c r="L65" s="8">
        <f t="shared" si="38"/>
        <v>4966.12</v>
      </c>
      <c r="M65" s="3"/>
      <c r="N65" s="7">
        <f t="shared" si="39"/>
        <v>0</v>
      </c>
      <c r="O65" s="11"/>
      <c r="P65" s="8">
        <v>4966.12</v>
      </c>
      <c r="Q65" s="3"/>
      <c r="R65" s="7">
        <f t="shared" si="40"/>
        <v>0.25694021912342352</v>
      </c>
      <c r="S65" s="3"/>
      <c r="T65" s="8"/>
      <c r="U65" s="3"/>
      <c r="V65" s="7">
        <f t="shared" si="41"/>
        <v>0</v>
      </c>
      <c r="W65" s="3"/>
      <c r="X65" s="8">
        <f t="shared" si="42"/>
        <v>4966.12</v>
      </c>
      <c r="Y65" s="3"/>
      <c r="Z65" s="7">
        <f t="shared" si="43"/>
        <v>0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8">
        <v>1188.04</v>
      </c>
      <c r="E66" s="3"/>
      <c r="F66" s="7">
        <f t="shared" si="36"/>
        <v>6.1467555743194305E-2</v>
      </c>
      <c r="G66" s="3"/>
      <c r="H66" s="8">
        <v>7251.45</v>
      </c>
      <c r="I66" s="3"/>
      <c r="J66" s="7">
        <f t="shared" si="37"/>
        <v>1.4234330635187854E-2</v>
      </c>
      <c r="K66" s="3"/>
      <c r="L66" s="8">
        <f t="shared" si="38"/>
        <v>-6063.41</v>
      </c>
      <c r="M66" s="3"/>
      <c r="N66" s="7">
        <f t="shared" si="39"/>
        <v>-0.83616518075695201</v>
      </c>
      <c r="O66" s="11"/>
      <c r="P66" s="8">
        <v>1188.04</v>
      </c>
      <c r="Q66" s="3"/>
      <c r="R66" s="7">
        <f t="shared" si="40"/>
        <v>6.1467555743194305E-2</v>
      </c>
      <c r="S66" s="3"/>
      <c r="T66" s="8">
        <v>7251.45</v>
      </c>
      <c r="U66" s="3"/>
      <c r="V66" s="7">
        <f t="shared" si="41"/>
        <v>1.4234330635187854E-2</v>
      </c>
      <c r="W66" s="3"/>
      <c r="X66" s="8">
        <f t="shared" si="42"/>
        <v>-6063.41</v>
      </c>
      <c r="Y66" s="3"/>
      <c r="Z66" s="7">
        <f t="shared" si="43"/>
        <v>-0.83616518075695201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8">
        <v>50</v>
      </c>
      <c r="E67" s="3"/>
      <c r="F67" s="7">
        <f t="shared" si="36"/>
        <v>2.5869312372981679E-3</v>
      </c>
      <c r="G67" s="3"/>
      <c r="H67" s="8">
        <v>832.97</v>
      </c>
      <c r="I67" s="3"/>
      <c r="J67" s="7">
        <f t="shared" si="37"/>
        <v>1.6350895874883543E-3</v>
      </c>
      <c r="K67" s="3"/>
      <c r="L67" s="8">
        <f t="shared" si="38"/>
        <v>-782.97</v>
      </c>
      <c r="M67" s="3"/>
      <c r="N67" s="7">
        <f t="shared" si="39"/>
        <v>-0.93997382858926493</v>
      </c>
      <c r="O67" s="11"/>
      <c r="P67" s="8">
        <v>50</v>
      </c>
      <c r="Q67" s="3"/>
      <c r="R67" s="7">
        <f t="shared" si="40"/>
        <v>2.5869312372981679E-3</v>
      </c>
      <c r="S67" s="3"/>
      <c r="T67" s="8">
        <v>832.97</v>
      </c>
      <c r="U67" s="3"/>
      <c r="V67" s="7">
        <f t="shared" si="41"/>
        <v>1.6350895874883543E-3</v>
      </c>
      <c r="W67" s="3"/>
      <c r="X67" s="8">
        <f t="shared" si="42"/>
        <v>-782.97</v>
      </c>
      <c r="Y67" s="3"/>
      <c r="Z67" s="7">
        <f t="shared" si="43"/>
        <v>-0.93997382858926493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8">
        <v>16.48</v>
      </c>
      <c r="E68" s="3"/>
      <c r="F68" s="7">
        <f t="shared" si="36"/>
        <v>8.5265253581347613E-4</v>
      </c>
      <c r="G68" s="3"/>
      <c r="H68" s="8">
        <v>20849.98</v>
      </c>
      <c r="I68" s="3"/>
      <c r="J68" s="7">
        <f t="shared" si="37"/>
        <v>4.0927746734384714E-2</v>
      </c>
      <c r="K68" s="3"/>
      <c r="L68" s="8">
        <f t="shared" si="38"/>
        <v>-20833.5</v>
      </c>
      <c r="M68" s="3"/>
      <c r="N68" s="7">
        <f t="shared" si="39"/>
        <v>-0.99920959156795353</v>
      </c>
      <c r="O68" s="11"/>
      <c r="P68" s="8">
        <v>16.48</v>
      </c>
      <c r="Q68" s="3"/>
      <c r="R68" s="7">
        <f t="shared" si="40"/>
        <v>8.5265253581347613E-4</v>
      </c>
      <c r="S68" s="3"/>
      <c r="T68" s="8">
        <v>20849.98</v>
      </c>
      <c r="U68" s="3"/>
      <c r="V68" s="7">
        <f t="shared" si="41"/>
        <v>4.0927746734384714E-2</v>
      </c>
      <c r="W68" s="3"/>
      <c r="X68" s="8">
        <f t="shared" si="42"/>
        <v>-20833.5</v>
      </c>
      <c r="Y68" s="3"/>
      <c r="Z68" s="7">
        <f t="shared" si="43"/>
        <v>-0.99920959156795353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8">
        <v>647.88</v>
      </c>
      <c r="E69" s="3"/>
      <c r="F69" s="7">
        <f t="shared" si="36"/>
        <v>3.3520420200414743E-2</v>
      </c>
      <c r="G69" s="3"/>
      <c r="H69" s="8">
        <v>4597.13</v>
      </c>
      <c r="I69" s="3"/>
      <c r="J69" s="7">
        <f t="shared" si="37"/>
        <v>9.0239977374099167E-3</v>
      </c>
      <c r="K69" s="3"/>
      <c r="L69" s="8">
        <f t="shared" si="38"/>
        <v>-3949.25</v>
      </c>
      <c r="M69" s="3"/>
      <c r="N69" s="7">
        <f t="shared" si="39"/>
        <v>-0.85906859279594006</v>
      </c>
      <c r="O69" s="11"/>
      <c r="P69" s="8">
        <v>647.88</v>
      </c>
      <c r="Q69" s="3"/>
      <c r="R69" s="7">
        <f t="shared" si="40"/>
        <v>3.3520420200414743E-2</v>
      </c>
      <c r="S69" s="3"/>
      <c r="T69" s="8">
        <v>4597.13</v>
      </c>
      <c r="U69" s="3"/>
      <c r="V69" s="7">
        <f t="shared" si="41"/>
        <v>9.0239977374099167E-3</v>
      </c>
      <c r="W69" s="3"/>
      <c r="X69" s="8">
        <f t="shared" si="42"/>
        <v>-3949.25</v>
      </c>
      <c r="Y69" s="3"/>
      <c r="Z69" s="7">
        <f t="shared" si="43"/>
        <v>-0.85906859279594006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8"/>
      <c r="E70" s="3"/>
      <c r="F70" s="7">
        <f t="shared" si="36"/>
        <v>0</v>
      </c>
      <c r="G70" s="3"/>
      <c r="H70" s="8">
        <v>156.1</v>
      </c>
      <c r="I70" s="3"/>
      <c r="J70" s="7">
        <f t="shared" si="37"/>
        <v>3.0641858002921127E-4</v>
      </c>
      <c r="K70" s="3"/>
      <c r="L70" s="8">
        <f t="shared" si="38"/>
        <v>-156.1</v>
      </c>
      <c r="M70" s="3"/>
      <c r="N70" s="7">
        <f t="shared" si="39"/>
        <v>-1</v>
      </c>
      <c r="O70" s="11"/>
      <c r="P70" s="8"/>
      <c r="Q70" s="3"/>
      <c r="R70" s="7">
        <f t="shared" si="40"/>
        <v>0</v>
      </c>
      <c r="S70" s="3"/>
      <c r="T70" s="8">
        <v>156.1</v>
      </c>
      <c r="U70" s="3"/>
      <c r="V70" s="7">
        <f t="shared" si="41"/>
        <v>3.0641858002921127E-4</v>
      </c>
      <c r="W70" s="3"/>
      <c r="X70" s="8">
        <f t="shared" si="42"/>
        <v>-156.1</v>
      </c>
      <c r="Y70" s="3"/>
      <c r="Z70" s="7">
        <f t="shared" si="43"/>
        <v>-1</v>
      </c>
    </row>
    <row r="71" spans="1:26" s="24" customFormat="1" hidden="1" outlineLevel="2" x14ac:dyDescent="0.25">
      <c r="A71" s="29"/>
      <c r="B71" s="11" t="str">
        <f>CONCATENATE("          ", "6248", " - ", "UNIFORMS")</f>
        <v xml:space="preserve">          6248 - UNIFORMS</v>
      </c>
      <c r="C71" s="11"/>
      <c r="D71" s="8"/>
      <c r="E71" s="3"/>
      <c r="F71" s="7">
        <f t="shared" si="36"/>
        <v>0</v>
      </c>
      <c r="G71" s="3"/>
      <c r="H71" s="8">
        <v>-5569.35</v>
      </c>
      <c r="I71" s="3"/>
      <c r="J71" s="7">
        <f t="shared" si="37"/>
        <v>-1.093242997236187E-2</v>
      </c>
      <c r="K71" s="3"/>
      <c r="L71" s="8">
        <f t="shared" si="38"/>
        <v>5569.35</v>
      </c>
      <c r="M71" s="3"/>
      <c r="N71" s="7">
        <f t="shared" si="39"/>
        <v>-1</v>
      </c>
      <c r="O71" s="11"/>
      <c r="P71" s="8"/>
      <c r="Q71" s="3"/>
      <c r="R71" s="7">
        <f t="shared" si="40"/>
        <v>0</v>
      </c>
      <c r="S71" s="3"/>
      <c r="T71" s="8">
        <v>-5569.35</v>
      </c>
      <c r="U71" s="3"/>
      <c r="V71" s="7">
        <f t="shared" si="41"/>
        <v>-1.093242997236187E-2</v>
      </c>
      <c r="W71" s="3"/>
      <c r="X71" s="8">
        <f t="shared" si="42"/>
        <v>5569.35</v>
      </c>
      <c r="Y71" s="3"/>
      <c r="Z71" s="7">
        <f t="shared" si="43"/>
        <v>-1</v>
      </c>
    </row>
    <row r="72" spans="1:26" s="27" customFormat="1" outlineLevel="1" collapsed="1" x14ac:dyDescent="0.25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SUM(OSRRefD22_13x_0)</f>
        <v>632.5</v>
      </c>
      <c r="E72" s="1"/>
      <c r="F72" s="5">
        <f t="shared" ref="F72:F77" si="44">IF(D$12=0,0,D72/D$12)</f>
        <v>3.2724680151821825E-2</v>
      </c>
      <c r="G72" s="1"/>
      <c r="H72" s="1">
        <f>SUM(OSRRefH22_13x_0)</f>
        <v>-434.35</v>
      </c>
      <c r="I72" s="1"/>
      <c r="J72" s="5">
        <f t="shared" ref="J72:J77" si="45">IF(H$12=0,0,H72/H$12)</f>
        <v>-8.526131341171551E-4</v>
      </c>
      <c r="K72" s="1"/>
      <c r="L72" s="1">
        <f t="shared" ref="L72:L77" si="46">+D72-H72</f>
        <v>1066.8499999999999</v>
      </c>
      <c r="M72" s="1"/>
      <c r="N72" s="5">
        <f t="shared" ref="N72:N77" si="47">IF(H72=0,0,L72/H72)</f>
        <v>-2.4561989179233334</v>
      </c>
      <c r="O72" s="14"/>
      <c r="P72" s="1">
        <f>SUM(OSRRefP22_13x_0)</f>
        <v>632.5</v>
      </c>
      <c r="Q72" s="1"/>
      <c r="R72" s="5">
        <f t="shared" ref="R72:R77" si="48">IF(P$12=0,0,P72/P$12)</f>
        <v>3.2724680151821825E-2</v>
      </c>
      <c r="S72" s="1"/>
      <c r="T72" s="1">
        <f>SUM(OSRRefT22_13x_0)</f>
        <v>-434.35</v>
      </c>
      <c r="U72" s="1"/>
      <c r="V72" s="5">
        <f t="shared" ref="V72:V77" si="49">IF(T$12=0,0,T72/T$12)</f>
        <v>-8.526131341171551E-4</v>
      </c>
      <c r="W72" s="1"/>
      <c r="X72" s="1">
        <f t="shared" ref="X72:X77" si="50">+P72-T72</f>
        <v>1066.8499999999999</v>
      </c>
      <c r="Y72" s="1"/>
      <c r="Z72" s="5">
        <f t="shared" ref="Z72:Z77" si="51">IF(T72=0,0,X72/T72)</f>
        <v>-2.4561989179233334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8">
        <v>632.5</v>
      </c>
      <c r="E73" s="3"/>
      <c r="F73" s="7">
        <f t="shared" si="44"/>
        <v>3.2724680151821825E-2</v>
      </c>
      <c r="G73" s="3"/>
      <c r="H73" s="8">
        <v>-434.35</v>
      </c>
      <c r="I73" s="3"/>
      <c r="J73" s="7">
        <f t="shared" si="45"/>
        <v>-8.526131341171551E-4</v>
      </c>
      <c r="K73" s="3"/>
      <c r="L73" s="8">
        <f t="shared" si="46"/>
        <v>1066.8499999999999</v>
      </c>
      <c r="M73" s="3"/>
      <c r="N73" s="7">
        <f t="shared" si="47"/>
        <v>-2.4561989179233334</v>
      </c>
      <c r="O73" s="11"/>
      <c r="P73" s="8">
        <v>632.5</v>
      </c>
      <c r="Q73" s="3"/>
      <c r="R73" s="7">
        <f t="shared" si="48"/>
        <v>3.2724680151821825E-2</v>
      </c>
      <c r="S73" s="3"/>
      <c r="T73" s="8">
        <v>-434.35</v>
      </c>
      <c r="U73" s="3"/>
      <c r="V73" s="7">
        <f t="shared" si="49"/>
        <v>-8.526131341171551E-4</v>
      </c>
      <c r="W73" s="3"/>
      <c r="X73" s="8">
        <f t="shared" si="50"/>
        <v>1066.8499999999999</v>
      </c>
      <c r="Y73" s="3"/>
      <c r="Z73" s="7">
        <f t="shared" si="51"/>
        <v>-2.4561989179233334</v>
      </c>
    </row>
    <row r="74" spans="1:26" s="27" customFormat="1" outlineLevel="1" collapsed="1" x14ac:dyDescent="0.25">
      <c r="A74" s="28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SUM(OSRRefD22_14x_0)</f>
        <v>0</v>
      </c>
      <c r="E74" s="1"/>
      <c r="F74" s="5">
        <f t="shared" si="44"/>
        <v>0</v>
      </c>
      <c r="G74" s="1"/>
      <c r="H74" s="1">
        <f>SUM(OSRRefH22_14x_0)</f>
        <v>3206.37</v>
      </c>
      <c r="I74" s="1"/>
      <c r="J74" s="5">
        <f t="shared" si="45"/>
        <v>6.2939868190151314E-3</v>
      </c>
      <c r="K74" s="1"/>
      <c r="L74" s="1">
        <f t="shared" si="46"/>
        <v>-3206.37</v>
      </c>
      <c r="M74" s="1"/>
      <c r="N74" s="5">
        <f t="shared" si="47"/>
        <v>-1</v>
      </c>
      <c r="O74" s="14"/>
      <c r="P74" s="1">
        <f>SUM(OSRRefP22_14x_0)</f>
        <v>0</v>
      </c>
      <c r="Q74" s="1"/>
      <c r="R74" s="5">
        <f t="shared" si="48"/>
        <v>0</v>
      </c>
      <c r="S74" s="1"/>
      <c r="T74" s="1">
        <f>SUM(OSRRefT22_14x_0)</f>
        <v>3206.37</v>
      </c>
      <c r="U74" s="1"/>
      <c r="V74" s="5">
        <f t="shared" si="49"/>
        <v>6.2939868190151314E-3</v>
      </c>
      <c r="W74" s="1"/>
      <c r="X74" s="1">
        <f t="shared" si="50"/>
        <v>-3206.37</v>
      </c>
      <c r="Y74" s="1"/>
      <c r="Z74" s="5">
        <f t="shared" si="51"/>
        <v>-1</v>
      </c>
    </row>
    <row r="75" spans="1:26" s="24" customFormat="1" hidden="1" outlineLevel="2" x14ac:dyDescent="0.25">
      <c r="A75" s="29"/>
      <c r="B75" s="11" t="str">
        <f>CONCATENATE("          ", "6376", " - ", "TRAINING")</f>
        <v xml:space="preserve">          6376 - TRAINING</v>
      </c>
      <c r="C75" s="11"/>
      <c r="D75" s="8"/>
      <c r="E75" s="3"/>
      <c r="F75" s="7">
        <f t="shared" si="44"/>
        <v>0</v>
      </c>
      <c r="G75" s="3"/>
      <c r="H75" s="8">
        <v>3206.37</v>
      </c>
      <c r="I75" s="3"/>
      <c r="J75" s="7">
        <f t="shared" si="45"/>
        <v>6.2939868190151314E-3</v>
      </c>
      <c r="K75" s="3"/>
      <c r="L75" s="8">
        <f t="shared" si="46"/>
        <v>-3206.37</v>
      </c>
      <c r="M75" s="3"/>
      <c r="N75" s="7">
        <f t="shared" si="47"/>
        <v>-1</v>
      </c>
      <c r="O75" s="11"/>
      <c r="P75" s="8"/>
      <c r="Q75" s="3"/>
      <c r="R75" s="7">
        <f t="shared" si="48"/>
        <v>0</v>
      </c>
      <c r="S75" s="3"/>
      <c r="T75" s="8">
        <v>3206.37</v>
      </c>
      <c r="U75" s="3"/>
      <c r="V75" s="7">
        <f t="shared" si="49"/>
        <v>6.2939868190151314E-3</v>
      </c>
      <c r="W75" s="3"/>
      <c r="X75" s="8">
        <f t="shared" si="50"/>
        <v>-3206.37</v>
      </c>
      <c r="Y75" s="3"/>
      <c r="Z75" s="7">
        <f t="shared" si="51"/>
        <v>-1</v>
      </c>
    </row>
    <row r="76" spans="1:26" s="27" customFormat="1" outlineLevel="1" collapsed="1" x14ac:dyDescent="0.25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SUM(OSRRefD22_15x_0)</f>
        <v>0</v>
      </c>
      <c r="E76" s="1"/>
      <c r="F76" s="5">
        <f t="shared" si="44"/>
        <v>0</v>
      </c>
      <c r="G76" s="1"/>
      <c r="H76" s="1">
        <f>SUM(OSRRefH22_15x_0)</f>
        <v>1568.51</v>
      </c>
      <c r="I76" s="1"/>
      <c r="J76" s="5">
        <f t="shared" si="45"/>
        <v>3.0789276551032555E-3</v>
      </c>
      <c r="K76" s="1"/>
      <c r="L76" s="1">
        <f t="shared" si="46"/>
        <v>-1568.51</v>
      </c>
      <c r="M76" s="1"/>
      <c r="N76" s="5">
        <f t="shared" si="47"/>
        <v>-1</v>
      </c>
      <c r="O76" s="14"/>
      <c r="P76" s="1">
        <f>SUM(OSRRefP22_15x_0)</f>
        <v>0</v>
      </c>
      <c r="Q76" s="1"/>
      <c r="R76" s="5">
        <f t="shared" si="48"/>
        <v>0</v>
      </c>
      <c r="S76" s="1"/>
      <c r="T76" s="1">
        <f>SUM(OSRRefT22_15x_0)</f>
        <v>1568.51</v>
      </c>
      <c r="U76" s="1"/>
      <c r="V76" s="5">
        <f t="shared" si="49"/>
        <v>3.0789276551032555E-3</v>
      </c>
      <c r="W76" s="1"/>
      <c r="X76" s="1">
        <f t="shared" si="50"/>
        <v>-1568.51</v>
      </c>
      <c r="Y76" s="1"/>
      <c r="Z76" s="5">
        <f t="shared" si="51"/>
        <v>-1</v>
      </c>
    </row>
    <row r="77" spans="1:26" s="24" customFormat="1" hidden="1" outlineLevel="2" x14ac:dyDescent="0.25">
      <c r="A77" s="29"/>
      <c r="B77" s="11" t="str">
        <f>CONCATENATE("          ", "6292", " - ", "TRAVEL/CONFERENCE")</f>
        <v xml:space="preserve">          6292 - TRAVEL/CONFERENCE</v>
      </c>
      <c r="C77" s="11"/>
      <c r="D77" s="8"/>
      <c r="E77" s="3"/>
      <c r="F77" s="7">
        <f t="shared" si="44"/>
        <v>0</v>
      </c>
      <c r="G77" s="3"/>
      <c r="H77" s="8">
        <v>1568.51</v>
      </c>
      <c r="I77" s="3"/>
      <c r="J77" s="7">
        <f t="shared" si="45"/>
        <v>3.0789276551032555E-3</v>
      </c>
      <c r="K77" s="3"/>
      <c r="L77" s="8">
        <f t="shared" si="46"/>
        <v>-1568.51</v>
      </c>
      <c r="M77" s="3"/>
      <c r="N77" s="7">
        <f t="shared" si="47"/>
        <v>-1</v>
      </c>
      <c r="O77" s="11"/>
      <c r="P77" s="8"/>
      <c r="Q77" s="3"/>
      <c r="R77" s="7">
        <f t="shared" si="48"/>
        <v>0</v>
      </c>
      <c r="S77" s="3"/>
      <c r="T77" s="8">
        <v>1568.51</v>
      </c>
      <c r="U77" s="3"/>
      <c r="V77" s="7">
        <f t="shared" si="49"/>
        <v>3.0789276551032555E-3</v>
      </c>
      <c r="W77" s="3"/>
      <c r="X77" s="8">
        <f t="shared" si="50"/>
        <v>-1568.51</v>
      </c>
      <c r="Y77" s="3"/>
      <c r="Z77" s="7">
        <f t="shared" si="51"/>
        <v>-1</v>
      </c>
    </row>
    <row r="78" spans="1:26" s="61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x14ac:dyDescent="0.25">
      <c r="A81" s="10"/>
      <c r="B81" s="26" t="s">
        <v>3</v>
      </c>
      <c r="C81" s="26"/>
      <c r="D81" s="19">
        <f>+D21-D23+D79</f>
        <v>-178331.7</v>
      </c>
      <c r="E81" s="13"/>
      <c r="F81" s="20">
        <f>IF(D$12=0,0,D81/D$12)</f>
        <v>-9.2266369066097145</v>
      </c>
      <c r="G81" s="13"/>
      <c r="H81" s="19">
        <f>+H21-H23+H79</f>
        <v>-54593.310000000056</v>
      </c>
      <c r="I81" s="13"/>
      <c r="J81" s="20">
        <f>IF(H$12=0,0,H81/H$12)</f>
        <v>-0.10716466706787031</v>
      </c>
      <c r="K81" s="16"/>
      <c r="L81" s="19">
        <f>+D81-H81</f>
        <v>-123738.38999999996</v>
      </c>
      <c r="M81" s="16"/>
      <c r="N81" s="20">
        <f>IF(H81=0,0,L81/H81)</f>
        <v>2.2665485935914096</v>
      </c>
      <c r="O81" s="25"/>
      <c r="P81" s="19">
        <f>+P21-P23+P79</f>
        <v>-178331.7</v>
      </c>
      <c r="Q81" s="13"/>
      <c r="R81" s="20">
        <f>IF(P$12=0,0,P81/P$12)</f>
        <v>-9.2266369066097145</v>
      </c>
      <c r="S81" s="13"/>
      <c r="T81" s="19">
        <f>+T21-T23+T79</f>
        <v>-54593.310000000056</v>
      </c>
      <c r="U81" s="13"/>
      <c r="V81" s="20">
        <f>IF(T$12=0,0,T81/T$12)</f>
        <v>-0.10716466706787031</v>
      </c>
      <c r="W81" s="16"/>
      <c r="X81" s="19">
        <f>+P81-T81</f>
        <v>-123738.38999999996</v>
      </c>
      <c r="Y81" s="16"/>
      <c r="Z81" s="20">
        <f>IF(T81=0,0,X81/T81)</f>
        <v>2.2665485935914096</v>
      </c>
    </row>
    <row r="82" spans="1:26" x14ac:dyDescent="0.25">
      <c r="A82" s="9"/>
      <c r="B82" s="10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3" customFormat="1" x14ac:dyDescent="0.25">
      <c r="A83" s="51"/>
      <c r="B83" s="10" t="s">
        <v>13</v>
      </c>
      <c r="C83" s="10"/>
      <c r="D83" s="4">
        <v>9295.7000000000007</v>
      </c>
      <c r="E83" s="4"/>
      <c r="F83" s="12">
        <f>IF(D$12=0,0,D83/D$12)</f>
        <v>0.48094673405105159</v>
      </c>
      <c r="G83" s="4"/>
      <c r="H83" s="4">
        <v>105926.31</v>
      </c>
      <c r="I83" s="4"/>
      <c r="J83" s="12">
        <f>IF(H$12=0,0,H83/H$12)</f>
        <v>0.20792946507324817</v>
      </c>
      <c r="K83" s="4"/>
      <c r="L83" s="4">
        <f>+D83-H83</f>
        <v>-96630.61</v>
      </c>
      <c r="M83" s="4"/>
      <c r="N83" s="12">
        <f>IF(H83=0,0,L83/H83)</f>
        <v>-0.9122437098016537</v>
      </c>
      <c r="O83" s="10"/>
      <c r="P83" s="4">
        <v>9295.7000000000007</v>
      </c>
      <c r="Q83" s="4"/>
      <c r="R83" s="12">
        <f>IF(P$12=0,0,P83/P$12)</f>
        <v>0.48094673405105159</v>
      </c>
      <c r="S83" s="4"/>
      <c r="T83" s="4">
        <v>105926.31</v>
      </c>
      <c r="U83" s="4"/>
      <c r="V83" s="12">
        <f>IF(T$12=0,0,T83/T$12)</f>
        <v>0.20792946507324817</v>
      </c>
      <c r="W83" s="4"/>
      <c r="X83" s="4">
        <f>+P83-T83</f>
        <v>-96630.61</v>
      </c>
      <c r="Y83" s="4"/>
      <c r="Z83" s="12">
        <f>IF(T83=0,0,X83/T83)</f>
        <v>-0.9122437098016537</v>
      </c>
    </row>
    <row r="84" spans="1:26" x14ac:dyDescent="0.25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ht="15.75" thickBot="1" x14ac:dyDescent="0.3">
      <c r="A85" s="10"/>
      <c r="B85" s="26" t="s">
        <v>4</v>
      </c>
      <c r="C85" s="26"/>
      <c r="D85" s="35">
        <f>+D81-D83</f>
        <v>-187627.40000000002</v>
      </c>
      <c r="E85" s="13"/>
      <c r="F85" s="30">
        <f>IF(D$12=0,0,D85/D$12)</f>
        <v>-9.7075836406607667</v>
      </c>
      <c r="G85" s="13"/>
      <c r="H85" s="35">
        <f>+H81-H83</f>
        <v>-160519.62000000005</v>
      </c>
      <c r="I85" s="13"/>
      <c r="J85" s="30">
        <f>IF(H$12=0,0,H85/H$12)</f>
        <v>-0.31509413214111848</v>
      </c>
      <c r="K85" s="16"/>
      <c r="L85" s="35">
        <f>D85-H85</f>
        <v>-27107.77999999997</v>
      </c>
      <c r="M85" s="16"/>
      <c r="N85" s="30">
        <f>IF(H85=0,0,L85/H85)</f>
        <v>0.16887518173790819</v>
      </c>
      <c r="O85" s="25"/>
      <c r="P85" s="35">
        <f>+P81-P83</f>
        <v>-187627.40000000002</v>
      </c>
      <c r="Q85" s="13"/>
      <c r="R85" s="30">
        <f>IF(P$12=0,0,P85/P$12)</f>
        <v>-9.7075836406607667</v>
      </c>
      <c r="S85" s="13"/>
      <c r="T85" s="35">
        <f>+T81-T83</f>
        <v>-160519.62000000005</v>
      </c>
      <c r="U85" s="13"/>
      <c r="V85" s="30">
        <f>IF(T$12=0,0,T85/T$12)</f>
        <v>-0.31509413214111848</v>
      </c>
      <c r="W85" s="16"/>
      <c r="X85" s="35">
        <f>P85-T85</f>
        <v>-27107.77999999997</v>
      </c>
      <c r="Y85" s="16"/>
      <c r="Z85" s="30">
        <f>IF(T85=0,0,X85/T85)</f>
        <v>0.16887518173790819</v>
      </c>
    </row>
    <row r="86" spans="1:26" ht="15.75" thickTop="1" x14ac:dyDescent="0.25">
      <c r="A86" s="9"/>
      <c r="B86" s="9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x14ac:dyDescent="0.25">
      <c r="A87" s="9"/>
      <c r="B87" s="9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ht="15.75" thickBot="1" x14ac:dyDescent="0.3">
      <c r="A88" s="10"/>
      <c r="B88" s="26" t="s">
        <v>5</v>
      </c>
      <c r="C88" s="26"/>
      <c r="D88" s="31">
        <f>SUM(D85:D87)</f>
        <v>-187627.40000000002</v>
      </c>
      <c r="E88" s="13"/>
      <c r="F88" s="32">
        <f>IF(D$12=0,0,D88/D$12)</f>
        <v>-9.7075836406607667</v>
      </c>
      <c r="G88" s="13"/>
      <c r="H88" s="31">
        <f>SUM(H85:H87)</f>
        <v>-160519.62000000005</v>
      </c>
      <c r="I88" s="13"/>
      <c r="J88" s="32">
        <f>IF(H$12=0,0,H88/H$12)</f>
        <v>-0.31509413214111848</v>
      </c>
      <c r="K88" s="16"/>
      <c r="L88" s="31">
        <f>+D88-H88</f>
        <v>-27107.77999999997</v>
      </c>
      <c r="M88" s="16"/>
      <c r="N88" s="32">
        <f>IF(H88=0,0,L88/H88)</f>
        <v>0.16887518173790819</v>
      </c>
      <c r="O88" s="25"/>
      <c r="P88" s="31">
        <f>SUM(P85:P87)</f>
        <v>-187627.40000000002</v>
      </c>
      <c r="Q88" s="13"/>
      <c r="R88" s="32">
        <f>IF(P$12=0,0,P88/P$12)</f>
        <v>-9.7075836406607667</v>
      </c>
      <c r="S88" s="13"/>
      <c r="T88" s="31">
        <f>SUM(T85:T87)</f>
        <v>-160519.62000000005</v>
      </c>
      <c r="U88" s="13"/>
      <c r="V88" s="32">
        <f>IF(T$12=0,0,T88/T$12)</f>
        <v>-0.31509413214111848</v>
      </c>
      <c r="W88" s="16"/>
      <c r="X88" s="31">
        <f>+P88-T88</f>
        <v>-27107.77999999997</v>
      </c>
      <c r="Y88" s="16"/>
      <c r="Z88" s="32">
        <f>IF(T88=0,0,X88/T88)</f>
        <v>0.16887518173790819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9">
        <v>44109.413842708331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2" t="s">
        <v>313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21521.99</v>
      </c>
      <c r="E18" s="21"/>
      <c r="F18" s="34">
        <f t="shared" ref="F18:F27" si="0">IF(D$12=0,0,D18/D$12)</f>
        <v>0</v>
      </c>
      <c r="G18" s="21"/>
      <c r="H18" s="21">
        <f>SUM(OSRRefH22x_0)</f>
        <v>14917.259999999998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6604.7300000000032</v>
      </c>
      <c r="M18" s="4"/>
      <c r="N18" s="34">
        <f t="shared" ref="N18:N27" si="3">IF(H18=0,0,L18/H18)</f>
        <v>0.44275758416760208</v>
      </c>
      <c r="O18" s="10"/>
      <c r="P18" s="21">
        <f>SUM(OSRRefP22x_0)</f>
        <v>21521.99</v>
      </c>
      <c r="Q18" s="21"/>
      <c r="R18" s="34">
        <f t="shared" ref="R18:R27" si="4">IF(P$12=0,0,P18/P$12)</f>
        <v>0</v>
      </c>
      <c r="S18" s="21"/>
      <c r="T18" s="21">
        <f>SUM(OSRRefT22x_0)</f>
        <v>14917.259999999998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6604.7300000000032</v>
      </c>
      <c r="Y18" s="4"/>
      <c r="Z18" s="34">
        <f t="shared" ref="Z18:Z27" si="7">IF(T18=0,0,X18/T18)</f>
        <v>0.44275758416760208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5333.25</v>
      </c>
      <c r="E19" s="1"/>
      <c r="F19" s="5">
        <f t="shared" si="0"/>
        <v>0</v>
      </c>
      <c r="G19" s="1"/>
      <c r="H19" s="1">
        <f>SUM(OSRRefH22_0x_0)</f>
        <v>6062.2200000000012</v>
      </c>
      <c r="I19" s="1"/>
      <c r="J19" s="5">
        <f t="shared" si="1"/>
        <v>0</v>
      </c>
      <c r="K19" s="1"/>
      <c r="L19" s="1">
        <f t="shared" si="2"/>
        <v>-728.97000000000116</v>
      </c>
      <c r="M19" s="1"/>
      <c r="N19" s="5">
        <f t="shared" si="3"/>
        <v>-0.12024802795015704</v>
      </c>
      <c r="O19" s="14"/>
      <c r="P19" s="1">
        <f>SUM(OSRRefP22_0x_0)</f>
        <v>5333.25</v>
      </c>
      <c r="Q19" s="1"/>
      <c r="R19" s="5">
        <f t="shared" si="4"/>
        <v>0</v>
      </c>
      <c r="S19" s="1"/>
      <c r="T19" s="1">
        <f>SUM(OSRRefT22_0x_0)</f>
        <v>6062.2200000000012</v>
      </c>
      <c r="U19" s="1"/>
      <c r="V19" s="5">
        <f t="shared" si="5"/>
        <v>0</v>
      </c>
      <c r="W19" s="1"/>
      <c r="X19" s="1">
        <f t="shared" si="6"/>
        <v>-728.97000000000116</v>
      </c>
      <c r="Y19" s="1"/>
      <c r="Z19" s="5">
        <f t="shared" si="7"/>
        <v>-0.12024802795015704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8">
        <v>685.42</v>
      </c>
      <c r="E20" s="3"/>
      <c r="F20" s="7">
        <f t="shared" si="0"/>
        <v>0</v>
      </c>
      <c r="G20" s="3"/>
      <c r="H20" s="8">
        <v>623.1</v>
      </c>
      <c r="I20" s="3"/>
      <c r="J20" s="7">
        <f t="shared" si="1"/>
        <v>0</v>
      </c>
      <c r="K20" s="3"/>
      <c r="L20" s="8">
        <f t="shared" si="2"/>
        <v>62.319999999999936</v>
      </c>
      <c r="M20" s="3"/>
      <c r="N20" s="7">
        <f t="shared" si="3"/>
        <v>0.10001604878831638</v>
      </c>
      <c r="O20" s="11"/>
      <c r="P20" s="8">
        <v>685.42</v>
      </c>
      <c r="Q20" s="3"/>
      <c r="R20" s="7">
        <f t="shared" si="4"/>
        <v>0</v>
      </c>
      <c r="S20" s="3"/>
      <c r="T20" s="8">
        <v>623.1</v>
      </c>
      <c r="U20" s="3"/>
      <c r="V20" s="7">
        <f t="shared" si="5"/>
        <v>0</v>
      </c>
      <c r="W20" s="3"/>
      <c r="X20" s="8">
        <f t="shared" si="6"/>
        <v>62.319999999999936</v>
      </c>
      <c r="Y20" s="3"/>
      <c r="Z20" s="7">
        <f t="shared" si="7"/>
        <v>0.10001604878831638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384.36</v>
      </c>
      <c r="E21" s="3"/>
      <c r="F21" s="7">
        <f t="shared" si="0"/>
        <v>0</v>
      </c>
      <c r="G21" s="3"/>
      <c r="H21" s="8">
        <v>316.02999999999997</v>
      </c>
      <c r="I21" s="3"/>
      <c r="J21" s="7">
        <f t="shared" si="1"/>
        <v>0</v>
      </c>
      <c r="K21" s="3"/>
      <c r="L21" s="8">
        <f t="shared" si="2"/>
        <v>68.330000000000041</v>
      </c>
      <c r="M21" s="3"/>
      <c r="N21" s="7">
        <f t="shared" si="3"/>
        <v>0.21621365060279102</v>
      </c>
      <c r="O21" s="11"/>
      <c r="P21" s="8">
        <v>384.36</v>
      </c>
      <c r="Q21" s="3"/>
      <c r="R21" s="7">
        <f t="shared" si="4"/>
        <v>0</v>
      </c>
      <c r="S21" s="3"/>
      <c r="T21" s="8">
        <v>316.02999999999997</v>
      </c>
      <c r="U21" s="3"/>
      <c r="V21" s="7">
        <f t="shared" si="5"/>
        <v>0</v>
      </c>
      <c r="W21" s="3"/>
      <c r="X21" s="8">
        <f t="shared" si="6"/>
        <v>68.330000000000041</v>
      </c>
      <c r="Y21" s="3"/>
      <c r="Z21" s="7">
        <f t="shared" si="7"/>
        <v>0.21621365060279102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8">
        <v>2737.9</v>
      </c>
      <c r="E22" s="3"/>
      <c r="F22" s="7">
        <f t="shared" si="0"/>
        <v>0</v>
      </c>
      <c r="G22" s="3"/>
      <c r="H22" s="8">
        <v>2730.6</v>
      </c>
      <c r="I22" s="3"/>
      <c r="J22" s="7">
        <f t="shared" si="1"/>
        <v>0</v>
      </c>
      <c r="K22" s="3"/>
      <c r="L22" s="8">
        <f t="shared" si="2"/>
        <v>7.3000000000001819</v>
      </c>
      <c r="M22" s="3"/>
      <c r="N22" s="7">
        <f t="shared" si="3"/>
        <v>2.6734051124295694E-3</v>
      </c>
      <c r="O22" s="11"/>
      <c r="P22" s="8">
        <v>2737.9</v>
      </c>
      <c r="Q22" s="3"/>
      <c r="R22" s="7">
        <f t="shared" si="4"/>
        <v>0</v>
      </c>
      <c r="S22" s="3"/>
      <c r="T22" s="8">
        <v>2730.6</v>
      </c>
      <c r="U22" s="3"/>
      <c r="V22" s="7">
        <f t="shared" si="5"/>
        <v>0</v>
      </c>
      <c r="W22" s="3"/>
      <c r="X22" s="8">
        <f t="shared" si="6"/>
        <v>7.3000000000001819</v>
      </c>
      <c r="Y22" s="3"/>
      <c r="Z22" s="7">
        <f t="shared" si="7"/>
        <v>2.6734051124295694E-3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23.29</v>
      </c>
      <c r="E23" s="3"/>
      <c r="F23" s="7">
        <f t="shared" si="0"/>
        <v>0</v>
      </c>
      <c r="G23" s="3"/>
      <c r="H23" s="8">
        <v>21.18</v>
      </c>
      <c r="I23" s="3"/>
      <c r="J23" s="7">
        <f t="shared" si="1"/>
        <v>0</v>
      </c>
      <c r="K23" s="3"/>
      <c r="L23" s="8">
        <f t="shared" si="2"/>
        <v>2.1099999999999994</v>
      </c>
      <c r="M23" s="3"/>
      <c r="N23" s="7">
        <f t="shared" si="3"/>
        <v>9.9622285174693084E-2</v>
      </c>
      <c r="O23" s="11"/>
      <c r="P23" s="8">
        <v>23.29</v>
      </c>
      <c r="Q23" s="3"/>
      <c r="R23" s="7">
        <f t="shared" si="4"/>
        <v>0</v>
      </c>
      <c r="S23" s="3"/>
      <c r="T23" s="8">
        <v>21.18</v>
      </c>
      <c r="U23" s="3"/>
      <c r="V23" s="7">
        <f t="shared" si="5"/>
        <v>0</v>
      </c>
      <c r="W23" s="3"/>
      <c r="X23" s="8">
        <f t="shared" si="6"/>
        <v>2.1099999999999994</v>
      </c>
      <c r="Y23" s="3"/>
      <c r="Z23" s="7">
        <f t="shared" si="7"/>
        <v>9.9622285174693084E-2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8">
        <v>1038.8599999999999</v>
      </c>
      <c r="E24" s="3"/>
      <c r="F24" s="7">
        <f t="shared" si="0"/>
        <v>0</v>
      </c>
      <c r="G24" s="3"/>
      <c r="H24" s="8">
        <v>568.92999999999995</v>
      </c>
      <c r="I24" s="3"/>
      <c r="J24" s="7">
        <f t="shared" si="1"/>
        <v>0</v>
      </c>
      <c r="K24" s="3"/>
      <c r="L24" s="8">
        <f t="shared" si="2"/>
        <v>469.92999999999995</v>
      </c>
      <c r="M24" s="3"/>
      <c r="N24" s="7">
        <f t="shared" si="3"/>
        <v>0.82598913750373504</v>
      </c>
      <c r="O24" s="11"/>
      <c r="P24" s="8">
        <v>1038.8599999999999</v>
      </c>
      <c r="Q24" s="3"/>
      <c r="R24" s="7">
        <f t="shared" si="4"/>
        <v>0</v>
      </c>
      <c r="S24" s="3"/>
      <c r="T24" s="8">
        <v>568.92999999999995</v>
      </c>
      <c r="U24" s="3"/>
      <c r="V24" s="7">
        <f t="shared" si="5"/>
        <v>0</v>
      </c>
      <c r="W24" s="3"/>
      <c r="X24" s="8">
        <f t="shared" si="6"/>
        <v>469.92999999999995</v>
      </c>
      <c r="Y24" s="3"/>
      <c r="Z24" s="7">
        <f t="shared" si="7"/>
        <v>0.82598913750373504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8">
        <v>34.159999999999997</v>
      </c>
      <c r="E25" s="3"/>
      <c r="F25" s="7">
        <f t="shared" si="0"/>
        <v>0</v>
      </c>
      <c r="G25" s="3"/>
      <c r="H25" s="8">
        <v>1092.8499999999999</v>
      </c>
      <c r="I25" s="3"/>
      <c r="J25" s="7">
        <f t="shared" si="1"/>
        <v>0</v>
      </c>
      <c r="K25" s="3"/>
      <c r="L25" s="8">
        <f t="shared" si="2"/>
        <v>-1058.6899999999998</v>
      </c>
      <c r="M25" s="3"/>
      <c r="N25" s="7">
        <f t="shared" si="3"/>
        <v>-0.96874227936130297</v>
      </c>
      <c r="O25" s="11"/>
      <c r="P25" s="8">
        <v>34.159999999999997</v>
      </c>
      <c r="Q25" s="3"/>
      <c r="R25" s="7">
        <f t="shared" si="4"/>
        <v>0</v>
      </c>
      <c r="S25" s="3"/>
      <c r="T25" s="8">
        <v>1092.8499999999999</v>
      </c>
      <c r="U25" s="3"/>
      <c r="V25" s="7">
        <f t="shared" si="5"/>
        <v>0</v>
      </c>
      <c r="W25" s="3"/>
      <c r="X25" s="8">
        <f t="shared" si="6"/>
        <v>-1058.6899999999998</v>
      </c>
      <c r="Y25" s="3"/>
      <c r="Z25" s="7">
        <f t="shared" si="7"/>
        <v>-0.96874227936130297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8">
        <v>413.26</v>
      </c>
      <c r="E26" s="3"/>
      <c r="F26" s="7">
        <f t="shared" si="0"/>
        <v>0</v>
      </c>
      <c r="G26" s="3"/>
      <c r="H26" s="8">
        <v>606.17999999999995</v>
      </c>
      <c r="I26" s="3"/>
      <c r="J26" s="7">
        <f t="shared" si="1"/>
        <v>0</v>
      </c>
      <c r="K26" s="3"/>
      <c r="L26" s="8">
        <f t="shared" si="2"/>
        <v>-192.91999999999996</v>
      </c>
      <c r="M26" s="3"/>
      <c r="N26" s="7">
        <f t="shared" si="3"/>
        <v>-0.31825530370517002</v>
      </c>
      <c r="O26" s="11"/>
      <c r="P26" s="8">
        <v>413.26</v>
      </c>
      <c r="Q26" s="3"/>
      <c r="R26" s="7">
        <f t="shared" si="4"/>
        <v>0</v>
      </c>
      <c r="S26" s="3"/>
      <c r="T26" s="8">
        <v>606.17999999999995</v>
      </c>
      <c r="U26" s="3"/>
      <c r="V26" s="7">
        <f t="shared" si="5"/>
        <v>0</v>
      </c>
      <c r="W26" s="3"/>
      <c r="X26" s="8">
        <f t="shared" si="6"/>
        <v>-192.91999999999996</v>
      </c>
      <c r="Y26" s="3"/>
      <c r="Z26" s="7">
        <f t="shared" si="7"/>
        <v>-0.31825530370517002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8">
        <v>16</v>
      </c>
      <c r="E27" s="3"/>
      <c r="F27" s="7">
        <f t="shared" si="0"/>
        <v>0</v>
      </c>
      <c r="G27" s="3"/>
      <c r="H27" s="8">
        <v>103.35</v>
      </c>
      <c r="I27" s="3"/>
      <c r="J27" s="7">
        <f t="shared" si="1"/>
        <v>0</v>
      </c>
      <c r="K27" s="3"/>
      <c r="L27" s="8">
        <f t="shared" si="2"/>
        <v>-87.35</v>
      </c>
      <c r="M27" s="3"/>
      <c r="N27" s="7">
        <f t="shared" si="3"/>
        <v>-0.84518626028059984</v>
      </c>
      <c r="O27" s="11"/>
      <c r="P27" s="8">
        <v>16</v>
      </c>
      <c r="Q27" s="3"/>
      <c r="R27" s="7">
        <f t="shared" si="4"/>
        <v>0</v>
      </c>
      <c r="S27" s="3"/>
      <c r="T27" s="8">
        <v>103.35</v>
      </c>
      <c r="U27" s="3"/>
      <c r="V27" s="7">
        <f t="shared" si="5"/>
        <v>0</v>
      </c>
      <c r="W27" s="3"/>
      <c r="X27" s="8">
        <f t="shared" si="6"/>
        <v>-87.35</v>
      </c>
      <c r="Y27" s="3"/>
      <c r="Z27" s="7">
        <f t="shared" si="7"/>
        <v>-0.84518626028059984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11199.54</v>
      </c>
      <c r="E28" s="1"/>
      <c r="F28" s="5">
        <f t="shared" ref="F28:F34" si="8">IF(D$12=0,0,D28/D$12)</f>
        <v>0</v>
      </c>
      <c r="G28" s="1"/>
      <c r="H28" s="1">
        <f>SUM(OSRRefH22_1x_0)</f>
        <v>7737.53</v>
      </c>
      <c r="I28" s="1"/>
      <c r="J28" s="5">
        <f t="shared" ref="J28:J34" si="9">IF(H$12=0,0,H28/H$12)</f>
        <v>0</v>
      </c>
      <c r="K28" s="1"/>
      <c r="L28" s="1">
        <f t="shared" ref="L28:L34" si="10">+D28-H28</f>
        <v>3462.0100000000011</v>
      </c>
      <c r="M28" s="1"/>
      <c r="N28" s="5">
        <f t="shared" ref="N28:N34" si="11">IF(H28=0,0,L28/H28)</f>
        <v>0.44743089849086221</v>
      </c>
      <c r="O28" s="14"/>
      <c r="P28" s="1">
        <f>SUM(OSRRefP22_1x_0)</f>
        <v>11199.54</v>
      </c>
      <c r="Q28" s="1"/>
      <c r="R28" s="5">
        <f t="shared" ref="R28:R34" si="12">IF(P$12=0,0,P28/P$12)</f>
        <v>0</v>
      </c>
      <c r="S28" s="1"/>
      <c r="T28" s="1">
        <f>SUM(OSRRefT22_1x_0)</f>
        <v>7737.53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3462.0100000000011</v>
      </c>
      <c r="Y28" s="1"/>
      <c r="Z28" s="5">
        <f t="shared" ref="Z28:Z34" si="15">IF(T28=0,0,X28/T28)</f>
        <v>0.44743089849086221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8">
        <v>11199.54</v>
      </c>
      <c r="E29" s="3"/>
      <c r="F29" s="7">
        <f t="shared" si="8"/>
        <v>0</v>
      </c>
      <c r="G29" s="3"/>
      <c r="H29" s="8">
        <v>7737.53</v>
      </c>
      <c r="I29" s="3"/>
      <c r="J29" s="7">
        <f t="shared" si="9"/>
        <v>0</v>
      </c>
      <c r="K29" s="3"/>
      <c r="L29" s="8">
        <f t="shared" si="10"/>
        <v>3462.0100000000011</v>
      </c>
      <c r="M29" s="3"/>
      <c r="N29" s="7">
        <f t="shared" si="11"/>
        <v>0.44743089849086221</v>
      </c>
      <c r="O29" s="11"/>
      <c r="P29" s="8">
        <v>11199.54</v>
      </c>
      <c r="Q29" s="3"/>
      <c r="R29" s="7">
        <f t="shared" si="12"/>
        <v>0</v>
      </c>
      <c r="S29" s="3"/>
      <c r="T29" s="8">
        <v>7737.53</v>
      </c>
      <c r="U29" s="3"/>
      <c r="V29" s="7">
        <f t="shared" si="13"/>
        <v>0</v>
      </c>
      <c r="W29" s="3"/>
      <c r="X29" s="8">
        <f t="shared" si="14"/>
        <v>3462.0100000000011</v>
      </c>
      <c r="Y29" s="3"/>
      <c r="Z29" s="7">
        <f t="shared" si="15"/>
        <v>0.44743089849086221</v>
      </c>
    </row>
    <row r="30" spans="1:26" s="27" customFormat="1" outlineLevel="1" collapsed="1" x14ac:dyDescent="0.25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127.55</v>
      </c>
      <c r="I30" s="1"/>
      <c r="J30" s="5">
        <f t="shared" si="9"/>
        <v>0</v>
      </c>
      <c r="K30" s="1"/>
      <c r="L30" s="1">
        <f t="shared" si="10"/>
        <v>-127.55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127.55</v>
      </c>
      <c r="U30" s="1"/>
      <c r="V30" s="5">
        <f t="shared" si="13"/>
        <v>0</v>
      </c>
      <c r="W30" s="1"/>
      <c r="X30" s="1">
        <f t="shared" si="14"/>
        <v>-127.55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8"/>
      <c r="E31" s="3"/>
      <c r="F31" s="7">
        <f t="shared" si="8"/>
        <v>0</v>
      </c>
      <c r="G31" s="3"/>
      <c r="H31" s="8">
        <v>127.55</v>
      </c>
      <c r="I31" s="3"/>
      <c r="J31" s="7">
        <f t="shared" si="9"/>
        <v>0</v>
      </c>
      <c r="K31" s="3"/>
      <c r="L31" s="8">
        <f t="shared" si="10"/>
        <v>-127.55</v>
      </c>
      <c r="M31" s="3"/>
      <c r="N31" s="7">
        <f t="shared" si="11"/>
        <v>-1</v>
      </c>
      <c r="O31" s="11"/>
      <c r="P31" s="8"/>
      <c r="Q31" s="3"/>
      <c r="R31" s="7">
        <f t="shared" si="12"/>
        <v>0</v>
      </c>
      <c r="S31" s="3"/>
      <c r="T31" s="8">
        <v>127.55</v>
      </c>
      <c r="U31" s="3"/>
      <c r="V31" s="7">
        <f t="shared" si="13"/>
        <v>0</v>
      </c>
      <c r="W31" s="3"/>
      <c r="X31" s="8">
        <f t="shared" si="14"/>
        <v>-127.55</v>
      </c>
      <c r="Y31" s="3"/>
      <c r="Z31" s="7">
        <f t="shared" si="15"/>
        <v>-1</v>
      </c>
    </row>
    <row r="32" spans="1:26" s="27" customFormat="1" outlineLevel="1" collapsed="1" x14ac:dyDescent="0.25">
      <c r="A32" s="28"/>
      <c r="B32" s="14" t="str">
        <f>CONCATENATE("     ","Supplies                                          ")</f>
        <v xml:space="preserve">     Supplies                                          </v>
      </c>
      <c r="C32" s="14"/>
      <c r="D32" s="1">
        <f>SUM(OSRRefD22_3x_0)</f>
        <v>4939.2</v>
      </c>
      <c r="E32" s="1"/>
      <c r="F32" s="5">
        <f t="shared" si="8"/>
        <v>0</v>
      </c>
      <c r="G32" s="1"/>
      <c r="H32" s="1">
        <f>SUM(OSRRefH22_3x_0)</f>
        <v>618.84</v>
      </c>
      <c r="I32" s="1"/>
      <c r="J32" s="5">
        <f t="shared" si="9"/>
        <v>0</v>
      </c>
      <c r="K32" s="1"/>
      <c r="L32" s="1">
        <f t="shared" si="10"/>
        <v>4320.3599999999997</v>
      </c>
      <c r="M32" s="1"/>
      <c r="N32" s="5">
        <f t="shared" si="11"/>
        <v>6.981384525887143</v>
      </c>
      <c r="O32" s="14"/>
      <c r="P32" s="1">
        <f>SUM(OSRRefP22_3x_0)</f>
        <v>4939.2</v>
      </c>
      <c r="Q32" s="1"/>
      <c r="R32" s="5">
        <f t="shared" si="12"/>
        <v>0</v>
      </c>
      <c r="S32" s="1"/>
      <c r="T32" s="1">
        <f>SUM(OSRRefT22_3x_0)</f>
        <v>618.84</v>
      </c>
      <c r="U32" s="1"/>
      <c r="V32" s="5">
        <f t="shared" si="13"/>
        <v>0</v>
      </c>
      <c r="W32" s="1"/>
      <c r="X32" s="1">
        <f t="shared" si="14"/>
        <v>4320.3599999999997</v>
      </c>
      <c r="Y32" s="1"/>
      <c r="Z32" s="5">
        <f t="shared" si="15"/>
        <v>6.981384525887143</v>
      </c>
    </row>
    <row r="33" spans="1:26" s="24" customFormat="1" hidden="1" outlineLevel="2" x14ac:dyDescent="0.25">
      <c r="A33" s="29"/>
      <c r="B33" s="11" t="str">
        <f>CONCATENATE("          ", "6235", " - ", "COVID-19 EXPENSES")</f>
        <v xml:space="preserve">          6235 - COVID-19 EXPENSES</v>
      </c>
      <c r="C33" s="11"/>
      <c r="D33" s="8">
        <v>4939.2</v>
      </c>
      <c r="E33" s="3"/>
      <c r="F33" s="7">
        <f t="shared" si="8"/>
        <v>0</v>
      </c>
      <c r="G33" s="3"/>
      <c r="H33" s="8"/>
      <c r="I33" s="3"/>
      <c r="J33" s="7">
        <f t="shared" si="9"/>
        <v>0</v>
      </c>
      <c r="K33" s="3"/>
      <c r="L33" s="8">
        <f t="shared" si="10"/>
        <v>4939.2</v>
      </c>
      <c r="M33" s="3"/>
      <c r="N33" s="7">
        <f t="shared" si="11"/>
        <v>0</v>
      </c>
      <c r="O33" s="11"/>
      <c r="P33" s="8">
        <v>4939.2</v>
      </c>
      <c r="Q33" s="3"/>
      <c r="R33" s="7">
        <f t="shared" si="12"/>
        <v>0</v>
      </c>
      <c r="S33" s="3"/>
      <c r="T33" s="8"/>
      <c r="U33" s="3"/>
      <c r="V33" s="7">
        <f t="shared" si="13"/>
        <v>0</v>
      </c>
      <c r="W33" s="3"/>
      <c r="X33" s="8">
        <f t="shared" si="14"/>
        <v>4939.2</v>
      </c>
      <c r="Y33" s="3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"6241", " - ", "OFFICE EXPENSE")</f>
        <v xml:space="preserve">          6241 - OFFICE EXPENSE</v>
      </c>
      <c r="C34" s="11"/>
      <c r="D34" s="8"/>
      <c r="E34" s="3"/>
      <c r="F34" s="7">
        <f t="shared" si="8"/>
        <v>0</v>
      </c>
      <c r="G34" s="3"/>
      <c r="H34" s="8">
        <v>618.84</v>
      </c>
      <c r="I34" s="3"/>
      <c r="J34" s="7">
        <f t="shared" si="9"/>
        <v>0</v>
      </c>
      <c r="K34" s="3"/>
      <c r="L34" s="8">
        <f t="shared" si="10"/>
        <v>-618.84</v>
      </c>
      <c r="M34" s="3"/>
      <c r="N34" s="7">
        <f t="shared" si="11"/>
        <v>-1</v>
      </c>
      <c r="O34" s="11"/>
      <c r="P34" s="8"/>
      <c r="Q34" s="3"/>
      <c r="R34" s="7">
        <f t="shared" si="12"/>
        <v>0</v>
      </c>
      <c r="S34" s="3"/>
      <c r="T34" s="8">
        <v>618.84</v>
      </c>
      <c r="U34" s="3"/>
      <c r="V34" s="7">
        <f t="shared" si="13"/>
        <v>0</v>
      </c>
      <c r="W34" s="3"/>
      <c r="X34" s="8">
        <f t="shared" si="14"/>
        <v>-618.84</v>
      </c>
      <c r="Y34" s="3"/>
      <c r="Z34" s="7">
        <f t="shared" si="15"/>
        <v>-1</v>
      </c>
    </row>
    <row r="35" spans="1:26" s="27" customFormat="1" outlineLevel="1" collapsed="1" x14ac:dyDescent="0.25">
      <c r="A35" s="28"/>
      <c r="B35" s="14" t="str">
        <f>CONCATENATE("     ","Telephone/Data Lines                              ")</f>
        <v xml:space="preserve">     Telephone/Data Lines                              </v>
      </c>
      <c r="C35" s="14"/>
      <c r="D35" s="1">
        <f>SUM(OSRRefD22_4x_0)</f>
        <v>50</v>
      </c>
      <c r="E35" s="1"/>
      <c r="F35" s="5">
        <f t="shared" ref="F35:F38" si="16">IF(D$12=0,0,D35/D$12)</f>
        <v>0</v>
      </c>
      <c r="G35" s="1"/>
      <c r="H35" s="1">
        <f>SUM(OSRRefH22_4x_0)</f>
        <v>-950</v>
      </c>
      <c r="I35" s="1"/>
      <c r="J35" s="5">
        <f t="shared" ref="J35:J38" si="17">IF(H$12=0,0,H35/H$12)</f>
        <v>0</v>
      </c>
      <c r="K35" s="1"/>
      <c r="L35" s="1">
        <f t="shared" ref="L35:L38" si="18">+D35-H35</f>
        <v>1000</v>
      </c>
      <c r="M35" s="1"/>
      <c r="N35" s="5">
        <f t="shared" ref="N35:N38" si="19">IF(H35=0,0,L35/H35)</f>
        <v>-1.0526315789473684</v>
      </c>
      <c r="O35" s="14"/>
      <c r="P35" s="1">
        <f>SUM(OSRRefP22_4x_0)</f>
        <v>50</v>
      </c>
      <c r="Q35" s="1"/>
      <c r="R35" s="5">
        <f t="shared" ref="R35:R38" si="20">IF(P$12=0,0,P35/P$12)</f>
        <v>0</v>
      </c>
      <c r="S35" s="1"/>
      <c r="T35" s="1">
        <f>SUM(OSRRefT22_4x_0)</f>
        <v>-950</v>
      </c>
      <c r="U35" s="1"/>
      <c r="V35" s="5">
        <f t="shared" ref="V35:V38" si="21">IF(T$12=0,0,T35/T$12)</f>
        <v>0</v>
      </c>
      <c r="W35" s="1"/>
      <c r="X35" s="1">
        <f t="shared" ref="X35:X38" si="22">+P35-T35</f>
        <v>1000</v>
      </c>
      <c r="Y35" s="1"/>
      <c r="Z35" s="5">
        <f t="shared" ref="Z35:Z38" si="23">IF(T35=0,0,X35/T35)</f>
        <v>-1.0526315789473684</v>
      </c>
    </row>
    <row r="36" spans="1:26" s="24" customFormat="1" hidden="1" outlineLevel="2" x14ac:dyDescent="0.25">
      <c r="A36" s="29"/>
      <c r="B36" s="11" t="str">
        <f>CONCATENATE("          ", "6309", " - ", "TELEPHONE")</f>
        <v xml:space="preserve">          6309 - TELEPHONE</v>
      </c>
      <c r="C36" s="11"/>
      <c r="D36" s="8">
        <v>50</v>
      </c>
      <c r="E36" s="3"/>
      <c r="F36" s="7">
        <f t="shared" si="16"/>
        <v>0</v>
      </c>
      <c r="G36" s="3"/>
      <c r="H36" s="8">
        <v>-950</v>
      </c>
      <c r="I36" s="3"/>
      <c r="J36" s="7">
        <f t="shared" si="17"/>
        <v>0</v>
      </c>
      <c r="K36" s="3"/>
      <c r="L36" s="8">
        <f t="shared" si="18"/>
        <v>1000</v>
      </c>
      <c r="M36" s="3"/>
      <c r="N36" s="7">
        <f t="shared" si="19"/>
        <v>-1.0526315789473684</v>
      </c>
      <c r="O36" s="11"/>
      <c r="P36" s="8">
        <v>50</v>
      </c>
      <c r="Q36" s="3"/>
      <c r="R36" s="7">
        <f t="shared" si="20"/>
        <v>0</v>
      </c>
      <c r="S36" s="3"/>
      <c r="T36" s="8">
        <v>-950</v>
      </c>
      <c r="U36" s="3"/>
      <c r="V36" s="7">
        <f t="shared" si="21"/>
        <v>0</v>
      </c>
      <c r="W36" s="3"/>
      <c r="X36" s="8">
        <f t="shared" si="22"/>
        <v>1000</v>
      </c>
      <c r="Y36" s="3"/>
      <c r="Z36" s="7">
        <f t="shared" si="23"/>
        <v>-1.0526315789473684</v>
      </c>
    </row>
    <row r="37" spans="1:26" s="27" customFormat="1" outlineLevel="1" collapsed="1" x14ac:dyDescent="0.25">
      <c r="A37" s="28"/>
      <c r="B37" s="14" t="str">
        <f>CONCATENATE("     ","Training                                          ")</f>
        <v xml:space="preserve">     Training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1321.12</v>
      </c>
      <c r="I37" s="1"/>
      <c r="J37" s="5">
        <f t="shared" si="17"/>
        <v>0</v>
      </c>
      <c r="K37" s="1"/>
      <c r="L37" s="1">
        <f t="shared" si="18"/>
        <v>-1321.12</v>
      </c>
      <c r="M37" s="1"/>
      <c r="N37" s="5">
        <f t="shared" si="19"/>
        <v>-1</v>
      </c>
      <c r="O37" s="14"/>
      <c r="P37" s="1">
        <f>SUM(OSRRefP22_5x_0)</f>
        <v>0</v>
      </c>
      <c r="Q37" s="1"/>
      <c r="R37" s="5">
        <f t="shared" si="20"/>
        <v>0</v>
      </c>
      <c r="S37" s="1"/>
      <c r="T37" s="1">
        <f>SUM(OSRRefT22_5x_0)</f>
        <v>1321.12</v>
      </c>
      <c r="U37" s="1"/>
      <c r="V37" s="5">
        <f t="shared" si="21"/>
        <v>0</v>
      </c>
      <c r="W37" s="1"/>
      <c r="X37" s="1">
        <f t="shared" si="22"/>
        <v>-1321.12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"6376", " - ", "TRAINING")</f>
        <v xml:space="preserve">          6376 - TRAINING</v>
      </c>
      <c r="C38" s="11"/>
      <c r="D38" s="8"/>
      <c r="E38" s="3"/>
      <c r="F38" s="7">
        <f t="shared" si="16"/>
        <v>0</v>
      </c>
      <c r="G38" s="3"/>
      <c r="H38" s="8">
        <v>1321.12</v>
      </c>
      <c r="I38" s="3"/>
      <c r="J38" s="7">
        <f t="shared" si="17"/>
        <v>0</v>
      </c>
      <c r="K38" s="3"/>
      <c r="L38" s="8">
        <f t="shared" si="18"/>
        <v>-1321.12</v>
      </c>
      <c r="M38" s="3"/>
      <c r="N38" s="7">
        <f t="shared" si="19"/>
        <v>-1</v>
      </c>
      <c r="O38" s="11"/>
      <c r="P38" s="8"/>
      <c r="Q38" s="3"/>
      <c r="R38" s="7">
        <f t="shared" si="20"/>
        <v>0</v>
      </c>
      <c r="S38" s="3"/>
      <c r="T38" s="8">
        <v>1321.12</v>
      </c>
      <c r="U38" s="3"/>
      <c r="V38" s="7">
        <f t="shared" si="21"/>
        <v>0</v>
      </c>
      <c r="W38" s="3"/>
      <c r="X38" s="8">
        <f t="shared" si="22"/>
        <v>-1321.12</v>
      </c>
      <c r="Y38" s="3"/>
      <c r="Z38" s="7">
        <f t="shared" si="23"/>
        <v>-1</v>
      </c>
    </row>
    <row r="39" spans="1:26" s="61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5" t="s">
        <v>0</v>
      </c>
      <c r="C40" s="10"/>
      <c r="D40" s="4">
        <f>SUM(0)</f>
        <v>0</v>
      </c>
      <c r="E40" s="4"/>
      <c r="F40" s="12">
        <f>IF(D$12=0,0,D40/D$12)</f>
        <v>0</v>
      </c>
      <c r="G40" s="4"/>
      <c r="H40" s="4">
        <f>SUM(0)</f>
        <v>0</v>
      </c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>
        <f>SUM(0)</f>
        <v>0</v>
      </c>
      <c r="Q40" s="4"/>
      <c r="R40" s="12">
        <f>IF(P$12=0,0,P40/P$12)</f>
        <v>0</v>
      </c>
      <c r="S40" s="4"/>
      <c r="T40" s="4">
        <f>SUM(0)</f>
        <v>0</v>
      </c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25">
      <c r="A41" s="9"/>
      <c r="B41" s="10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10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25">
      <c r="A42" s="10"/>
      <c r="B42" s="26" t="s">
        <v>3</v>
      </c>
      <c r="C42" s="26"/>
      <c r="D42" s="19">
        <f>+D16-D18+D40</f>
        <v>-21521.99</v>
      </c>
      <c r="E42" s="13"/>
      <c r="F42" s="20">
        <f>IF(D$12=0,0,D42/D$12)</f>
        <v>0</v>
      </c>
      <c r="G42" s="13"/>
      <c r="H42" s="19">
        <f>+H16-H18+H40</f>
        <v>-14917.259999999998</v>
      </c>
      <c r="I42" s="13"/>
      <c r="J42" s="20">
        <f>IF(H$12=0,0,H42/H$12)</f>
        <v>0</v>
      </c>
      <c r="K42" s="16"/>
      <c r="L42" s="19">
        <f>+D42-H42</f>
        <v>-6604.7300000000032</v>
      </c>
      <c r="M42" s="16"/>
      <c r="N42" s="20">
        <f>IF(H42=0,0,L42/H42)</f>
        <v>0.44275758416760208</v>
      </c>
      <c r="O42" s="25"/>
      <c r="P42" s="19">
        <f>+P16-P18+P40</f>
        <v>-21521.99</v>
      </c>
      <c r="Q42" s="13"/>
      <c r="R42" s="20">
        <f>IF(P$12=0,0,P42/P$12)</f>
        <v>0</v>
      </c>
      <c r="S42" s="13"/>
      <c r="T42" s="19">
        <f>+T16-T18+T40</f>
        <v>-14917.259999999998</v>
      </c>
      <c r="U42" s="13"/>
      <c r="V42" s="20">
        <f>IF(T$12=0,0,T42/T$12)</f>
        <v>0</v>
      </c>
      <c r="W42" s="16"/>
      <c r="X42" s="19">
        <f>+P42-T42</f>
        <v>-6604.7300000000032</v>
      </c>
      <c r="Y42" s="16"/>
      <c r="Z42" s="20">
        <f>IF(T42=0,0,X42/T42)</f>
        <v>0.44275758416760208</v>
      </c>
    </row>
    <row r="43" spans="1:26" x14ac:dyDescent="0.25">
      <c r="A43" s="9"/>
      <c r="B43" s="10"/>
      <c r="C43" s="9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25">
      <c r="A44" s="51"/>
      <c r="B44" s="10" t="s">
        <v>13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10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ht="15.75" thickBot="1" x14ac:dyDescent="0.3">
      <c r="A46" s="10"/>
      <c r="B46" s="26" t="s">
        <v>4</v>
      </c>
      <c r="C46" s="26"/>
      <c r="D46" s="35">
        <f>+D42-D44</f>
        <v>-21521.99</v>
      </c>
      <c r="E46" s="13"/>
      <c r="F46" s="30">
        <f>IF(D$12=0,0,D46/D$12)</f>
        <v>0</v>
      </c>
      <c r="G46" s="13"/>
      <c r="H46" s="35">
        <f>+H42-H44</f>
        <v>-14917.259999999998</v>
      </c>
      <c r="I46" s="13"/>
      <c r="J46" s="30">
        <f>IF(H$12=0,0,H46/H$12)</f>
        <v>0</v>
      </c>
      <c r="K46" s="16"/>
      <c r="L46" s="35">
        <f>D46-H46</f>
        <v>-6604.7300000000032</v>
      </c>
      <c r="M46" s="16"/>
      <c r="N46" s="30">
        <f>IF(H46=0,0,L46/H46)</f>
        <v>0.44275758416760208</v>
      </c>
      <c r="O46" s="25"/>
      <c r="P46" s="35">
        <f>+P42-P44</f>
        <v>-21521.99</v>
      </c>
      <c r="Q46" s="13"/>
      <c r="R46" s="30">
        <f>IF(P$12=0,0,P46/P$12)</f>
        <v>0</v>
      </c>
      <c r="S46" s="13"/>
      <c r="T46" s="35">
        <f>+T42-T44</f>
        <v>-14917.259999999998</v>
      </c>
      <c r="U46" s="13"/>
      <c r="V46" s="30">
        <f>IF(T$12=0,0,T46/T$12)</f>
        <v>0</v>
      </c>
      <c r="W46" s="16"/>
      <c r="X46" s="35">
        <f>P46-T46</f>
        <v>-6604.7300000000032</v>
      </c>
      <c r="Y46" s="16"/>
      <c r="Z46" s="30">
        <f>IF(T46=0,0,X46/T46)</f>
        <v>0.44275758416760208</v>
      </c>
    </row>
    <row r="47" spans="1:26" ht="15.75" thickTop="1" x14ac:dyDescent="0.25">
      <c r="A47" s="9"/>
      <c r="B47" s="9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x14ac:dyDescent="0.25">
      <c r="A48" s="9"/>
      <c r="B48" s="9"/>
      <c r="C48" s="9"/>
      <c r="D48" s="2"/>
      <c r="E48" s="2"/>
      <c r="F48" s="6"/>
      <c r="G48" s="2"/>
      <c r="H48" s="2"/>
      <c r="I48" s="2"/>
      <c r="J48" s="6"/>
      <c r="K48" s="2"/>
      <c r="L48" s="2"/>
      <c r="M48" s="2"/>
      <c r="N48" s="6"/>
      <c r="P48" s="2"/>
      <c r="Q48" s="2"/>
      <c r="R48" s="6"/>
      <c r="S48" s="2"/>
      <c r="T48" s="2"/>
      <c r="U48" s="2"/>
      <c r="V48" s="6"/>
      <c r="W48" s="2"/>
      <c r="X48" s="2"/>
      <c r="Y48" s="2"/>
      <c r="Z48" s="6"/>
    </row>
    <row r="49" spans="1:26" s="23" customFormat="1" ht="15.75" thickBot="1" x14ac:dyDescent="0.3">
      <c r="A49" s="10"/>
      <c r="B49" s="26" t="s">
        <v>5</v>
      </c>
      <c r="C49" s="26"/>
      <c r="D49" s="31">
        <f>SUM(D46:D48)</f>
        <v>-21521.99</v>
      </c>
      <c r="E49" s="13"/>
      <c r="F49" s="32">
        <f>IF(D$12=0,0,D49/D$12)</f>
        <v>0</v>
      </c>
      <c r="G49" s="13"/>
      <c r="H49" s="31">
        <f>SUM(H46:H48)</f>
        <v>-14917.259999999998</v>
      </c>
      <c r="I49" s="13"/>
      <c r="J49" s="32">
        <f>IF(H$12=0,0,H49/H$12)</f>
        <v>0</v>
      </c>
      <c r="K49" s="16"/>
      <c r="L49" s="31">
        <f>+D49-H49</f>
        <v>-6604.7300000000032</v>
      </c>
      <c r="M49" s="16"/>
      <c r="N49" s="32">
        <f>IF(H49=0,0,L49/H49)</f>
        <v>0.44275758416760208</v>
      </c>
      <c r="O49" s="25"/>
      <c r="P49" s="31">
        <f>SUM(P46:P48)</f>
        <v>-21521.99</v>
      </c>
      <c r="Q49" s="13"/>
      <c r="R49" s="32">
        <f>IF(P$12=0,0,P49/P$12)</f>
        <v>0</v>
      </c>
      <c r="S49" s="13"/>
      <c r="T49" s="31">
        <f>SUM(T46:T48)</f>
        <v>-14917.259999999998</v>
      </c>
      <c r="U49" s="13"/>
      <c r="V49" s="32">
        <f>IF(T$12=0,0,T49/T$12)</f>
        <v>0</v>
      </c>
      <c r="W49" s="16"/>
      <c r="X49" s="31">
        <f>+P49-T49</f>
        <v>-6604.7300000000032</v>
      </c>
      <c r="Y49" s="16"/>
      <c r="Z49" s="32">
        <f>IF(T49=0,0,X49/T49)</f>
        <v>0.44275758416760208</v>
      </c>
    </row>
    <row r="50" spans="1:26" ht="15.75" thickTop="1" x14ac:dyDescent="0.25">
      <c r="A50" s="9"/>
      <c r="C50" s="9"/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6" x14ac:dyDescent="0.25">
      <c r="A51" s="9"/>
      <c r="B51" s="59">
        <v>44109.414818518519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62" t="s">
        <v>313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56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19327.919999999998</v>
      </c>
      <c r="E12" s="4"/>
      <c r="F12" s="12"/>
      <c r="G12" s="4"/>
      <c r="H12" s="4">
        <f>SUM(OSRRefH13x_0)</f>
        <v>246499.62</v>
      </c>
      <c r="I12" s="4"/>
      <c r="J12" s="12"/>
      <c r="K12" s="4"/>
      <c r="L12" s="4">
        <f t="shared" ref="L12:L15" si="0">+D12-H12</f>
        <v>-227171.7</v>
      </c>
      <c r="M12" s="4"/>
      <c r="N12" s="12">
        <f t="shared" ref="N12:N15" si="1">IF(H12=0,0,L12/H12)</f>
        <v>-0.92159046736055827</v>
      </c>
      <c r="O12" s="10"/>
      <c r="P12" s="4">
        <f>SUM(OSRRefP13x_0)</f>
        <v>19327.919999999998</v>
      </c>
      <c r="Q12" s="4"/>
      <c r="R12" s="12"/>
      <c r="S12" s="4"/>
      <c r="T12" s="4">
        <f>SUM(OSRRefT13x_0)</f>
        <v>246499.62</v>
      </c>
      <c r="U12" s="4"/>
      <c r="V12" s="12"/>
      <c r="W12" s="4"/>
      <c r="X12" s="4">
        <f t="shared" ref="X12:X15" si="2">+P12-T12</f>
        <v>-227171.7</v>
      </c>
      <c r="Y12" s="4"/>
      <c r="Z12" s="12">
        <f t="shared" ref="Z12:Z15" si="3">IF(T12=0,0,X12/T12)</f>
        <v>-0.92159046736055827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3">
        <f>--199.89</f>
        <v>199.89</v>
      </c>
      <c r="E13" s="3"/>
      <c r="F13" s="22"/>
      <c r="G13" s="3"/>
      <c r="H13" s="3">
        <f>--658.65</f>
        <v>658.65</v>
      </c>
      <c r="I13" s="3"/>
      <c r="J13" s="22"/>
      <c r="K13" s="3"/>
      <c r="L13" s="3">
        <f t="shared" si="0"/>
        <v>-458.76</v>
      </c>
      <c r="M13" s="3"/>
      <c r="N13" s="22">
        <f t="shared" si="1"/>
        <v>-0.69651560009109548</v>
      </c>
      <c r="O13" s="11"/>
      <c r="P13" s="3">
        <f>--199.89</f>
        <v>199.89</v>
      </c>
      <c r="Q13" s="3"/>
      <c r="R13" s="22"/>
      <c r="S13" s="3"/>
      <c r="T13" s="3">
        <f>--658.65</f>
        <v>658.65</v>
      </c>
      <c r="U13" s="3"/>
      <c r="V13" s="22"/>
      <c r="W13" s="3"/>
      <c r="X13" s="3">
        <f t="shared" si="2"/>
        <v>-458.76</v>
      </c>
      <c r="Y13" s="3"/>
      <c r="Z13" s="22">
        <f t="shared" si="3"/>
        <v>-0.69651560009109548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>--1300</f>
        <v>1300</v>
      </c>
      <c r="E14" s="3"/>
      <c r="F14" s="22"/>
      <c r="G14" s="3"/>
      <c r="H14" s="3">
        <f>--242604.95</f>
        <v>242604.95</v>
      </c>
      <c r="I14" s="3"/>
      <c r="J14" s="22"/>
      <c r="K14" s="3"/>
      <c r="L14" s="3">
        <f t="shared" si="0"/>
        <v>-241304.95</v>
      </c>
      <c r="M14" s="3"/>
      <c r="N14" s="22">
        <f t="shared" si="1"/>
        <v>-0.99464149433059801</v>
      </c>
      <c r="O14" s="11"/>
      <c r="P14" s="3">
        <f>--1300</f>
        <v>1300</v>
      </c>
      <c r="Q14" s="3"/>
      <c r="R14" s="22"/>
      <c r="S14" s="3"/>
      <c r="T14" s="3">
        <f>--242604.95</f>
        <v>242604.95</v>
      </c>
      <c r="U14" s="3"/>
      <c r="V14" s="22"/>
      <c r="W14" s="3"/>
      <c r="X14" s="3">
        <f t="shared" si="2"/>
        <v>-241304.95</v>
      </c>
      <c r="Y14" s="3"/>
      <c r="Z14" s="22">
        <f t="shared" si="3"/>
        <v>-0.99464149433059801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3">
        <f>--17828.03</f>
        <v>17828.03</v>
      </c>
      <c r="E15" s="3"/>
      <c r="F15" s="22"/>
      <c r="G15" s="3"/>
      <c r="H15" s="3">
        <f>--3236.02</f>
        <v>3236.02</v>
      </c>
      <c r="I15" s="3"/>
      <c r="J15" s="22"/>
      <c r="K15" s="3"/>
      <c r="L15" s="3">
        <f t="shared" si="0"/>
        <v>14592.009999999998</v>
      </c>
      <c r="M15" s="3"/>
      <c r="N15" s="22">
        <f t="shared" si="1"/>
        <v>4.5092459255505215</v>
      </c>
      <c r="O15" s="11"/>
      <c r="P15" s="3">
        <f>--17828.03</f>
        <v>17828.03</v>
      </c>
      <c r="Q15" s="3"/>
      <c r="R15" s="22"/>
      <c r="S15" s="3"/>
      <c r="T15" s="3">
        <f>--3236.02</f>
        <v>3236.02</v>
      </c>
      <c r="U15" s="3"/>
      <c r="V15" s="22"/>
      <c r="W15" s="3"/>
      <c r="X15" s="3">
        <f t="shared" si="2"/>
        <v>14592.009999999998</v>
      </c>
      <c r="Y15" s="3"/>
      <c r="Z15" s="22">
        <f t="shared" si="3"/>
        <v>4.5092459255505215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11689.62</v>
      </c>
      <c r="E17" s="4"/>
      <c r="F17" s="12">
        <f t="shared" ref="F17:F19" si="4">IF(D$12=0,0,D17/D$12)</f>
        <v>0.60480486260290822</v>
      </c>
      <c r="G17" s="4"/>
      <c r="H17" s="4">
        <f>SUM(OSRRefH16x_0)</f>
        <v>73268.08</v>
      </c>
      <c r="I17" s="4"/>
      <c r="J17" s="12">
        <f t="shared" ref="J17:J19" si="5">IF(H$12=0,0,H17/H$12)</f>
        <v>0.29723404847439522</v>
      </c>
      <c r="K17" s="4"/>
      <c r="L17" s="4">
        <f t="shared" ref="L17:L19" si="6">+D17-H17</f>
        <v>-61578.46</v>
      </c>
      <c r="M17" s="4"/>
      <c r="N17" s="12">
        <f t="shared" ref="N17:N19" si="7">IF(H17=0,0,L17/H17)</f>
        <v>-0.84045412408787012</v>
      </c>
      <c r="O17" s="10"/>
      <c r="P17" s="4">
        <f>SUM(OSRRefP16x_0)</f>
        <v>11689.62</v>
      </c>
      <c r="Q17" s="4"/>
      <c r="R17" s="12">
        <f t="shared" ref="R17:R19" si="8">IF(P$12=0,0,P17/P$12)</f>
        <v>0.60480486260290822</v>
      </c>
      <c r="S17" s="4"/>
      <c r="T17" s="4">
        <f>SUM(OSRRefT16x_0)</f>
        <v>73268.08</v>
      </c>
      <c r="U17" s="4"/>
      <c r="V17" s="12">
        <f t="shared" ref="V17:V19" si="9">IF(T$12=0,0,T17/T$12)</f>
        <v>0.29723404847439522</v>
      </c>
      <c r="W17" s="4"/>
      <c r="X17" s="4">
        <f t="shared" ref="X17:X19" si="10">+P17-T17</f>
        <v>-61578.46</v>
      </c>
      <c r="Y17" s="4"/>
      <c r="Z17" s="12">
        <f t="shared" ref="Z17:Z19" si="11">IF(T17=0,0,X17/T17)</f>
        <v>-0.84045412408787012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3">
        <v>8280.6200000000008</v>
      </c>
      <c r="E18" s="3"/>
      <c r="F18" s="22">
        <f t="shared" si="4"/>
        <v>0.42842789084391913</v>
      </c>
      <c r="G18" s="3"/>
      <c r="H18" s="3">
        <v>73436.08</v>
      </c>
      <c r="I18" s="3"/>
      <c r="J18" s="22">
        <f t="shared" si="5"/>
        <v>0.29791559110719928</v>
      </c>
      <c r="K18" s="3"/>
      <c r="L18" s="3">
        <f t="shared" si="6"/>
        <v>-65155.46</v>
      </c>
      <c r="M18" s="3"/>
      <c r="N18" s="22">
        <f t="shared" si="7"/>
        <v>-0.88724044093856858</v>
      </c>
      <c r="O18" s="11"/>
      <c r="P18" s="3">
        <v>8280.6200000000008</v>
      </c>
      <c r="Q18" s="3"/>
      <c r="R18" s="22">
        <f t="shared" si="8"/>
        <v>0.42842789084391913</v>
      </c>
      <c r="S18" s="3"/>
      <c r="T18" s="3">
        <v>73436.08</v>
      </c>
      <c r="U18" s="3"/>
      <c r="V18" s="22">
        <f t="shared" si="9"/>
        <v>0.29791559110719928</v>
      </c>
      <c r="W18" s="3"/>
      <c r="X18" s="3">
        <f t="shared" si="10"/>
        <v>-65155.46</v>
      </c>
      <c r="Y18" s="3"/>
      <c r="Z18" s="22">
        <f t="shared" si="11"/>
        <v>-0.88724044093856858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3">
        <v>3409</v>
      </c>
      <c r="E19" s="3"/>
      <c r="F19" s="22">
        <f t="shared" si="4"/>
        <v>0.17637697175898909</v>
      </c>
      <c r="G19" s="3"/>
      <c r="H19" s="3">
        <v>-168</v>
      </c>
      <c r="I19" s="3"/>
      <c r="J19" s="22">
        <f t="shared" si="5"/>
        <v>-6.8154263280405865E-4</v>
      </c>
      <c r="K19" s="3"/>
      <c r="L19" s="3">
        <f t="shared" si="6"/>
        <v>3577</v>
      </c>
      <c r="M19" s="3"/>
      <c r="N19" s="22">
        <f t="shared" si="7"/>
        <v>-21.291666666666668</v>
      </c>
      <c r="O19" s="11"/>
      <c r="P19" s="3">
        <v>3409</v>
      </c>
      <c r="Q19" s="3"/>
      <c r="R19" s="22">
        <f t="shared" si="8"/>
        <v>0.17637697175898909</v>
      </c>
      <c r="S19" s="3"/>
      <c r="T19" s="3">
        <v>-168</v>
      </c>
      <c r="U19" s="3"/>
      <c r="V19" s="22">
        <f t="shared" si="9"/>
        <v>-6.8154263280405865E-4</v>
      </c>
      <c r="W19" s="3"/>
      <c r="X19" s="3">
        <f t="shared" si="10"/>
        <v>3577</v>
      </c>
      <c r="Y19" s="3"/>
      <c r="Z19" s="22">
        <f t="shared" si="11"/>
        <v>-21.291666666666668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25">
      <c r="A21" s="10"/>
      <c r="B21" s="26" t="s">
        <v>6</v>
      </c>
      <c r="C21" s="26"/>
      <c r="D21" s="19">
        <f>D12-D17</f>
        <v>7638.2999999999975</v>
      </c>
      <c r="E21" s="13"/>
      <c r="F21" s="20">
        <f>IF(D$12=0,0,D21/D$12)</f>
        <v>0.39519513739709178</v>
      </c>
      <c r="G21" s="13"/>
      <c r="H21" s="19">
        <f>H12-H17</f>
        <v>173231.53999999998</v>
      </c>
      <c r="I21" s="13"/>
      <c r="J21" s="20">
        <f>IF(H$12=0,0,H21/H$12)</f>
        <v>0.70276595152560473</v>
      </c>
      <c r="K21" s="16"/>
      <c r="L21" s="19">
        <f>+D21-H21</f>
        <v>-165593.24</v>
      </c>
      <c r="M21" s="16"/>
      <c r="N21" s="20">
        <f>IF(H21=0,0,L21/H21)</f>
        <v>-0.95590699014740621</v>
      </c>
      <c r="O21" s="25"/>
      <c r="P21" s="19">
        <f>P12-P17</f>
        <v>7638.2999999999975</v>
      </c>
      <c r="Q21" s="13"/>
      <c r="R21" s="20">
        <f>IF(P$12=0,0,P21/P$12)</f>
        <v>0.39519513739709178</v>
      </c>
      <c r="S21" s="13"/>
      <c r="T21" s="19">
        <f>T12-T17</f>
        <v>173231.53999999998</v>
      </c>
      <c r="U21" s="13"/>
      <c r="V21" s="20">
        <f>IF(T$12=0,0,T21/T$12)</f>
        <v>0.70276595152560473</v>
      </c>
      <c r="W21" s="16"/>
      <c r="X21" s="19">
        <f>+P21-T21</f>
        <v>-165593.24</v>
      </c>
      <c r="Y21" s="16"/>
      <c r="Z21" s="20">
        <f>IF(T21=0,0,X21/T21)</f>
        <v>-0.95590699014740621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SUM(OSRRefD22x_0)</f>
        <v>59459.529999999992</v>
      </c>
      <c r="E23" s="21"/>
      <c r="F23" s="34">
        <f t="shared" ref="F23:F33" si="12">IF(D$12=0,0,D23/D$12)</f>
        <v>3.0763543102413502</v>
      </c>
      <c r="G23" s="21"/>
      <c r="H23" s="21">
        <f>SUM(OSRRefH22x_0)</f>
        <v>147559.66000000003</v>
      </c>
      <c r="I23" s="21"/>
      <c r="J23" s="34">
        <f t="shared" ref="J23:J33" si="13">IF(H$12=0,0,H23/H$12)</f>
        <v>0.5986202331670939</v>
      </c>
      <c r="K23" s="4"/>
      <c r="L23" s="21">
        <f t="shared" ref="L23:L33" si="14">+D23-H23</f>
        <v>-88100.130000000034</v>
      </c>
      <c r="M23" s="4"/>
      <c r="N23" s="34">
        <f t="shared" ref="N23:N33" si="15">IF(H23=0,0,L23/H23)</f>
        <v>-0.59704752640389669</v>
      </c>
      <c r="O23" s="10"/>
      <c r="P23" s="21">
        <f>SUM(OSRRefP22x_0)</f>
        <v>59459.529999999992</v>
      </c>
      <c r="Q23" s="21"/>
      <c r="R23" s="34">
        <f t="shared" ref="R23:R33" si="16">IF(P$12=0,0,P23/P$12)</f>
        <v>3.0763543102413502</v>
      </c>
      <c r="S23" s="21"/>
      <c r="T23" s="21">
        <f>SUM(OSRRefT22x_0)</f>
        <v>147559.66000000003</v>
      </c>
      <c r="U23" s="21"/>
      <c r="V23" s="34">
        <f t="shared" ref="V23:V33" si="17">IF(T$12=0,0,T23/T$12)</f>
        <v>0.5986202331670939</v>
      </c>
      <c r="W23" s="4"/>
      <c r="X23" s="21">
        <f t="shared" ref="X23:X33" si="18">+P23-T23</f>
        <v>-88100.130000000034</v>
      </c>
      <c r="Y23" s="4"/>
      <c r="Z23" s="34">
        <f t="shared" ref="Z23:Z33" si="19">IF(T23=0,0,X23/T23)</f>
        <v>-0.59704752640389669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18619.02</v>
      </c>
      <c r="E24" s="1"/>
      <c r="F24" s="5">
        <f t="shared" si="12"/>
        <v>0.96332248891758665</v>
      </c>
      <c r="G24" s="1"/>
      <c r="H24" s="1">
        <f>SUM(OSRRefH22_0x_0)</f>
        <v>33496.06</v>
      </c>
      <c r="I24" s="1"/>
      <c r="J24" s="5">
        <f t="shared" si="13"/>
        <v>0.13588686262477809</v>
      </c>
      <c r="K24" s="1"/>
      <c r="L24" s="1">
        <f t="shared" si="14"/>
        <v>-14877.039999999997</v>
      </c>
      <c r="M24" s="1"/>
      <c r="N24" s="5">
        <f t="shared" si="15"/>
        <v>-0.44414298278663217</v>
      </c>
      <c r="O24" s="14"/>
      <c r="P24" s="1">
        <f>SUM(OSRRefP22_0x_0)</f>
        <v>18619.02</v>
      </c>
      <c r="Q24" s="1"/>
      <c r="R24" s="5">
        <f t="shared" si="16"/>
        <v>0.96332248891758665</v>
      </c>
      <c r="S24" s="1"/>
      <c r="T24" s="1">
        <f>SUM(OSRRefT22_0x_0)</f>
        <v>33496.06</v>
      </c>
      <c r="U24" s="1"/>
      <c r="V24" s="5">
        <f t="shared" si="17"/>
        <v>0.13588686262477809</v>
      </c>
      <c r="W24" s="1"/>
      <c r="X24" s="1">
        <f t="shared" si="18"/>
        <v>-14877.039999999997</v>
      </c>
      <c r="Y24" s="1"/>
      <c r="Z24" s="5">
        <f t="shared" si="19"/>
        <v>-0.44414298278663217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8">
        <v>1894.45</v>
      </c>
      <c r="E25" s="3"/>
      <c r="F25" s="7">
        <f t="shared" si="12"/>
        <v>9.801623764999029E-2</v>
      </c>
      <c r="G25" s="3"/>
      <c r="H25" s="8">
        <v>4936.18</v>
      </c>
      <c r="I25" s="3"/>
      <c r="J25" s="7">
        <f t="shared" si="13"/>
        <v>2.0025101864254397E-2</v>
      </c>
      <c r="K25" s="3"/>
      <c r="L25" s="8">
        <f t="shared" si="14"/>
        <v>-3041.7300000000005</v>
      </c>
      <c r="M25" s="3"/>
      <c r="N25" s="7">
        <f t="shared" si="15"/>
        <v>-0.61621132130513889</v>
      </c>
      <c r="O25" s="11"/>
      <c r="P25" s="8">
        <v>1894.45</v>
      </c>
      <c r="Q25" s="3"/>
      <c r="R25" s="7">
        <f t="shared" si="16"/>
        <v>9.801623764999029E-2</v>
      </c>
      <c r="S25" s="3"/>
      <c r="T25" s="8">
        <v>4936.18</v>
      </c>
      <c r="U25" s="3"/>
      <c r="V25" s="7">
        <f t="shared" si="17"/>
        <v>2.0025101864254397E-2</v>
      </c>
      <c r="W25" s="3"/>
      <c r="X25" s="8">
        <f t="shared" si="18"/>
        <v>-3041.7300000000005</v>
      </c>
      <c r="Y25" s="3"/>
      <c r="Z25" s="7">
        <f t="shared" si="19"/>
        <v>-0.61621132130513889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1062.3</v>
      </c>
      <c r="E26" s="3"/>
      <c r="F26" s="7">
        <f t="shared" si="12"/>
        <v>5.4961941067636869E-2</v>
      </c>
      <c r="G26" s="3"/>
      <c r="H26" s="8">
        <v>2514.48</v>
      </c>
      <c r="I26" s="3"/>
      <c r="J26" s="7">
        <f t="shared" si="13"/>
        <v>1.0200745948411605E-2</v>
      </c>
      <c r="K26" s="3"/>
      <c r="L26" s="8">
        <f t="shared" si="14"/>
        <v>-1452.18</v>
      </c>
      <c r="M26" s="3"/>
      <c r="N26" s="7">
        <f t="shared" si="15"/>
        <v>-0.5775269638255226</v>
      </c>
      <c r="O26" s="11"/>
      <c r="P26" s="8">
        <v>1062.3</v>
      </c>
      <c r="Q26" s="3"/>
      <c r="R26" s="7">
        <f t="shared" si="16"/>
        <v>5.4961941067636869E-2</v>
      </c>
      <c r="S26" s="3"/>
      <c r="T26" s="8">
        <v>2514.48</v>
      </c>
      <c r="U26" s="3"/>
      <c r="V26" s="7">
        <f t="shared" si="17"/>
        <v>1.0200745948411605E-2</v>
      </c>
      <c r="W26" s="3"/>
      <c r="X26" s="8">
        <f t="shared" si="18"/>
        <v>-1452.18</v>
      </c>
      <c r="Y26" s="3"/>
      <c r="Z26" s="7">
        <f t="shared" si="19"/>
        <v>-0.5775269638255226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8">
        <v>9826.58</v>
      </c>
      <c r="E27" s="3"/>
      <c r="F27" s="7">
        <f t="shared" si="12"/>
        <v>0.5084137351561886</v>
      </c>
      <c r="G27" s="3"/>
      <c r="H27" s="8">
        <v>13940.76</v>
      </c>
      <c r="I27" s="3"/>
      <c r="J27" s="7">
        <f t="shared" si="13"/>
        <v>5.6554894486247079E-2</v>
      </c>
      <c r="K27" s="3"/>
      <c r="L27" s="8">
        <f t="shared" si="14"/>
        <v>-4114.18</v>
      </c>
      <c r="M27" s="3"/>
      <c r="N27" s="7">
        <f t="shared" si="15"/>
        <v>-0.29511877401232073</v>
      </c>
      <c r="O27" s="11"/>
      <c r="P27" s="8">
        <v>9826.58</v>
      </c>
      <c r="Q27" s="3"/>
      <c r="R27" s="7">
        <f t="shared" si="16"/>
        <v>0.5084137351561886</v>
      </c>
      <c r="S27" s="3"/>
      <c r="T27" s="8">
        <v>13940.76</v>
      </c>
      <c r="U27" s="3"/>
      <c r="V27" s="7">
        <f t="shared" si="17"/>
        <v>5.6554894486247079E-2</v>
      </c>
      <c r="W27" s="3"/>
      <c r="X27" s="8">
        <f t="shared" si="18"/>
        <v>-4114.18</v>
      </c>
      <c r="Y27" s="3"/>
      <c r="Z27" s="7">
        <f t="shared" si="19"/>
        <v>-0.29511877401232073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64.38</v>
      </c>
      <c r="E28" s="3"/>
      <c r="F28" s="7">
        <f t="shared" si="12"/>
        <v>3.3309326611451208E-3</v>
      </c>
      <c r="G28" s="3"/>
      <c r="H28" s="8">
        <v>168.49</v>
      </c>
      <c r="I28" s="3"/>
      <c r="J28" s="7">
        <f t="shared" si="13"/>
        <v>6.8353046548307061E-4</v>
      </c>
      <c r="K28" s="3"/>
      <c r="L28" s="8">
        <f t="shared" si="14"/>
        <v>-104.11000000000001</v>
      </c>
      <c r="M28" s="3"/>
      <c r="N28" s="7">
        <f t="shared" si="15"/>
        <v>-0.61790017211703963</v>
      </c>
      <c r="O28" s="11"/>
      <c r="P28" s="8">
        <v>64.38</v>
      </c>
      <c r="Q28" s="3"/>
      <c r="R28" s="7">
        <f t="shared" si="16"/>
        <v>3.3309326611451208E-3</v>
      </c>
      <c r="S28" s="3"/>
      <c r="T28" s="8">
        <v>168.49</v>
      </c>
      <c r="U28" s="3"/>
      <c r="V28" s="7">
        <f t="shared" si="17"/>
        <v>6.8353046548307061E-4</v>
      </c>
      <c r="W28" s="3"/>
      <c r="X28" s="8">
        <f t="shared" si="18"/>
        <v>-104.11000000000001</v>
      </c>
      <c r="Y28" s="3"/>
      <c r="Z28" s="7">
        <f t="shared" si="19"/>
        <v>-0.61790017211703963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8">
        <v>1425.05</v>
      </c>
      <c r="E29" s="3"/>
      <c r="F29" s="7">
        <f t="shared" si="12"/>
        <v>7.3730127194235079E-2</v>
      </c>
      <c r="G29" s="3"/>
      <c r="H29" s="8">
        <v>1217.31</v>
      </c>
      <c r="I29" s="3"/>
      <c r="J29" s="7">
        <f t="shared" si="13"/>
        <v>4.9383848948732654E-3</v>
      </c>
      <c r="K29" s="3"/>
      <c r="L29" s="8">
        <f t="shared" si="14"/>
        <v>207.74</v>
      </c>
      <c r="M29" s="3"/>
      <c r="N29" s="7">
        <f t="shared" si="15"/>
        <v>0.17065496874255531</v>
      </c>
      <c r="O29" s="11"/>
      <c r="P29" s="8">
        <v>1425.05</v>
      </c>
      <c r="Q29" s="3"/>
      <c r="R29" s="7">
        <f t="shared" si="16"/>
        <v>7.3730127194235079E-2</v>
      </c>
      <c r="S29" s="3"/>
      <c r="T29" s="8">
        <v>1217.31</v>
      </c>
      <c r="U29" s="3"/>
      <c r="V29" s="7">
        <f t="shared" si="17"/>
        <v>4.9383848948732654E-3</v>
      </c>
      <c r="W29" s="3"/>
      <c r="X29" s="8">
        <f t="shared" si="18"/>
        <v>207.74</v>
      </c>
      <c r="Y29" s="3"/>
      <c r="Z29" s="7">
        <f t="shared" si="19"/>
        <v>0.17065496874255531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8">
        <v>524.91999999999996</v>
      </c>
      <c r="E30" s="3"/>
      <c r="F30" s="7">
        <f t="shared" si="12"/>
        <v>2.7158638901651082E-2</v>
      </c>
      <c r="G30" s="3"/>
      <c r="H30" s="8">
        <v>446.83</v>
      </c>
      <c r="I30" s="3"/>
      <c r="J30" s="7">
        <f t="shared" si="13"/>
        <v>1.8127005631895091E-3</v>
      </c>
      <c r="K30" s="3"/>
      <c r="L30" s="8">
        <f t="shared" si="14"/>
        <v>78.089999999999975</v>
      </c>
      <c r="M30" s="3"/>
      <c r="N30" s="7">
        <f t="shared" si="15"/>
        <v>0.17476445180493694</v>
      </c>
      <c r="O30" s="11"/>
      <c r="P30" s="8">
        <v>524.91999999999996</v>
      </c>
      <c r="Q30" s="3"/>
      <c r="R30" s="7">
        <f t="shared" si="16"/>
        <v>2.7158638901651082E-2</v>
      </c>
      <c r="S30" s="3"/>
      <c r="T30" s="8">
        <v>446.83</v>
      </c>
      <c r="U30" s="3"/>
      <c r="V30" s="7">
        <f t="shared" si="17"/>
        <v>1.8127005631895091E-3</v>
      </c>
      <c r="W30" s="3"/>
      <c r="X30" s="8">
        <f t="shared" si="18"/>
        <v>78.089999999999975</v>
      </c>
      <c r="Y30" s="3"/>
      <c r="Z30" s="7">
        <f t="shared" si="19"/>
        <v>0.17476445180493694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8">
        <v>1852.16</v>
      </c>
      <c r="E31" s="3"/>
      <c r="F31" s="7">
        <f t="shared" si="12"/>
        <v>9.5828211209483496E-2</v>
      </c>
      <c r="G31" s="3"/>
      <c r="H31" s="8">
        <v>3583.82</v>
      </c>
      <c r="I31" s="3"/>
      <c r="J31" s="7">
        <f t="shared" si="13"/>
        <v>1.4538845942237153E-2</v>
      </c>
      <c r="K31" s="3"/>
      <c r="L31" s="8">
        <f t="shared" si="14"/>
        <v>-1731.66</v>
      </c>
      <c r="M31" s="3"/>
      <c r="N31" s="7">
        <f t="shared" si="15"/>
        <v>-0.48318832977102644</v>
      </c>
      <c r="O31" s="11"/>
      <c r="P31" s="8">
        <v>1852.16</v>
      </c>
      <c r="Q31" s="3"/>
      <c r="R31" s="7">
        <f t="shared" si="16"/>
        <v>9.5828211209483496E-2</v>
      </c>
      <c r="S31" s="3"/>
      <c r="T31" s="8">
        <v>3583.82</v>
      </c>
      <c r="U31" s="3"/>
      <c r="V31" s="7">
        <f t="shared" si="17"/>
        <v>1.4538845942237153E-2</v>
      </c>
      <c r="W31" s="3"/>
      <c r="X31" s="8">
        <f t="shared" si="18"/>
        <v>-1731.66</v>
      </c>
      <c r="Y31" s="3"/>
      <c r="Z31" s="7">
        <f t="shared" si="19"/>
        <v>-0.48318832977102644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8">
        <v>1214.78</v>
      </c>
      <c r="E32" s="3"/>
      <c r="F32" s="7">
        <f t="shared" si="12"/>
        <v>6.2851046568901364E-2</v>
      </c>
      <c r="G32" s="3"/>
      <c r="H32" s="8">
        <v>6123.7</v>
      </c>
      <c r="I32" s="3"/>
      <c r="J32" s="7">
        <f t="shared" si="13"/>
        <v>2.4842634645846514E-2</v>
      </c>
      <c r="K32" s="3"/>
      <c r="L32" s="8">
        <f t="shared" si="14"/>
        <v>-4908.92</v>
      </c>
      <c r="M32" s="3"/>
      <c r="N32" s="7">
        <f t="shared" si="15"/>
        <v>-0.80162646765844181</v>
      </c>
      <c r="O32" s="11"/>
      <c r="P32" s="8">
        <v>1214.78</v>
      </c>
      <c r="Q32" s="3"/>
      <c r="R32" s="7">
        <f t="shared" si="16"/>
        <v>6.2851046568901364E-2</v>
      </c>
      <c r="S32" s="3"/>
      <c r="T32" s="8">
        <v>6123.7</v>
      </c>
      <c r="U32" s="3"/>
      <c r="V32" s="7">
        <f t="shared" si="17"/>
        <v>2.4842634645846514E-2</v>
      </c>
      <c r="W32" s="3"/>
      <c r="X32" s="8">
        <f t="shared" si="18"/>
        <v>-4908.92</v>
      </c>
      <c r="Y32" s="3"/>
      <c r="Z32" s="7">
        <f t="shared" si="19"/>
        <v>-0.80162646765844181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8">
        <v>754.4</v>
      </c>
      <c r="E33" s="3"/>
      <c r="F33" s="7">
        <f t="shared" si="12"/>
        <v>3.9031618508354758E-2</v>
      </c>
      <c r="G33" s="3"/>
      <c r="H33" s="8">
        <v>564.49</v>
      </c>
      <c r="I33" s="3"/>
      <c r="J33" s="7">
        <f t="shared" si="13"/>
        <v>2.2900238142354945E-3</v>
      </c>
      <c r="K33" s="3"/>
      <c r="L33" s="8">
        <f t="shared" si="14"/>
        <v>189.90999999999997</v>
      </c>
      <c r="M33" s="3"/>
      <c r="N33" s="7">
        <f t="shared" si="15"/>
        <v>0.33642757179046567</v>
      </c>
      <c r="O33" s="11"/>
      <c r="P33" s="8">
        <v>754.4</v>
      </c>
      <c r="Q33" s="3"/>
      <c r="R33" s="7">
        <f t="shared" si="16"/>
        <v>3.9031618508354758E-2</v>
      </c>
      <c r="S33" s="3"/>
      <c r="T33" s="8">
        <v>564.49</v>
      </c>
      <c r="U33" s="3"/>
      <c r="V33" s="7">
        <f t="shared" si="17"/>
        <v>2.2900238142354945E-3</v>
      </c>
      <c r="W33" s="3"/>
      <c r="X33" s="8">
        <f t="shared" si="18"/>
        <v>189.90999999999997</v>
      </c>
      <c r="Y33" s="3"/>
      <c r="Z33" s="7">
        <f t="shared" si="19"/>
        <v>0.33642757179046567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23914.11</v>
      </c>
      <c r="E34" s="1"/>
      <c r="F34" s="5">
        <f t="shared" ref="F34:F40" si="20">IF(D$12=0,0,D34/D$12)</f>
        <v>1.2372831634236898</v>
      </c>
      <c r="G34" s="1"/>
      <c r="H34" s="1">
        <f>SUM(OSRRefH22_1x_0)</f>
        <v>76888.47</v>
      </c>
      <c r="I34" s="1"/>
      <c r="J34" s="5">
        <f t="shared" ref="J34:J40" si="21">IF(H$12=0,0,H34/H$12)</f>
        <v>0.31192125164330881</v>
      </c>
      <c r="K34" s="1"/>
      <c r="L34" s="1">
        <f t="shared" ref="L34:L40" si="22">+D34-H34</f>
        <v>-52974.36</v>
      </c>
      <c r="M34" s="1"/>
      <c r="N34" s="5">
        <f t="shared" ref="N34:N40" si="23">IF(H34=0,0,L34/H34)</f>
        <v>-0.68897664370223521</v>
      </c>
      <c r="O34" s="14"/>
      <c r="P34" s="1">
        <f>SUM(OSRRefP22_1x_0)</f>
        <v>23914.11</v>
      </c>
      <c r="Q34" s="1"/>
      <c r="R34" s="5">
        <f t="shared" ref="R34:R40" si="24">IF(P$12=0,0,P34/P$12)</f>
        <v>1.2372831634236898</v>
      </c>
      <c r="S34" s="1"/>
      <c r="T34" s="1">
        <f>SUM(OSRRefT22_1x_0)</f>
        <v>76888.47</v>
      </c>
      <c r="U34" s="1"/>
      <c r="V34" s="5">
        <f t="shared" ref="V34:V40" si="25">IF(T$12=0,0,T34/T$12)</f>
        <v>0.31192125164330881</v>
      </c>
      <c r="W34" s="1"/>
      <c r="X34" s="1">
        <f t="shared" ref="X34:X40" si="26">+P34-T34</f>
        <v>-52974.36</v>
      </c>
      <c r="Y34" s="1"/>
      <c r="Z34" s="5">
        <f t="shared" ref="Z34:Z40" si="27">IF(T34=0,0,X34/T34)</f>
        <v>-0.68897664370223521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8">
        <v>11078.22</v>
      </c>
      <c r="E35" s="3"/>
      <c r="F35" s="7">
        <f t="shared" si="20"/>
        <v>0.57317186743322612</v>
      </c>
      <c r="G35" s="3"/>
      <c r="H35" s="8">
        <v>15867.28</v>
      </c>
      <c r="I35" s="3"/>
      <c r="J35" s="7">
        <f t="shared" si="21"/>
        <v>6.4370403491899916E-2</v>
      </c>
      <c r="K35" s="3"/>
      <c r="L35" s="8">
        <f t="shared" si="22"/>
        <v>-4789.0600000000013</v>
      </c>
      <c r="M35" s="3"/>
      <c r="N35" s="7">
        <f t="shared" si="23"/>
        <v>-0.30181984561941311</v>
      </c>
      <c r="O35" s="11"/>
      <c r="P35" s="8">
        <v>11078.22</v>
      </c>
      <c r="Q35" s="3"/>
      <c r="R35" s="7">
        <f t="shared" si="24"/>
        <v>0.57317186743322612</v>
      </c>
      <c r="S35" s="3"/>
      <c r="T35" s="8">
        <v>15867.28</v>
      </c>
      <c r="U35" s="3"/>
      <c r="V35" s="7">
        <f t="shared" si="25"/>
        <v>6.4370403491899916E-2</v>
      </c>
      <c r="W35" s="3"/>
      <c r="X35" s="8">
        <f t="shared" si="26"/>
        <v>-4789.0600000000013</v>
      </c>
      <c r="Y35" s="3"/>
      <c r="Z35" s="7">
        <f t="shared" si="27"/>
        <v>-0.30181984561941311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8">
        <v>10701.89</v>
      </c>
      <c r="E36" s="3"/>
      <c r="F36" s="7">
        <f t="shared" si="20"/>
        <v>0.5537010707825778</v>
      </c>
      <c r="G36" s="3"/>
      <c r="H36" s="8">
        <v>13467.22</v>
      </c>
      <c r="I36" s="3"/>
      <c r="J36" s="7">
        <f t="shared" si="21"/>
        <v>5.4633836758044493E-2</v>
      </c>
      <c r="K36" s="3"/>
      <c r="L36" s="8">
        <f t="shared" si="22"/>
        <v>-2765.33</v>
      </c>
      <c r="M36" s="3"/>
      <c r="N36" s="7">
        <f t="shared" si="23"/>
        <v>-0.20533784997943155</v>
      </c>
      <c r="O36" s="11"/>
      <c r="P36" s="8">
        <v>10701.89</v>
      </c>
      <c r="Q36" s="3"/>
      <c r="R36" s="7">
        <f t="shared" si="24"/>
        <v>0.5537010707825778</v>
      </c>
      <c r="S36" s="3"/>
      <c r="T36" s="8">
        <v>13467.22</v>
      </c>
      <c r="U36" s="3"/>
      <c r="V36" s="7">
        <f t="shared" si="25"/>
        <v>5.4633836758044493E-2</v>
      </c>
      <c r="W36" s="3"/>
      <c r="X36" s="8">
        <f t="shared" si="26"/>
        <v>-2765.33</v>
      </c>
      <c r="Y36" s="3"/>
      <c r="Z36" s="7">
        <f t="shared" si="27"/>
        <v>-0.20533784997943155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8"/>
      <c r="E37" s="3"/>
      <c r="F37" s="7">
        <f t="shared" si="20"/>
        <v>0</v>
      </c>
      <c r="G37" s="3"/>
      <c r="H37" s="8">
        <v>13651.33</v>
      </c>
      <c r="I37" s="3"/>
      <c r="J37" s="7">
        <f t="shared" si="21"/>
        <v>5.5380734461172802E-2</v>
      </c>
      <c r="K37" s="3"/>
      <c r="L37" s="8">
        <f t="shared" si="22"/>
        <v>-13651.33</v>
      </c>
      <c r="M37" s="3"/>
      <c r="N37" s="7">
        <f t="shared" si="23"/>
        <v>-1</v>
      </c>
      <c r="O37" s="11"/>
      <c r="P37" s="8"/>
      <c r="Q37" s="3"/>
      <c r="R37" s="7">
        <f t="shared" si="24"/>
        <v>0</v>
      </c>
      <c r="S37" s="3"/>
      <c r="T37" s="8">
        <v>13651.33</v>
      </c>
      <c r="U37" s="3"/>
      <c r="V37" s="7">
        <f t="shared" si="25"/>
        <v>5.5380734461172802E-2</v>
      </c>
      <c r="W37" s="3"/>
      <c r="X37" s="8">
        <f t="shared" si="26"/>
        <v>-13651.33</v>
      </c>
      <c r="Y37" s="3"/>
      <c r="Z37" s="7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8"/>
      <c r="E38" s="3"/>
      <c r="F38" s="7">
        <f t="shared" si="20"/>
        <v>0</v>
      </c>
      <c r="G38" s="3"/>
      <c r="H38" s="8">
        <v>3261.57</v>
      </c>
      <c r="I38" s="3"/>
      <c r="J38" s="7">
        <f t="shared" si="21"/>
        <v>1.323154169568294E-2</v>
      </c>
      <c r="K38" s="3"/>
      <c r="L38" s="8">
        <f t="shared" si="22"/>
        <v>-3261.57</v>
      </c>
      <c r="M38" s="3"/>
      <c r="N38" s="7">
        <f t="shared" si="23"/>
        <v>-1</v>
      </c>
      <c r="O38" s="11"/>
      <c r="P38" s="8"/>
      <c r="Q38" s="3"/>
      <c r="R38" s="7">
        <f t="shared" si="24"/>
        <v>0</v>
      </c>
      <c r="S38" s="3"/>
      <c r="T38" s="8">
        <v>3261.57</v>
      </c>
      <c r="U38" s="3"/>
      <c r="V38" s="7">
        <f t="shared" si="25"/>
        <v>1.323154169568294E-2</v>
      </c>
      <c r="W38" s="3"/>
      <c r="X38" s="8">
        <f t="shared" si="26"/>
        <v>-3261.57</v>
      </c>
      <c r="Y38" s="3"/>
      <c r="Z38" s="7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8">
        <v>2134</v>
      </c>
      <c r="E39" s="3"/>
      <c r="F39" s="7">
        <f t="shared" si="20"/>
        <v>0.11041022520788581</v>
      </c>
      <c r="G39" s="3"/>
      <c r="H39" s="8">
        <v>28550.070000000003</v>
      </c>
      <c r="I39" s="3"/>
      <c r="J39" s="7">
        <f t="shared" si="21"/>
        <v>0.11582196353892961</v>
      </c>
      <c r="K39" s="3"/>
      <c r="L39" s="8">
        <f t="shared" si="22"/>
        <v>-26416.070000000003</v>
      </c>
      <c r="M39" s="3"/>
      <c r="N39" s="7">
        <f t="shared" si="23"/>
        <v>-0.92525412372018701</v>
      </c>
      <c r="O39" s="11"/>
      <c r="P39" s="8">
        <v>2134</v>
      </c>
      <c r="Q39" s="3"/>
      <c r="R39" s="7">
        <f t="shared" si="24"/>
        <v>0.11041022520788581</v>
      </c>
      <c r="S39" s="3"/>
      <c r="T39" s="8">
        <v>28550.070000000003</v>
      </c>
      <c r="U39" s="3"/>
      <c r="V39" s="7">
        <f t="shared" si="25"/>
        <v>0.11582196353892961</v>
      </c>
      <c r="W39" s="3"/>
      <c r="X39" s="8">
        <f t="shared" si="26"/>
        <v>-26416.070000000003</v>
      </c>
      <c r="Y39" s="3"/>
      <c r="Z39" s="7">
        <f t="shared" si="27"/>
        <v>-0.92525412372018701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8"/>
      <c r="E40" s="3"/>
      <c r="F40" s="7">
        <f t="shared" si="20"/>
        <v>0</v>
      </c>
      <c r="G40" s="3"/>
      <c r="H40" s="8">
        <v>2091</v>
      </c>
      <c r="I40" s="3"/>
      <c r="J40" s="7">
        <f t="shared" si="21"/>
        <v>8.4827716975790883E-3</v>
      </c>
      <c r="K40" s="3"/>
      <c r="L40" s="8">
        <f t="shared" si="22"/>
        <v>-2091</v>
      </c>
      <c r="M40" s="3"/>
      <c r="N40" s="7">
        <f t="shared" si="23"/>
        <v>-1</v>
      </c>
      <c r="O40" s="11"/>
      <c r="P40" s="8"/>
      <c r="Q40" s="3"/>
      <c r="R40" s="7">
        <f t="shared" si="24"/>
        <v>0</v>
      </c>
      <c r="S40" s="3"/>
      <c r="T40" s="8">
        <v>2091</v>
      </c>
      <c r="U40" s="3"/>
      <c r="V40" s="7">
        <f t="shared" si="25"/>
        <v>8.4827716975790883E-3</v>
      </c>
      <c r="W40" s="3"/>
      <c r="X40" s="8">
        <f t="shared" si="26"/>
        <v>-2091</v>
      </c>
      <c r="Y40" s="3"/>
      <c r="Z40" s="7">
        <f t="shared" si="27"/>
        <v>-1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204.75</v>
      </c>
      <c r="E41" s="1"/>
      <c r="F41" s="5">
        <f t="shared" ref="F41:F56" si="28">IF(D$12=0,0,D41/D$12)</f>
        <v>1.0593483416735997E-2</v>
      </c>
      <c r="G41" s="1"/>
      <c r="H41" s="1">
        <f>SUM(OSRRefH22_2x_0)</f>
        <v>422.69</v>
      </c>
      <c r="I41" s="1"/>
      <c r="J41" s="5">
        <f t="shared" ref="J41:J56" si="29">IF(H$12=0,0,H41/H$12)</f>
        <v>1.7147693777377832E-3</v>
      </c>
      <c r="K41" s="1"/>
      <c r="L41" s="1">
        <f t="shared" ref="L41:L56" si="30">+D41-H41</f>
        <v>-217.94</v>
      </c>
      <c r="M41" s="1"/>
      <c r="N41" s="5">
        <f t="shared" ref="N41:N56" si="31">IF(H41=0,0,L41/H41)</f>
        <v>-0.51560245096879509</v>
      </c>
      <c r="O41" s="14"/>
      <c r="P41" s="1">
        <f>SUM(OSRRefP22_2x_0)</f>
        <v>204.75</v>
      </c>
      <c r="Q41" s="1"/>
      <c r="R41" s="5">
        <f t="shared" ref="R41:R56" si="32">IF(P$12=0,0,P41/P$12)</f>
        <v>1.0593483416735997E-2</v>
      </c>
      <c r="S41" s="1"/>
      <c r="T41" s="1">
        <f>SUM(OSRRefT22_2x_0)</f>
        <v>422.69</v>
      </c>
      <c r="U41" s="1"/>
      <c r="V41" s="5">
        <f t="shared" ref="V41:V56" si="33">IF(T$12=0,0,T41/T$12)</f>
        <v>1.7147693777377832E-3</v>
      </c>
      <c r="W41" s="1"/>
      <c r="X41" s="1">
        <f t="shared" ref="X41:X56" si="34">+P41-T41</f>
        <v>-217.94</v>
      </c>
      <c r="Y41" s="1"/>
      <c r="Z41" s="5">
        <f t="shared" ref="Z41:Z56" si="35">IF(T41=0,0,X41/T41)</f>
        <v>-0.51560245096879509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8">
        <v>204.75</v>
      </c>
      <c r="E42" s="3"/>
      <c r="F42" s="7">
        <f t="shared" si="28"/>
        <v>1.0593483416735997E-2</v>
      </c>
      <c r="G42" s="3"/>
      <c r="H42" s="8">
        <v>422.69</v>
      </c>
      <c r="I42" s="3"/>
      <c r="J42" s="7">
        <f t="shared" si="29"/>
        <v>1.7147693777377832E-3</v>
      </c>
      <c r="K42" s="3"/>
      <c r="L42" s="8">
        <f t="shared" si="30"/>
        <v>-217.94</v>
      </c>
      <c r="M42" s="3"/>
      <c r="N42" s="7">
        <f t="shared" si="31"/>
        <v>-0.51560245096879509</v>
      </c>
      <c r="O42" s="11"/>
      <c r="P42" s="8">
        <v>204.75</v>
      </c>
      <c r="Q42" s="3"/>
      <c r="R42" s="7">
        <f t="shared" si="32"/>
        <v>1.0593483416735997E-2</v>
      </c>
      <c r="S42" s="3"/>
      <c r="T42" s="8">
        <v>422.69</v>
      </c>
      <c r="U42" s="3"/>
      <c r="V42" s="7">
        <f t="shared" si="33"/>
        <v>1.7147693777377832E-3</v>
      </c>
      <c r="W42" s="3"/>
      <c r="X42" s="8">
        <f t="shared" si="34"/>
        <v>-217.94</v>
      </c>
      <c r="Y42" s="3"/>
      <c r="Z42" s="7">
        <f t="shared" si="35"/>
        <v>-0.51560245096879509</v>
      </c>
    </row>
    <row r="43" spans="1:26" s="27" customFormat="1" outlineLevel="1" collapsed="1" x14ac:dyDescent="0.25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-0.1</v>
      </c>
      <c r="I43" s="1"/>
      <c r="J43" s="5">
        <f t="shared" si="29"/>
        <v>-4.0568013857384448E-7</v>
      </c>
      <c r="K43" s="1"/>
      <c r="L43" s="1">
        <f t="shared" si="30"/>
        <v>0.1</v>
      </c>
      <c r="M43" s="1"/>
      <c r="N43" s="5">
        <f t="shared" si="31"/>
        <v>-1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-0.1</v>
      </c>
      <c r="U43" s="1"/>
      <c r="V43" s="5">
        <f t="shared" si="33"/>
        <v>-4.0568013857384448E-7</v>
      </c>
      <c r="W43" s="1"/>
      <c r="X43" s="1">
        <f t="shared" si="34"/>
        <v>0.1</v>
      </c>
      <c r="Y43" s="1"/>
      <c r="Z43" s="5">
        <f t="shared" si="35"/>
        <v>-1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8"/>
      <c r="E44" s="3"/>
      <c r="F44" s="7">
        <f t="shared" si="28"/>
        <v>0</v>
      </c>
      <c r="G44" s="3"/>
      <c r="H44" s="8">
        <v>-0.1</v>
      </c>
      <c r="I44" s="3"/>
      <c r="J44" s="7">
        <f t="shared" si="29"/>
        <v>-4.0568013857384448E-7</v>
      </c>
      <c r="K44" s="3"/>
      <c r="L44" s="8">
        <f t="shared" si="30"/>
        <v>0.1</v>
      </c>
      <c r="M44" s="3"/>
      <c r="N44" s="7">
        <f t="shared" si="31"/>
        <v>-1</v>
      </c>
      <c r="O44" s="11"/>
      <c r="P44" s="8"/>
      <c r="Q44" s="3"/>
      <c r="R44" s="7">
        <f t="shared" si="32"/>
        <v>0</v>
      </c>
      <c r="S44" s="3"/>
      <c r="T44" s="8">
        <v>-0.1</v>
      </c>
      <c r="U44" s="3"/>
      <c r="V44" s="7">
        <f t="shared" si="33"/>
        <v>-4.0568013857384448E-7</v>
      </c>
      <c r="W44" s="3"/>
      <c r="X44" s="8">
        <f t="shared" si="34"/>
        <v>0.1</v>
      </c>
      <c r="Y44" s="3"/>
      <c r="Z44" s="7">
        <f t="shared" si="35"/>
        <v>-1</v>
      </c>
    </row>
    <row r="45" spans="1:26" s="27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78.63</v>
      </c>
      <c r="I45" s="1"/>
      <c r="J45" s="5">
        <f t="shared" si="29"/>
        <v>3.1898629296061388E-4</v>
      </c>
      <c r="K45" s="1"/>
      <c r="L45" s="1">
        <f t="shared" si="30"/>
        <v>-78.63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78.63</v>
      </c>
      <c r="U45" s="1"/>
      <c r="V45" s="5">
        <f t="shared" si="33"/>
        <v>3.1898629296061388E-4</v>
      </c>
      <c r="W45" s="1"/>
      <c r="X45" s="1">
        <f t="shared" si="34"/>
        <v>-78.63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8"/>
      <c r="E46" s="3"/>
      <c r="F46" s="7">
        <f t="shared" si="28"/>
        <v>0</v>
      </c>
      <c r="G46" s="3"/>
      <c r="H46" s="8">
        <v>78.63</v>
      </c>
      <c r="I46" s="3"/>
      <c r="J46" s="7">
        <f t="shared" si="29"/>
        <v>3.1898629296061388E-4</v>
      </c>
      <c r="K46" s="3"/>
      <c r="L46" s="8">
        <f t="shared" si="30"/>
        <v>-78.63</v>
      </c>
      <c r="M46" s="3"/>
      <c r="N46" s="7">
        <f t="shared" si="31"/>
        <v>-1</v>
      </c>
      <c r="O46" s="11"/>
      <c r="P46" s="8"/>
      <c r="Q46" s="3"/>
      <c r="R46" s="7">
        <f t="shared" si="32"/>
        <v>0</v>
      </c>
      <c r="S46" s="3"/>
      <c r="T46" s="8">
        <v>78.63</v>
      </c>
      <c r="U46" s="3"/>
      <c r="V46" s="7">
        <f t="shared" si="33"/>
        <v>3.1898629296061388E-4</v>
      </c>
      <c r="W46" s="3"/>
      <c r="X46" s="8">
        <f t="shared" si="34"/>
        <v>-78.63</v>
      </c>
      <c r="Y46" s="3"/>
      <c r="Z46" s="7">
        <f t="shared" si="35"/>
        <v>-1</v>
      </c>
    </row>
    <row r="47" spans="1:26" s="27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173.95</v>
      </c>
      <c r="E47" s="1"/>
      <c r="F47" s="5">
        <f t="shared" si="28"/>
        <v>8.9999337745603255E-3</v>
      </c>
      <c r="G47" s="1"/>
      <c r="H47" s="1">
        <f>SUM(OSRRefH22_5x_0)</f>
        <v>83.78</v>
      </c>
      <c r="I47" s="1"/>
      <c r="J47" s="5">
        <f t="shared" si="29"/>
        <v>3.3987882009716688E-4</v>
      </c>
      <c r="K47" s="1"/>
      <c r="L47" s="1">
        <f t="shared" si="30"/>
        <v>90.169999999999987</v>
      </c>
      <c r="M47" s="1"/>
      <c r="N47" s="5">
        <f t="shared" si="31"/>
        <v>1.0762711864406778</v>
      </c>
      <c r="O47" s="14"/>
      <c r="P47" s="1">
        <f>SUM(OSRRefP22_5x_0)</f>
        <v>173.95</v>
      </c>
      <c r="Q47" s="1"/>
      <c r="R47" s="5">
        <f t="shared" si="32"/>
        <v>8.9999337745603255E-3</v>
      </c>
      <c r="S47" s="1"/>
      <c r="T47" s="1">
        <f>SUM(OSRRefT22_5x_0)</f>
        <v>83.78</v>
      </c>
      <c r="U47" s="1"/>
      <c r="V47" s="5">
        <f t="shared" si="33"/>
        <v>3.3987882009716688E-4</v>
      </c>
      <c r="W47" s="1"/>
      <c r="X47" s="1">
        <f t="shared" si="34"/>
        <v>90.169999999999987</v>
      </c>
      <c r="Y47" s="1"/>
      <c r="Z47" s="5">
        <f t="shared" si="35"/>
        <v>1.0762711864406778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8">
        <v>173.95</v>
      </c>
      <c r="E48" s="3"/>
      <c r="F48" s="7">
        <f t="shared" si="28"/>
        <v>8.9999337745603255E-3</v>
      </c>
      <c r="G48" s="3"/>
      <c r="H48" s="8">
        <v>83.78</v>
      </c>
      <c r="I48" s="3"/>
      <c r="J48" s="7">
        <f t="shared" si="29"/>
        <v>3.3987882009716688E-4</v>
      </c>
      <c r="K48" s="3"/>
      <c r="L48" s="8">
        <f t="shared" si="30"/>
        <v>90.169999999999987</v>
      </c>
      <c r="M48" s="3"/>
      <c r="N48" s="7">
        <f t="shared" si="31"/>
        <v>1.0762711864406778</v>
      </c>
      <c r="O48" s="11"/>
      <c r="P48" s="8">
        <v>173.95</v>
      </c>
      <c r="Q48" s="3"/>
      <c r="R48" s="7">
        <f t="shared" si="32"/>
        <v>8.9999337745603255E-3</v>
      </c>
      <c r="S48" s="3"/>
      <c r="T48" s="8">
        <v>83.78</v>
      </c>
      <c r="U48" s="3"/>
      <c r="V48" s="7">
        <f t="shared" si="33"/>
        <v>3.3987882009716688E-4</v>
      </c>
      <c r="W48" s="3"/>
      <c r="X48" s="8">
        <f t="shared" si="34"/>
        <v>90.169999999999987</v>
      </c>
      <c r="Y48" s="3"/>
      <c r="Z48" s="7">
        <f t="shared" si="35"/>
        <v>1.0762711864406778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3419.55</v>
      </c>
      <c r="E49" s="1"/>
      <c r="F49" s="5">
        <f t="shared" si="28"/>
        <v>0.17692281425005901</v>
      </c>
      <c r="G49" s="1"/>
      <c r="H49" s="1">
        <f>SUM(OSRRefH22_6x_0)</f>
        <v>1389.55</v>
      </c>
      <c r="I49" s="1"/>
      <c r="J49" s="5">
        <f t="shared" si="29"/>
        <v>5.6371283655528553E-3</v>
      </c>
      <c r="K49" s="1"/>
      <c r="L49" s="1">
        <f t="shared" si="30"/>
        <v>2030.0000000000002</v>
      </c>
      <c r="M49" s="1"/>
      <c r="N49" s="5">
        <f t="shared" si="31"/>
        <v>1.460904609405923</v>
      </c>
      <c r="O49" s="14"/>
      <c r="P49" s="1">
        <f>SUM(OSRRefP22_6x_0)</f>
        <v>3419.55</v>
      </c>
      <c r="Q49" s="1"/>
      <c r="R49" s="5">
        <f t="shared" si="32"/>
        <v>0.17692281425005901</v>
      </c>
      <c r="S49" s="1"/>
      <c r="T49" s="1">
        <f>SUM(OSRRefT22_6x_0)</f>
        <v>1389.55</v>
      </c>
      <c r="U49" s="1"/>
      <c r="V49" s="5">
        <f t="shared" si="33"/>
        <v>5.6371283655528553E-3</v>
      </c>
      <c r="W49" s="1"/>
      <c r="X49" s="1">
        <f t="shared" si="34"/>
        <v>2030.0000000000002</v>
      </c>
      <c r="Y49" s="1"/>
      <c r="Z49" s="5">
        <f t="shared" si="35"/>
        <v>1.460904609405923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8">
        <v>3419.55</v>
      </c>
      <c r="E50" s="3"/>
      <c r="F50" s="7">
        <f t="shared" si="28"/>
        <v>0.17692281425005901</v>
      </c>
      <c r="G50" s="3"/>
      <c r="H50" s="8">
        <v>1389.55</v>
      </c>
      <c r="I50" s="3"/>
      <c r="J50" s="7">
        <f t="shared" si="29"/>
        <v>5.6371283655528553E-3</v>
      </c>
      <c r="K50" s="3"/>
      <c r="L50" s="8">
        <f t="shared" si="30"/>
        <v>2030.0000000000002</v>
      </c>
      <c r="M50" s="3"/>
      <c r="N50" s="7">
        <f t="shared" si="31"/>
        <v>1.460904609405923</v>
      </c>
      <c r="O50" s="11"/>
      <c r="P50" s="8">
        <v>3419.55</v>
      </c>
      <c r="Q50" s="3"/>
      <c r="R50" s="7">
        <f t="shared" si="32"/>
        <v>0.17692281425005901</v>
      </c>
      <c r="S50" s="3"/>
      <c r="T50" s="8">
        <v>1389.55</v>
      </c>
      <c r="U50" s="3"/>
      <c r="V50" s="7">
        <f t="shared" si="33"/>
        <v>5.6371283655528553E-3</v>
      </c>
      <c r="W50" s="3"/>
      <c r="X50" s="8">
        <f t="shared" si="34"/>
        <v>2030.0000000000002</v>
      </c>
      <c r="Y50" s="3"/>
      <c r="Z50" s="7">
        <f t="shared" si="35"/>
        <v>1.460904609405923</v>
      </c>
    </row>
    <row r="51" spans="1:26" s="27" customFormat="1" outlineLevel="1" collapsed="1" x14ac:dyDescent="0.25">
      <c r="A51" s="28"/>
      <c r="B51" s="14" t="str">
        <f>CONCATENATE("     ","R/H Commissions                                   ")</f>
        <v xml:space="preserve">     R/H Commissions                                   </v>
      </c>
      <c r="C51" s="14"/>
      <c r="D51" s="1">
        <f>SUM(OSRRefD22_7x_0)</f>
        <v>1151.68</v>
      </c>
      <c r="E51" s="1"/>
      <c r="F51" s="5">
        <f t="shared" si="28"/>
        <v>5.9586339347431079E-2</v>
      </c>
      <c r="G51" s="1"/>
      <c r="H51" s="1">
        <f>SUM(OSRRefH22_7x_0)</f>
        <v>19408.400000000001</v>
      </c>
      <c r="I51" s="1"/>
      <c r="J51" s="5">
        <f t="shared" si="29"/>
        <v>7.873602401496603E-2</v>
      </c>
      <c r="K51" s="1"/>
      <c r="L51" s="1">
        <f t="shared" si="30"/>
        <v>-18256.72</v>
      </c>
      <c r="M51" s="1"/>
      <c r="N51" s="5">
        <f t="shared" si="31"/>
        <v>-0.94066074483213458</v>
      </c>
      <c r="O51" s="14"/>
      <c r="P51" s="1">
        <f>SUM(OSRRefP22_7x_0)</f>
        <v>1151.68</v>
      </c>
      <c r="Q51" s="1"/>
      <c r="R51" s="5">
        <f t="shared" si="32"/>
        <v>5.9586339347431079E-2</v>
      </c>
      <c r="S51" s="1"/>
      <c r="T51" s="1">
        <f>SUM(OSRRefT22_7x_0)</f>
        <v>19408.400000000001</v>
      </c>
      <c r="U51" s="1"/>
      <c r="V51" s="5">
        <f t="shared" si="33"/>
        <v>7.873602401496603E-2</v>
      </c>
      <c r="W51" s="1"/>
      <c r="X51" s="1">
        <f t="shared" si="34"/>
        <v>-18256.72</v>
      </c>
      <c r="Y51" s="1"/>
      <c r="Z51" s="5">
        <f t="shared" si="35"/>
        <v>-0.94066074483213458</v>
      </c>
    </row>
    <row r="52" spans="1:26" s="24" customFormat="1" hidden="1" outlineLevel="2" x14ac:dyDescent="0.25">
      <c r="A52" s="29"/>
      <c r="B52" s="11" t="str">
        <f>CONCATENATE("          ", "6387", " - ", "COMMISSION DUE HOUSING")</f>
        <v xml:space="preserve">          6387 - COMMISSION DUE HOUSING</v>
      </c>
      <c r="C52" s="11"/>
      <c r="D52" s="8">
        <v>1151.68</v>
      </c>
      <c r="E52" s="3"/>
      <c r="F52" s="7">
        <f t="shared" si="28"/>
        <v>5.9586339347431079E-2</v>
      </c>
      <c r="G52" s="3"/>
      <c r="H52" s="8">
        <v>19408.400000000001</v>
      </c>
      <c r="I52" s="3"/>
      <c r="J52" s="7">
        <f t="shared" si="29"/>
        <v>7.873602401496603E-2</v>
      </c>
      <c r="K52" s="3"/>
      <c r="L52" s="8">
        <f t="shared" si="30"/>
        <v>-18256.72</v>
      </c>
      <c r="M52" s="3"/>
      <c r="N52" s="7">
        <f t="shared" si="31"/>
        <v>-0.94066074483213458</v>
      </c>
      <c r="O52" s="11"/>
      <c r="P52" s="8">
        <v>1151.68</v>
      </c>
      <c r="Q52" s="3"/>
      <c r="R52" s="7">
        <f t="shared" si="32"/>
        <v>5.9586339347431079E-2</v>
      </c>
      <c r="S52" s="3"/>
      <c r="T52" s="8">
        <v>19408.400000000001</v>
      </c>
      <c r="U52" s="3"/>
      <c r="V52" s="7">
        <f t="shared" si="33"/>
        <v>7.873602401496603E-2</v>
      </c>
      <c r="W52" s="3"/>
      <c r="X52" s="8">
        <f t="shared" si="34"/>
        <v>-18256.72</v>
      </c>
      <c r="Y52" s="3"/>
      <c r="Z52" s="7">
        <f t="shared" si="35"/>
        <v>-0.94066074483213458</v>
      </c>
    </row>
    <row r="53" spans="1:26" s="27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SUM(OSRRefD22_8x_0)</f>
        <v>9908.1500000000015</v>
      </c>
      <c r="E53" s="1"/>
      <c r="F53" s="5">
        <f t="shared" si="28"/>
        <v>0.51263405477671686</v>
      </c>
      <c r="G53" s="1"/>
      <c r="H53" s="1">
        <f>SUM(OSRRefH22_8x_0)</f>
        <v>6495.7100000000009</v>
      </c>
      <c r="I53" s="1"/>
      <c r="J53" s="5">
        <f t="shared" si="29"/>
        <v>2.6351805329355077E-2</v>
      </c>
      <c r="K53" s="1"/>
      <c r="L53" s="1">
        <f t="shared" si="30"/>
        <v>3412.4400000000005</v>
      </c>
      <c r="M53" s="1"/>
      <c r="N53" s="5">
        <f t="shared" si="31"/>
        <v>0.52533749197547308</v>
      </c>
      <c r="O53" s="14"/>
      <c r="P53" s="1">
        <f>SUM(OSRRefP22_8x_0)</f>
        <v>9908.1500000000015</v>
      </c>
      <c r="Q53" s="1"/>
      <c r="R53" s="5">
        <f t="shared" si="32"/>
        <v>0.51263405477671686</v>
      </c>
      <c r="S53" s="1"/>
      <c r="T53" s="1">
        <f>SUM(OSRRefT22_8x_0)</f>
        <v>6495.7100000000009</v>
      </c>
      <c r="U53" s="1"/>
      <c r="V53" s="5">
        <f t="shared" si="33"/>
        <v>2.6351805329355077E-2</v>
      </c>
      <c r="W53" s="1"/>
      <c r="X53" s="1">
        <f t="shared" si="34"/>
        <v>3412.4400000000005</v>
      </c>
      <c r="Y53" s="1"/>
      <c r="Z53" s="5">
        <f t="shared" si="35"/>
        <v>0.52533749197547308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8">
        <v>130.69999999999999</v>
      </c>
      <c r="E54" s="3"/>
      <c r="F54" s="7">
        <f t="shared" si="28"/>
        <v>6.7622382542974098E-3</v>
      </c>
      <c r="G54" s="3"/>
      <c r="H54" s="8">
        <v>417.32</v>
      </c>
      <c r="I54" s="3"/>
      <c r="J54" s="7">
        <f t="shared" si="29"/>
        <v>1.6929843542963677E-3</v>
      </c>
      <c r="K54" s="3"/>
      <c r="L54" s="8">
        <f t="shared" si="30"/>
        <v>-286.62</v>
      </c>
      <c r="M54" s="3"/>
      <c r="N54" s="7">
        <f t="shared" si="31"/>
        <v>-0.68681108022620529</v>
      </c>
      <c r="O54" s="11"/>
      <c r="P54" s="8">
        <v>130.69999999999999</v>
      </c>
      <c r="Q54" s="3"/>
      <c r="R54" s="7">
        <f t="shared" si="32"/>
        <v>6.7622382542974098E-3</v>
      </c>
      <c r="S54" s="3"/>
      <c r="T54" s="8">
        <v>417.32</v>
      </c>
      <c r="U54" s="3"/>
      <c r="V54" s="7">
        <f t="shared" si="33"/>
        <v>1.6929843542963677E-3</v>
      </c>
      <c r="W54" s="3"/>
      <c r="X54" s="8">
        <f t="shared" si="34"/>
        <v>-286.62</v>
      </c>
      <c r="Y54" s="3"/>
      <c r="Z54" s="7">
        <f t="shared" si="35"/>
        <v>-0.68681108022620529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8">
        <v>8314.1</v>
      </c>
      <c r="E55" s="3"/>
      <c r="F55" s="7">
        <f t="shared" si="28"/>
        <v>0.43016010000041399</v>
      </c>
      <c r="G55" s="3"/>
      <c r="H55" s="8">
        <v>3882.07</v>
      </c>
      <c r="I55" s="3"/>
      <c r="J55" s="7">
        <f t="shared" si="29"/>
        <v>1.5748786955533646E-2</v>
      </c>
      <c r="K55" s="3"/>
      <c r="L55" s="8">
        <f t="shared" si="30"/>
        <v>4432.0300000000007</v>
      </c>
      <c r="M55" s="3"/>
      <c r="N55" s="7">
        <f t="shared" si="31"/>
        <v>1.1416666881328776</v>
      </c>
      <c r="O55" s="11"/>
      <c r="P55" s="8">
        <v>8314.1</v>
      </c>
      <c r="Q55" s="3"/>
      <c r="R55" s="7">
        <f t="shared" si="32"/>
        <v>0.43016010000041399</v>
      </c>
      <c r="S55" s="3"/>
      <c r="T55" s="8">
        <v>3882.07</v>
      </c>
      <c r="U55" s="3"/>
      <c r="V55" s="7">
        <f t="shared" si="33"/>
        <v>1.5748786955533646E-2</v>
      </c>
      <c r="W55" s="3"/>
      <c r="X55" s="8">
        <f t="shared" si="34"/>
        <v>4432.0300000000007</v>
      </c>
      <c r="Y55" s="3"/>
      <c r="Z55" s="7">
        <f t="shared" si="35"/>
        <v>1.1416666881328776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8">
        <v>1463.35</v>
      </c>
      <c r="E56" s="3"/>
      <c r="F56" s="7">
        <f t="shared" si="28"/>
        <v>7.5711716522005479E-2</v>
      </c>
      <c r="G56" s="3"/>
      <c r="H56" s="8">
        <v>2196.3200000000002</v>
      </c>
      <c r="I56" s="3"/>
      <c r="J56" s="7">
        <f t="shared" si="29"/>
        <v>8.9100340195250611E-3</v>
      </c>
      <c r="K56" s="3"/>
      <c r="L56" s="8">
        <f t="shared" si="30"/>
        <v>-732.97000000000025</v>
      </c>
      <c r="M56" s="3"/>
      <c r="N56" s="7">
        <f t="shared" si="31"/>
        <v>-0.3337264150943397</v>
      </c>
      <c r="O56" s="11"/>
      <c r="P56" s="8">
        <v>1463.35</v>
      </c>
      <c r="Q56" s="3"/>
      <c r="R56" s="7">
        <f t="shared" si="32"/>
        <v>7.5711716522005479E-2</v>
      </c>
      <c r="S56" s="3"/>
      <c r="T56" s="8">
        <v>2196.3200000000002</v>
      </c>
      <c r="U56" s="3"/>
      <c r="V56" s="7">
        <f t="shared" si="33"/>
        <v>8.9100340195250611E-3</v>
      </c>
      <c r="W56" s="3"/>
      <c r="X56" s="8">
        <f t="shared" si="34"/>
        <v>-732.97000000000025</v>
      </c>
      <c r="Y56" s="3"/>
      <c r="Z56" s="7">
        <f t="shared" si="35"/>
        <v>-0.3337264150943397</v>
      </c>
    </row>
    <row r="57" spans="1:26" s="27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1929.3200000000002</v>
      </c>
      <c r="E57" s="1"/>
      <c r="F57" s="5">
        <f t="shared" ref="F57:F63" si="36">IF(D$12=0,0,D57/D$12)</f>
        <v>9.9820363494882033E-2</v>
      </c>
      <c r="G57" s="1"/>
      <c r="H57" s="1">
        <f>SUM(OSRRefH22_9x_0)</f>
        <v>7442.61</v>
      </c>
      <c r="I57" s="1"/>
      <c r="J57" s="5">
        <f t="shared" ref="J57:J63" si="37">IF(H$12=0,0,H57/H$12)</f>
        <v>3.0193190561510805E-2</v>
      </c>
      <c r="K57" s="1"/>
      <c r="L57" s="1">
        <f t="shared" ref="L57:L63" si="38">+D57-H57</f>
        <v>-5513.2899999999991</v>
      </c>
      <c r="M57" s="1"/>
      <c r="N57" s="5">
        <f t="shared" ref="N57:N63" si="39">IF(H57=0,0,L57/H57)</f>
        <v>-0.74077373394548407</v>
      </c>
      <c r="O57" s="14"/>
      <c r="P57" s="1">
        <f>SUM(OSRRefP22_9x_0)</f>
        <v>1929.3200000000002</v>
      </c>
      <c r="Q57" s="1"/>
      <c r="R57" s="5">
        <f t="shared" ref="R57:R63" si="40">IF(P$12=0,0,P57/P$12)</f>
        <v>9.9820363494882033E-2</v>
      </c>
      <c r="S57" s="1"/>
      <c r="T57" s="1">
        <f>SUM(OSRRefT22_9x_0)</f>
        <v>7442.61</v>
      </c>
      <c r="U57" s="1"/>
      <c r="V57" s="5">
        <f t="shared" ref="V57:V63" si="41">IF(T$12=0,0,T57/T$12)</f>
        <v>3.0193190561510805E-2</v>
      </c>
      <c r="W57" s="1"/>
      <c r="X57" s="1">
        <f t="shared" ref="X57:X63" si="42">+P57-T57</f>
        <v>-5513.2899999999991</v>
      </c>
      <c r="Y57" s="1"/>
      <c r="Z57" s="5">
        <f t="shared" ref="Z57:Z63" si="43">IF(T57=0,0,X57/T57)</f>
        <v>-0.74077373394548407</v>
      </c>
    </row>
    <row r="58" spans="1:26" s="24" customFormat="1" hidden="1" outlineLevel="2" x14ac:dyDescent="0.25">
      <c r="A58" s="29"/>
      <c r="B58" s="11" t="str">
        <f>CONCATENATE("          ", "6235", " - ", "COVID-19 EXPENSES")</f>
        <v xml:space="preserve">          6235 - COVID-19 EXPENSES</v>
      </c>
      <c r="C58" s="11"/>
      <c r="D58" s="8">
        <v>26.92</v>
      </c>
      <c r="E58" s="3"/>
      <c r="F58" s="7">
        <f t="shared" si="36"/>
        <v>1.3928037781613337E-3</v>
      </c>
      <c r="G58" s="3"/>
      <c r="H58" s="8"/>
      <c r="I58" s="3"/>
      <c r="J58" s="7">
        <f t="shared" si="37"/>
        <v>0</v>
      </c>
      <c r="K58" s="3"/>
      <c r="L58" s="8">
        <f t="shared" si="38"/>
        <v>26.92</v>
      </c>
      <c r="M58" s="3"/>
      <c r="N58" s="7">
        <f t="shared" si="39"/>
        <v>0</v>
      </c>
      <c r="O58" s="11"/>
      <c r="P58" s="8">
        <v>26.92</v>
      </c>
      <c r="Q58" s="3"/>
      <c r="R58" s="7">
        <f t="shared" si="40"/>
        <v>1.3928037781613337E-3</v>
      </c>
      <c r="S58" s="3"/>
      <c r="T58" s="8"/>
      <c r="U58" s="3"/>
      <c r="V58" s="7">
        <f t="shared" si="41"/>
        <v>0</v>
      </c>
      <c r="W58" s="3"/>
      <c r="X58" s="8">
        <f t="shared" si="42"/>
        <v>26.92</v>
      </c>
      <c r="Y58" s="3"/>
      <c r="Z58" s="7">
        <f t="shared" si="43"/>
        <v>0</v>
      </c>
    </row>
    <row r="59" spans="1:26" s="24" customFormat="1" hidden="1" outlineLevel="2" x14ac:dyDescent="0.25">
      <c r="A59" s="29"/>
      <c r="B59" s="11" t="str">
        <f>CONCATENATE("          ", "6237", " - ", "JANITORIAL SUPPLIES")</f>
        <v xml:space="preserve">          6237 - JANITORIAL SUPPLIES</v>
      </c>
      <c r="C59" s="11"/>
      <c r="D59" s="8">
        <v>1188.04</v>
      </c>
      <c r="E59" s="3"/>
      <c r="F59" s="7">
        <f t="shared" si="36"/>
        <v>6.1467555743194305E-2</v>
      </c>
      <c r="G59" s="3"/>
      <c r="H59" s="8">
        <v>3299.97</v>
      </c>
      <c r="I59" s="3"/>
      <c r="J59" s="7">
        <f t="shared" si="37"/>
        <v>1.3387322868895294E-2</v>
      </c>
      <c r="K59" s="3"/>
      <c r="L59" s="8">
        <f t="shared" si="38"/>
        <v>-2111.9299999999998</v>
      </c>
      <c r="M59" s="3"/>
      <c r="N59" s="7">
        <f t="shared" si="39"/>
        <v>-0.63998460592065987</v>
      </c>
      <c r="O59" s="11"/>
      <c r="P59" s="8">
        <v>1188.04</v>
      </c>
      <c r="Q59" s="3"/>
      <c r="R59" s="7">
        <f t="shared" si="40"/>
        <v>6.1467555743194305E-2</v>
      </c>
      <c r="S59" s="3"/>
      <c r="T59" s="8">
        <v>3299.97</v>
      </c>
      <c r="U59" s="3"/>
      <c r="V59" s="7">
        <f t="shared" si="41"/>
        <v>1.3387322868895294E-2</v>
      </c>
      <c r="W59" s="3"/>
      <c r="X59" s="8">
        <f t="shared" si="42"/>
        <v>-2111.9299999999998</v>
      </c>
      <c r="Y59" s="3"/>
      <c r="Z59" s="7">
        <f t="shared" si="43"/>
        <v>-0.63998460592065987</v>
      </c>
    </row>
    <row r="60" spans="1:26" s="24" customFormat="1" hidden="1" outlineLevel="2" x14ac:dyDescent="0.25">
      <c r="A60" s="29"/>
      <c r="B60" s="11" t="str">
        <f>CONCATENATE("          ", "6239", " - ", "KITCHEN SUPPLIES")</f>
        <v xml:space="preserve">          6239 - KITCHEN SUPPLIES</v>
      </c>
      <c r="C60" s="11"/>
      <c r="D60" s="8">
        <v>50</v>
      </c>
      <c r="E60" s="3"/>
      <c r="F60" s="7">
        <f t="shared" si="36"/>
        <v>2.5869312372981679E-3</v>
      </c>
      <c r="G60" s="3"/>
      <c r="H60" s="8">
        <v>278.73</v>
      </c>
      <c r="I60" s="3"/>
      <c r="J60" s="7">
        <f t="shared" si="37"/>
        <v>1.1307522502468767E-3</v>
      </c>
      <c r="K60" s="3"/>
      <c r="L60" s="8">
        <f t="shared" si="38"/>
        <v>-228.73000000000002</v>
      </c>
      <c r="M60" s="3"/>
      <c r="N60" s="7">
        <f t="shared" si="39"/>
        <v>-0.82061493201305924</v>
      </c>
      <c r="O60" s="11"/>
      <c r="P60" s="8">
        <v>50</v>
      </c>
      <c r="Q60" s="3"/>
      <c r="R60" s="7">
        <f t="shared" si="40"/>
        <v>2.5869312372981679E-3</v>
      </c>
      <c r="S60" s="3"/>
      <c r="T60" s="8">
        <v>278.73</v>
      </c>
      <c r="U60" s="3"/>
      <c r="V60" s="7">
        <f t="shared" si="41"/>
        <v>1.1307522502468767E-3</v>
      </c>
      <c r="W60" s="3"/>
      <c r="X60" s="8">
        <f t="shared" si="42"/>
        <v>-228.73000000000002</v>
      </c>
      <c r="Y60" s="3"/>
      <c r="Z60" s="7">
        <f t="shared" si="43"/>
        <v>-0.82061493201305924</v>
      </c>
    </row>
    <row r="61" spans="1:26" s="24" customFormat="1" hidden="1" outlineLevel="2" x14ac:dyDescent="0.25">
      <c r="A61" s="29"/>
      <c r="B61" s="11" t="str">
        <f>CONCATENATE("          ", "6241", " - ", "OFFICE EXPENSE")</f>
        <v xml:space="preserve">          6241 - OFFICE EXPENSE</v>
      </c>
      <c r="C61" s="11"/>
      <c r="D61" s="8">
        <v>16.48</v>
      </c>
      <c r="E61" s="3"/>
      <c r="F61" s="7">
        <f t="shared" si="36"/>
        <v>8.5265253581347613E-4</v>
      </c>
      <c r="G61" s="3"/>
      <c r="H61" s="8">
        <v>474.93</v>
      </c>
      <c r="I61" s="3"/>
      <c r="J61" s="7">
        <f t="shared" si="37"/>
        <v>1.9266966821287596E-3</v>
      </c>
      <c r="K61" s="3"/>
      <c r="L61" s="8">
        <f t="shared" si="38"/>
        <v>-458.45</v>
      </c>
      <c r="M61" s="3"/>
      <c r="N61" s="7">
        <f t="shared" si="39"/>
        <v>-0.96530014949571508</v>
      </c>
      <c r="O61" s="11"/>
      <c r="P61" s="8">
        <v>16.48</v>
      </c>
      <c r="Q61" s="3"/>
      <c r="R61" s="7">
        <f t="shared" si="40"/>
        <v>8.5265253581347613E-4</v>
      </c>
      <c r="S61" s="3"/>
      <c r="T61" s="8">
        <v>474.93</v>
      </c>
      <c r="U61" s="3"/>
      <c r="V61" s="7">
        <f t="shared" si="41"/>
        <v>1.9266966821287596E-3</v>
      </c>
      <c r="W61" s="3"/>
      <c r="X61" s="8">
        <f t="shared" si="42"/>
        <v>-458.45</v>
      </c>
      <c r="Y61" s="3"/>
      <c r="Z61" s="7">
        <f t="shared" si="43"/>
        <v>-0.96530014949571508</v>
      </c>
    </row>
    <row r="62" spans="1:26" s="24" customFormat="1" hidden="1" outlineLevel="2" x14ac:dyDescent="0.25">
      <c r="A62" s="29"/>
      <c r="B62" s="11" t="str">
        <f>CONCATENATE("          ", "6243", " - ", "PAPER SUPPLIES")</f>
        <v xml:space="preserve">          6243 - PAPER SUPPLIES</v>
      </c>
      <c r="C62" s="11"/>
      <c r="D62" s="8">
        <v>647.88</v>
      </c>
      <c r="E62" s="3"/>
      <c r="F62" s="7">
        <f t="shared" si="36"/>
        <v>3.3520420200414743E-2</v>
      </c>
      <c r="G62" s="3"/>
      <c r="H62" s="8">
        <v>2166.56</v>
      </c>
      <c r="I62" s="3"/>
      <c r="J62" s="7">
        <f t="shared" si="37"/>
        <v>8.7893036102854837E-3</v>
      </c>
      <c r="K62" s="3"/>
      <c r="L62" s="8">
        <f t="shared" si="38"/>
        <v>-1518.6799999999998</v>
      </c>
      <c r="M62" s="3"/>
      <c r="N62" s="7">
        <f t="shared" si="39"/>
        <v>-0.7009637397533417</v>
      </c>
      <c r="O62" s="11"/>
      <c r="P62" s="8">
        <v>647.88</v>
      </c>
      <c r="Q62" s="3"/>
      <c r="R62" s="7">
        <f t="shared" si="40"/>
        <v>3.3520420200414743E-2</v>
      </c>
      <c r="S62" s="3"/>
      <c r="T62" s="8">
        <v>2166.56</v>
      </c>
      <c r="U62" s="3"/>
      <c r="V62" s="7">
        <f t="shared" si="41"/>
        <v>8.7893036102854837E-3</v>
      </c>
      <c r="W62" s="3"/>
      <c r="X62" s="8">
        <f t="shared" si="42"/>
        <v>-1518.6799999999998</v>
      </c>
      <c r="Y62" s="3"/>
      <c r="Z62" s="7">
        <f t="shared" si="43"/>
        <v>-0.7009637397533417</v>
      </c>
    </row>
    <row r="63" spans="1:26" s="24" customFormat="1" hidden="1" outlineLevel="2" x14ac:dyDescent="0.25">
      <c r="A63" s="29"/>
      <c r="B63" s="11" t="str">
        <f>CONCATENATE("          ", "6248", " - ", "UNIFORMS")</f>
        <v xml:space="preserve">          6248 - UNIFORMS</v>
      </c>
      <c r="C63" s="11"/>
      <c r="D63" s="8"/>
      <c r="E63" s="3"/>
      <c r="F63" s="7">
        <f t="shared" si="36"/>
        <v>0</v>
      </c>
      <c r="G63" s="3"/>
      <c r="H63" s="8">
        <v>1222.42</v>
      </c>
      <c r="I63" s="3"/>
      <c r="J63" s="7">
        <f t="shared" si="37"/>
        <v>4.9591151499543901E-3</v>
      </c>
      <c r="K63" s="3"/>
      <c r="L63" s="8">
        <f t="shared" si="38"/>
        <v>-1222.42</v>
      </c>
      <c r="M63" s="3"/>
      <c r="N63" s="7">
        <f t="shared" si="39"/>
        <v>-1</v>
      </c>
      <c r="O63" s="11"/>
      <c r="P63" s="8"/>
      <c r="Q63" s="3"/>
      <c r="R63" s="7">
        <f t="shared" si="40"/>
        <v>0</v>
      </c>
      <c r="S63" s="3"/>
      <c r="T63" s="8">
        <v>1222.42</v>
      </c>
      <c r="U63" s="3"/>
      <c r="V63" s="7">
        <f t="shared" si="41"/>
        <v>4.9591151499543901E-3</v>
      </c>
      <c r="W63" s="3"/>
      <c r="X63" s="8">
        <f t="shared" si="42"/>
        <v>-1222.42</v>
      </c>
      <c r="Y63" s="3"/>
      <c r="Z63" s="7">
        <f t="shared" si="43"/>
        <v>-1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SUM(OSRRefD22_10x_0)</f>
        <v>139</v>
      </c>
      <c r="E64" s="1"/>
      <c r="F64" s="5">
        <f t="shared" ref="F64:F69" si="44">IF(D$12=0,0,D64/D$12)</f>
        <v>7.191668839688907E-3</v>
      </c>
      <c r="G64" s="1"/>
      <c r="H64" s="1">
        <f>SUM(OSRRefH22_10x_0)</f>
        <v>79.8</v>
      </c>
      <c r="I64" s="1"/>
      <c r="J64" s="5">
        <f t="shared" ref="J64:J69" si="45">IF(H$12=0,0,H64/H$12)</f>
        <v>3.2373275058192785E-4</v>
      </c>
      <c r="K64" s="1"/>
      <c r="L64" s="1">
        <f t="shared" ref="L64:L69" si="46">+D64-H64</f>
        <v>59.2</v>
      </c>
      <c r="M64" s="1"/>
      <c r="N64" s="5">
        <f t="shared" ref="N64:N69" si="47">IF(H64=0,0,L64/H64)</f>
        <v>0.74185463659147877</v>
      </c>
      <c r="O64" s="14"/>
      <c r="P64" s="1">
        <f>SUM(OSRRefP22_10x_0)</f>
        <v>139</v>
      </c>
      <c r="Q64" s="1"/>
      <c r="R64" s="5">
        <f t="shared" ref="R64:R69" si="48">IF(P$12=0,0,P64/P$12)</f>
        <v>7.191668839688907E-3</v>
      </c>
      <c r="S64" s="1"/>
      <c r="T64" s="1">
        <f>SUM(OSRRefT22_10x_0)</f>
        <v>79.8</v>
      </c>
      <c r="U64" s="1"/>
      <c r="V64" s="5">
        <f t="shared" ref="V64:V69" si="49">IF(T$12=0,0,T64/T$12)</f>
        <v>3.2373275058192785E-4</v>
      </c>
      <c r="W64" s="1"/>
      <c r="X64" s="1">
        <f t="shared" ref="X64:X69" si="50">+P64-T64</f>
        <v>59.2</v>
      </c>
      <c r="Y64" s="1"/>
      <c r="Z64" s="5">
        <f t="shared" ref="Z64:Z69" si="51">IF(T64=0,0,X64/T64)</f>
        <v>0.74185463659147877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8">
        <v>139</v>
      </c>
      <c r="E65" s="3"/>
      <c r="F65" s="7">
        <f t="shared" si="44"/>
        <v>7.191668839688907E-3</v>
      </c>
      <c r="G65" s="3"/>
      <c r="H65" s="8">
        <v>79.8</v>
      </c>
      <c r="I65" s="3"/>
      <c r="J65" s="7">
        <f t="shared" si="45"/>
        <v>3.2373275058192785E-4</v>
      </c>
      <c r="K65" s="3"/>
      <c r="L65" s="8">
        <f t="shared" si="46"/>
        <v>59.2</v>
      </c>
      <c r="M65" s="3"/>
      <c r="N65" s="7">
        <f t="shared" si="47"/>
        <v>0.74185463659147877</v>
      </c>
      <c r="O65" s="11"/>
      <c r="P65" s="8">
        <v>139</v>
      </c>
      <c r="Q65" s="3"/>
      <c r="R65" s="7">
        <f t="shared" si="48"/>
        <v>7.191668839688907E-3</v>
      </c>
      <c r="S65" s="3"/>
      <c r="T65" s="8">
        <v>79.8</v>
      </c>
      <c r="U65" s="3"/>
      <c r="V65" s="7">
        <f t="shared" si="49"/>
        <v>3.2373275058192785E-4</v>
      </c>
      <c r="W65" s="3"/>
      <c r="X65" s="8">
        <f t="shared" si="50"/>
        <v>59.2</v>
      </c>
      <c r="Y65" s="3"/>
      <c r="Z65" s="7">
        <f t="shared" si="51"/>
        <v>0.74185463659147877</v>
      </c>
    </row>
    <row r="66" spans="1:26" s="27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SUM(OSRRefD22_11x_0)</f>
        <v>0</v>
      </c>
      <c r="E66" s="1"/>
      <c r="F66" s="5">
        <f t="shared" si="44"/>
        <v>0</v>
      </c>
      <c r="G66" s="1"/>
      <c r="H66" s="1">
        <f>SUM(OSRRefH22_11x_0)</f>
        <v>344.2</v>
      </c>
      <c r="I66" s="1"/>
      <c r="J66" s="5">
        <f t="shared" si="45"/>
        <v>1.3963510369711725E-3</v>
      </c>
      <c r="K66" s="1"/>
      <c r="L66" s="1">
        <f t="shared" si="46"/>
        <v>-344.2</v>
      </c>
      <c r="M66" s="1"/>
      <c r="N66" s="5">
        <f t="shared" si="47"/>
        <v>-1</v>
      </c>
      <c r="O66" s="14"/>
      <c r="P66" s="1">
        <f>SUM(OSRRefP22_11x_0)</f>
        <v>0</v>
      </c>
      <c r="Q66" s="1"/>
      <c r="R66" s="5">
        <f t="shared" si="48"/>
        <v>0</v>
      </c>
      <c r="S66" s="1"/>
      <c r="T66" s="1">
        <f>SUM(OSRRefT22_11x_0)</f>
        <v>344.2</v>
      </c>
      <c r="U66" s="1"/>
      <c r="V66" s="5">
        <f t="shared" si="49"/>
        <v>1.3963510369711725E-3</v>
      </c>
      <c r="W66" s="1"/>
      <c r="X66" s="1">
        <f t="shared" si="50"/>
        <v>-344.2</v>
      </c>
      <c r="Y66" s="1"/>
      <c r="Z66" s="5">
        <f t="shared" si="51"/>
        <v>-1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8"/>
      <c r="E67" s="3"/>
      <c r="F67" s="7">
        <f t="shared" si="44"/>
        <v>0</v>
      </c>
      <c r="G67" s="3"/>
      <c r="H67" s="8">
        <v>344.2</v>
      </c>
      <c r="I67" s="3"/>
      <c r="J67" s="7">
        <f t="shared" si="45"/>
        <v>1.3963510369711725E-3</v>
      </c>
      <c r="K67" s="3"/>
      <c r="L67" s="8">
        <f t="shared" si="46"/>
        <v>-344.2</v>
      </c>
      <c r="M67" s="3"/>
      <c r="N67" s="7">
        <f t="shared" si="47"/>
        <v>-1</v>
      </c>
      <c r="O67" s="11"/>
      <c r="P67" s="8"/>
      <c r="Q67" s="3"/>
      <c r="R67" s="7">
        <f t="shared" si="48"/>
        <v>0</v>
      </c>
      <c r="S67" s="3"/>
      <c r="T67" s="8">
        <v>344.2</v>
      </c>
      <c r="U67" s="3"/>
      <c r="V67" s="7">
        <f t="shared" si="49"/>
        <v>1.3963510369711725E-3</v>
      </c>
      <c r="W67" s="3"/>
      <c r="X67" s="8">
        <f t="shared" si="50"/>
        <v>-344.2</v>
      </c>
      <c r="Y67" s="3"/>
      <c r="Z67" s="7">
        <f t="shared" si="51"/>
        <v>-1</v>
      </c>
    </row>
    <row r="68" spans="1:26" s="27" customFormat="1" outlineLevel="1" collapsed="1" x14ac:dyDescent="0.25">
      <c r="A68" s="28"/>
      <c r="B68" s="14" t="str">
        <f>CONCATENATE("     ","Travel                                            ")</f>
        <v xml:space="preserve">     Travel                                            </v>
      </c>
      <c r="C68" s="14"/>
      <c r="D68" s="1">
        <f>SUM(OSRRefD22_12x_0)</f>
        <v>0</v>
      </c>
      <c r="E68" s="1"/>
      <c r="F68" s="5">
        <f t="shared" si="44"/>
        <v>0</v>
      </c>
      <c r="G68" s="1"/>
      <c r="H68" s="1">
        <f>SUM(OSRRefH22_12x_0)</f>
        <v>1429.86</v>
      </c>
      <c r="I68" s="1"/>
      <c r="J68" s="5">
        <f t="shared" si="45"/>
        <v>5.8006580294119722E-3</v>
      </c>
      <c r="K68" s="1"/>
      <c r="L68" s="1">
        <f t="shared" si="46"/>
        <v>-1429.86</v>
      </c>
      <c r="M68" s="1"/>
      <c r="N68" s="5">
        <f t="shared" si="47"/>
        <v>-1</v>
      </c>
      <c r="O68" s="14"/>
      <c r="P68" s="1">
        <f>SUM(OSRRefP22_12x_0)</f>
        <v>0</v>
      </c>
      <c r="Q68" s="1"/>
      <c r="R68" s="5">
        <f t="shared" si="48"/>
        <v>0</v>
      </c>
      <c r="S68" s="1"/>
      <c r="T68" s="1">
        <f>SUM(OSRRefT22_12x_0)</f>
        <v>1429.86</v>
      </c>
      <c r="U68" s="1"/>
      <c r="V68" s="5">
        <f t="shared" si="49"/>
        <v>5.8006580294119722E-3</v>
      </c>
      <c r="W68" s="1"/>
      <c r="X68" s="1">
        <f t="shared" si="50"/>
        <v>-1429.86</v>
      </c>
      <c r="Y68" s="1"/>
      <c r="Z68" s="5">
        <f t="shared" si="51"/>
        <v>-1</v>
      </c>
    </row>
    <row r="69" spans="1:26" s="24" customFormat="1" hidden="1" outlineLevel="2" x14ac:dyDescent="0.25">
      <c r="A69" s="29"/>
      <c r="B69" s="11" t="str">
        <f>CONCATENATE("          ", "6292", " - ", "TRAVEL/CONFERENCE")</f>
        <v xml:space="preserve">          6292 - TRAVEL/CONFERENCE</v>
      </c>
      <c r="C69" s="11"/>
      <c r="D69" s="8"/>
      <c r="E69" s="3"/>
      <c r="F69" s="7">
        <f t="shared" si="44"/>
        <v>0</v>
      </c>
      <c r="G69" s="3"/>
      <c r="H69" s="8">
        <v>1429.86</v>
      </c>
      <c r="I69" s="3"/>
      <c r="J69" s="7">
        <f t="shared" si="45"/>
        <v>5.8006580294119722E-3</v>
      </c>
      <c r="K69" s="3"/>
      <c r="L69" s="8">
        <f t="shared" si="46"/>
        <v>-1429.86</v>
      </c>
      <c r="M69" s="3"/>
      <c r="N69" s="7">
        <f t="shared" si="47"/>
        <v>-1</v>
      </c>
      <c r="O69" s="11"/>
      <c r="P69" s="8"/>
      <c r="Q69" s="3"/>
      <c r="R69" s="7">
        <f t="shared" si="48"/>
        <v>0</v>
      </c>
      <c r="S69" s="3"/>
      <c r="T69" s="8">
        <v>1429.86</v>
      </c>
      <c r="U69" s="3"/>
      <c r="V69" s="7">
        <f t="shared" si="49"/>
        <v>5.8006580294119722E-3</v>
      </c>
      <c r="W69" s="3"/>
      <c r="X69" s="8">
        <f t="shared" si="50"/>
        <v>-1429.86</v>
      </c>
      <c r="Y69" s="3"/>
      <c r="Z69" s="7">
        <f t="shared" si="51"/>
        <v>-1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x14ac:dyDescent="0.25">
      <c r="A73" s="10"/>
      <c r="B73" s="26" t="s">
        <v>3</v>
      </c>
      <c r="C73" s="26"/>
      <c r="D73" s="19">
        <f>+D21-D23+D71</f>
        <v>-51821.229999999996</v>
      </c>
      <c r="E73" s="13"/>
      <c r="F73" s="20">
        <f>IF(D$12=0,0,D73/D$12)</f>
        <v>-2.6811591728442585</v>
      </c>
      <c r="G73" s="13"/>
      <c r="H73" s="19">
        <f>+H21-H23+H71</f>
        <v>25671.879999999946</v>
      </c>
      <c r="I73" s="13"/>
      <c r="J73" s="20">
        <f>IF(H$12=0,0,H73/H$12)</f>
        <v>0.10414571835851084</v>
      </c>
      <c r="K73" s="16"/>
      <c r="L73" s="19">
        <f>+D73-H73</f>
        <v>-77493.109999999942</v>
      </c>
      <c r="M73" s="16"/>
      <c r="N73" s="20">
        <f>IF(H73=0,0,L73/H73)</f>
        <v>-3.0185989495120773</v>
      </c>
      <c r="O73" s="25"/>
      <c r="P73" s="19">
        <f>+P21-P23+P71</f>
        <v>-51821.229999999996</v>
      </c>
      <c r="Q73" s="13"/>
      <c r="R73" s="20">
        <f>IF(P$12=0,0,P73/P$12)</f>
        <v>-2.6811591728442585</v>
      </c>
      <c r="S73" s="13"/>
      <c r="T73" s="19">
        <f>+T21-T23+T71</f>
        <v>25671.879999999946</v>
      </c>
      <c r="U73" s="13"/>
      <c r="V73" s="20">
        <f>IF(T$12=0,0,T73/T$12)</f>
        <v>0.10414571835851084</v>
      </c>
      <c r="W73" s="16"/>
      <c r="X73" s="19">
        <f>+P73-T73</f>
        <v>-77493.109999999942</v>
      </c>
      <c r="Y73" s="16"/>
      <c r="Z73" s="20">
        <f>IF(T73=0,0,X73/T73)</f>
        <v>-3.0185989495120773</v>
      </c>
    </row>
    <row r="74" spans="1:26" x14ac:dyDescent="0.25">
      <c r="A74" s="9"/>
      <c r="B74" s="10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x14ac:dyDescent="0.25">
      <c r="A75" s="51"/>
      <c r="B75" s="10" t="s">
        <v>13</v>
      </c>
      <c r="C75" s="10"/>
      <c r="D75" s="4">
        <v>9295.7000000000007</v>
      </c>
      <c r="E75" s="4"/>
      <c r="F75" s="12">
        <f>IF(D$12=0,0,D75/D$12)</f>
        <v>0.48094673405105159</v>
      </c>
      <c r="G75" s="4"/>
      <c r="H75" s="4">
        <v>51254.53</v>
      </c>
      <c r="I75" s="4"/>
      <c r="J75" s="12">
        <f>IF(H$12=0,0,H75/H$12)</f>
        <v>0.20792944832937268</v>
      </c>
      <c r="K75" s="4"/>
      <c r="L75" s="4">
        <f>+D75-H75</f>
        <v>-41958.83</v>
      </c>
      <c r="M75" s="4"/>
      <c r="N75" s="12">
        <f>IF(H75=0,0,L75/H75)</f>
        <v>-0.81863651856723696</v>
      </c>
      <c r="O75" s="10"/>
      <c r="P75" s="4">
        <v>9295.7000000000007</v>
      </c>
      <c r="Q75" s="4"/>
      <c r="R75" s="12">
        <f>IF(P$12=0,0,P75/P$12)</f>
        <v>0.48094673405105159</v>
      </c>
      <c r="S75" s="4"/>
      <c r="T75" s="4">
        <v>51254.53</v>
      </c>
      <c r="U75" s="4"/>
      <c r="V75" s="12">
        <f>IF(T$12=0,0,T75/T$12)</f>
        <v>0.20792944832937268</v>
      </c>
      <c r="W75" s="4"/>
      <c r="X75" s="4">
        <f>+P75-T75</f>
        <v>-41958.83</v>
      </c>
      <c r="Y75" s="4"/>
      <c r="Z75" s="12">
        <f>IF(T75=0,0,X75/T75)</f>
        <v>-0.81863651856723696</v>
      </c>
    </row>
    <row r="76" spans="1:26" x14ac:dyDescent="0.25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ht="15.75" thickBot="1" x14ac:dyDescent="0.3">
      <c r="A77" s="10"/>
      <c r="B77" s="26" t="s">
        <v>4</v>
      </c>
      <c r="C77" s="26"/>
      <c r="D77" s="35">
        <f>+D73-D75</f>
        <v>-61116.929999999993</v>
      </c>
      <c r="E77" s="13"/>
      <c r="F77" s="30">
        <f>IF(D$12=0,0,D77/D$12)</f>
        <v>-3.1621059068953099</v>
      </c>
      <c r="G77" s="13"/>
      <c r="H77" s="35">
        <f>+H73-H75</f>
        <v>-25582.650000000052</v>
      </c>
      <c r="I77" s="13"/>
      <c r="J77" s="30">
        <f>IF(H$12=0,0,H77/H$12)</f>
        <v>-0.10378372997086183</v>
      </c>
      <c r="K77" s="16"/>
      <c r="L77" s="35">
        <f>D77-H77</f>
        <v>-35534.279999999941</v>
      </c>
      <c r="M77" s="16"/>
      <c r="N77" s="30">
        <f>IF(H77=0,0,L77/H77)</f>
        <v>1.3889991849945127</v>
      </c>
      <c r="O77" s="25"/>
      <c r="P77" s="35">
        <f>+P73-P75</f>
        <v>-61116.929999999993</v>
      </c>
      <c r="Q77" s="13"/>
      <c r="R77" s="30">
        <f>IF(P$12=0,0,P77/P$12)</f>
        <v>-3.1621059068953099</v>
      </c>
      <c r="S77" s="13"/>
      <c r="T77" s="35">
        <f>+T73-T75</f>
        <v>-25582.650000000052</v>
      </c>
      <c r="U77" s="13"/>
      <c r="V77" s="30">
        <f>IF(T$12=0,0,T77/T$12)</f>
        <v>-0.10378372997086183</v>
      </c>
      <c r="W77" s="16"/>
      <c r="X77" s="35">
        <f>P77-T77</f>
        <v>-35534.279999999941</v>
      </c>
      <c r="Y77" s="16"/>
      <c r="Z77" s="30">
        <f>IF(T77=0,0,X77/T77)</f>
        <v>1.3889991849945127</v>
      </c>
    </row>
    <row r="78" spans="1:26" ht="15.75" thickTop="1" x14ac:dyDescent="0.25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x14ac:dyDescent="0.25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ht="15.75" thickBot="1" x14ac:dyDescent="0.3">
      <c r="A80" s="10"/>
      <c r="B80" s="26" t="s">
        <v>5</v>
      </c>
      <c r="C80" s="26"/>
      <c r="D80" s="31">
        <f>SUM(D77:D79)</f>
        <v>-61116.929999999993</v>
      </c>
      <c r="E80" s="13"/>
      <c r="F80" s="32">
        <f>IF(D$12=0,0,D80/D$12)</f>
        <v>-3.1621059068953099</v>
      </c>
      <c r="G80" s="13"/>
      <c r="H80" s="31">
        <f>SUM(H77:H79)</f>
        <v>-25582.650000000052</v>
      </c>
      <c r="I80" s="13"/>
      <c r="J80" s="32">
        <f>IF(H$12=0,0,H80/H$12)</f>
        <v>-0.10378372997086183</v>
      </c>
      <c r="K80" s="16"/>
      <c r="L80" s="31">
        <f>+D80-H80</f>
        <v>-35534.279999999941</v>
      </c>
      <c r="M80" s="16"/>
      <c r="N80" s="32">
        <f>IF(H80=0,0,L80/H80)</f>
        <v>1.3889991849945127</v>
      </c>
      <c r="O80" s="25"/>
      <c r="P80" s="31">
        <f>SUM(P77:P79)</f>
        <v>-61116.929999999993</v>
      </c>
      <c r="Q80" s="13"/>
      <c r="R80" s="32">
        <f>IF(P$12=0,0,P80/P$12)</f>
        <v>-3.1621059068953099</v>
      </c>
      <c r="S80" s="13"/>
      <c r="T80" s="31">
        <f>SUM(T77:T79)</f>
        <v>-25582.650000000052</v>
      </c>
      <c r="U80" s="13"/>
      <c r="V80" s="32">
        <f>IF(T$12=0,0,T80/T$12)</f>
        <v>-0.10378372997086183</v>
      </c>
      <c r="W80" s="16"/>
      <c r="X80" s="31">
        <f>+P80-T80</f>
        <v>-35534.279999999941</v>
      </c>
      <c r="Y80" s="16"/>
      <c r="Z80" s="32">
        <f>IF(T80=0,0,X80/T80)</f>
        <v>1.3889991849945127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9">
        <v>44109.414833368057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2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25">
      <c r="A16" s="10"/>
      <c r="B16" s="26" t="s">
        <v>6</v>
      </c>
      <c r="C16" s="26"/>
      <c r="D16" s="19">
        <f>D12-D14</f>
        <v>0</v>
      </c>
      <c r="E16" s="13"/>
      <c r="F16" s="20">
        <f>IF(D$12=0,0,D16/D$12)</f>
        <v>0</v>
      </c>
      <c r="G16" s="13"/>
      <c r="H16" s="19">
        <f>H12-H14</f>
        <v>0</v>
      </c>
      <c r="I16" s="13"/>
      <c r="J16" s="20">
        <f>IF(H$12=0,0,H16/H$12)</f>
        <v>0</v>
      </c>
      <c r="K16" s="16"/>
      <c r="L16" s="19">
        <f>+D16-H16</f>
        <v>0</v>
      </c>
      <c r="M16" s="16"/>
      <c r="N16" s="20">
        <f>IF(H16=0,0,L16/H16)</f>
        <v>0</v>
      </c>
      <c r="O16" s="25"/>
      <c r="P16" s="19">
        <f>P12-P14</f>
        <v>0</v>
      </c>
      <c r="Q16" s="13"/>
      <c r="R16" s="20">
        <f>IF(P$12=0,0,P16/P$12)</f>
        <v>0</v>
      </c>
      <c r="S16" s="13"/>
      <c r="T16" s="19">
        <f>T12-T14</f>
        <v>0</v>
      </c>
      <c r="U16" s="13"/>
      <c r="V16" s="20">
        <f>IF(T$12=0,0,T16/T$12)</f>
        <v>0</v>
      </c>
      <c r="W16" s="16"/>
      <c r="X16" s="19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1">
        <f>SUM(OSRRefD22x_0)</f>
        <v>75.5</v>
      </c>
      <c r="E18" s="21"/>
      <c r="F18" s="34">
        <f t="shared" ref="F18:F21" si="0">IF(D$12=0,0,D18/D$12)</f>
        <v>0</v>
      </c>
      <c r="G18" s="21"/>
      <c r="H18" s="21">
        <f>SUM(OSRRefH22x_0)</f>
        <v>1362.1999999999998</v>
      </c>
      <c r="I18" s="21"/>
      <c r="J18" s="34">
        <f t="shared" ref="J18:J21" si="1">IF(H$12=0,0,H18/H$12)</f>
        <v>0</v>
      </c>
      <c r="K18" s="4"/>
      <c r="L18" s="21">
        <f t="shared" ref="L18:L21" si="2">+D18-H18</f>
        <v>-1286.6999999999998</v>
      </c>
      <c r="M18" s="4"/>
      <c r="N18" s="34">
        <f t="shared" ref="N18:N21" si="3">IF(H18=0,0,L18/H18)</f>
        <v>-0.94457495228307153</v>
      </c>
      <c r="O18" s="10"/>
      <c r="P18" s="21">
        <f>SUM(OSRRefP22x_0)</f>
        <v>75.5</v>
      </c>
      <c r="Q18" s="21"/>
      <c r="R18" s="34">
        <f t="shared" ref="R18:R21" si="4">IF(P$12=0,0,P18/P$12)</f>
        <v>0</v>
      </c>
      <c r="S18" s="21"/>
      <c r="T18" s="21">
        <f>SUM(OSRRefT22x_0)</f>
        <v>1362.1999999999998</v>
      </c>
      <c r="U18" s="21"/>
      <c r="V18" s="34">
        <f t="shared" ref="V18:V21" si="5">IF(T$12=0,0,T18/T$12)</f>
        <v>0</v>
      </c>
      <c r="W18" s="4"/>
      <c r="X18" s="21">
        <f t="shared" ref="X18:X21" si="6">+P18-T18</f>
        <v>-1286.6999999999998</v>
      </c>
      <c r="Y18" s="4"/>
      <c r="Z18" s="34">
        <f t="shared" ref="Z18:Z21" si="7">IF(T18=0,0,X18/T18)</f>
        <v>-0.94457495228307153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20.549999999999997</v>
      </c>
      <c r="I19" s="1"/>
      <c r="J19" s="5">
        <f t="shared" si="1"/>
        <v>0</v>
      </c>
      <c r="K19" s="1"/>
      <c r="L19" s="1">
        <f t="shared" si="2"/>
        <v>-20.549999999999997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20.549999999999997</v>
      </c>
      <c r="U19" s="1"/>
      <c r="V19" s="5">
        <f t="shared" si="5"/>
        <v>0</v>
      </c>
      <c r="W19" s="1"/>
      <c r="X19" s="1">
        <f t="shared" si="6"/>
        <v>-20.549999999999997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"6112", " - ", "COMPENSATION INSURANCE")</f>
        <v xml:space="preserve">          6112 - COMPENSATION INSURANCE</v>
      </c>
      <c r="C20" s="11"/>
      <c r="D20" s="8"/>
      <c r="E20" s="3"/>
      <c r="F20" s="7">
        <f t="shared" si="0"/>
        <v>0</v>
      </c>
      <c r="G20" s="3"/>
      <c r="H20" s="8">
        <v>18.079999999999998</v>
      </c>
      <c r="I20" s="3"/>
      <c r="J20" s="7">
        <f t="shared" si="1"/>
        <v>0</v>
      </c>
      <c r="K20" s="3"/>
      <c r="L20" s="8">
        <f t="shared" si="2"/>
        <v>-18.079999999999998</v>
      </c>
      <c r="M20" s="3"/>
      <c r="N20" s="7">
        <f t="shared" si="3"/>
        <v>-1</v>
      </c>
      <c r="O20" s="11"/>
      <c r="P20" s="8"/>
      <c r="Q20" s="3"/>
      <c r="R20" s="7">
        <f t="shared" si="4"/>
        <v>0</v>
      </c>
      <c r="S20" s="3"/>
      <c r="T20" s="8">
        <v>18.079999999999998</v>
      </c>
      <c r="U20" s="3"/>
      <c r="V20" s="7">
        <f t="shared" si="5"/>
        <v>0</v>
      </c>
      <c r="W20" s="3"/>
      <c r="X20" s="8">
        <f t="shared" si="6"/>
        <v>-18.079999999999998</v>
      </c>
      <c r="Y20" s="3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"6114", " - ", "STATE UNEMPLOYMENT INSURANCE")</f>
        <v xml:space="preserve">          6114 - STATE UNEMPLOYMENT INSURANCE</v>
      </c>
      <c r="C21" s="11"/>
      <c r="D21" s="8"/>
      <c r="E21" s="3"/>
      <c r="F21" s="7">
        <f t="shared" si="0"/>
        <v>0</v>
      </c>
      <c r="G21" s="3"/>
      <c r="H21" s="8">
        <v>2.4700000000000002</v>
      </c>
      <c r="I21" s="3"/>
      <c r="J21" s="7">
        <f t="shared" si="1"/>
        <v>0</v>
      </c>
      <c r="K21" s="3"/>
      <c r="L21" s="8">
        <f t="shared" si="2"/>
        <v>-2.4700000000000002</v>
      </c>
      <c r="M21" s="3"/>
      <c r="N21" s="7">
        <f t="shared" si="3"/>
        <v>-1</v>
      </c>
      <c r="O21" s="11"/>
      <c r="P21" s="8"/>
      <c r="Q21" s="3"/>
      <c r="R21" s="7">
        <f t="shared" si="4"/>
        <v>0</v>
      </c>
      <c r="S21" s="3"/>
      <c r="T21" s="8">
        <v>2.4700000000000002</v>
      </c>
      <c r="U21" s="3"/>
      <c r="V21" s="7">
        <f t="shared" si="5"/>
        <v>0</v>
      </c>
      <c r="W21" s="3"/>
      <c r="X21" s="8">
        <f t="shared" si="6"/>
        <v>-2.4700000000000002</v>
      </c>
      <c r="Y21" s="3"/>
      <c r="Z21" s="7">
        <f t="shared" si="7"/>
        <v>-1</v>
      </c>
    </row>
    <row r="22" spans="1:26" s="27" customFormat="1" outlineLevel="1" collapsed="1" x14ac:dyDescent="0.25">
      <c r="A22" s="28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ref="F22:F27" si="8">IF(D$12=0,0,D22/D$12)</f>
        <v>0</v>
      </c>
      <c r="G22" s="1"/>
      <c r="H22" s="1">
        <f>SUM(OSRRefH22_1x_0)</f>
        <v>1074.55</v>
      </c>
      <c r="I22" s="1"/>
      <c r="J22" s="5">
        <f t="shared" ref="J22:J27" si="9">IF(H$12=0,0,H22/H$12)</f>
        <v>0</v>
      </c>
      <c r="K22" s="1"/>
      <c r="L22" s="1">
        <f t="shared" ref="L22:L27" si="10">+D22-H22</f>
        <v>-1074.55</v>
      </c>
      <c r="M22" s="1"/>
      <c r="N22" s="5">
        <f t="shared" ref="N22:N27" si="11">IF(H22=0,0,L22/H22)</f>
        <v>-1</v>
      </c>
      <c r="O22" s="14"/>
      <c r="P22" s="1">
        <f>SUM(OSRRefP22_1x_0)</f>
        <v>0</v>
      </c>
      <c r="Q22" s="1"/>
      <c r="R22" s="5">
        <f t="shared" ref="R22:R27" si="12">IF(P$12=0,0,P22/P$12)</f>
        <v>0</v>
      </c>
      <c r="S22" s="1"/>
      <c r="T22" s="1">
        <f>SUM(OSRRefT22_1x_0)</f>
        <v>1074.55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-1074.55</v>
      </c>
      <c r="Y22" s="1"/>
      <c r="Z22" s="5">
        <f t="shared" ref="Z22:Z27" si="15">IF(T22=0,0,X22/T22)</f>
        <v>-1</v>
      </c>
    </row>
    <row r="23" spans="1:26" s="24" customFormat="1" hidden="1" outlineLevel="2" x14ac:dyDescent="0.25">
      <c r="A23" s="29"/>
      <c r="B23" s="11" t="str">
        <f>CONCATENATE("          ", "6279", " - ", "GENERAL EXPENSE")</f>
        <v xml:space="preserve">          6279 - GENERAL EXPENSE</v>
      </c>
      <c r="C23" s="11"/>
      <c r="D23" s="8"/>
      <c r="E23" s="3"/>
      <c r="F23" s="7">
        <f t="shared" si="8"/>
        <v>0</v>
      </c>
      <c r="G23" s="3"/>
      <c r="H23" s="8">
        <v>1074.55</v>
      </c>
      <c r="I23" s="3"/>
      <c r="J23" s="7">
        <f t="shared" si="9"/>
        <v>0</v>
      </c>
      <c r="K23" s="3"/>
      <c r="L23" s="8">
        <f t="shared" si="10"/>
        <v>-1074.55</v>
      </c>
      <c r="M23" s="3"/>
      <c r="N23" s="7">
        <f t="shared" si="11"/>
        <v>-1</v>
      </c>
      <c r="O23" s="11"/>
      <c r="P23" s="8"/>
      <c r="Q23" s="3"/>
      <c r="R23" s="7">
        <f t="shared" si="12"/>
        <v>0</v>
      </c>
      <c r="S23" s="3"/>
      <c r="T23" s="8">
        <v>1074.55</v>
      </c>
      <c r="U23" s="3"/>
      <c r="V23" s="7">
        <f t="shared" si="13"/>
        <v>0</v>
      </c>
      <c r="W23" s="3"/>
      <c r="X23" s="8">
        <f t="shared" si="14"/>
        <v>-1074.55</v>
      </c>
      <c r="Y23" s="3"/>
      <c r="Z23" s="7">
        <f t="shared" si="15"/>
        <v>-1</v>
      </c>
    </row>
    <row r="24" spans="1:26" s="27" customFormat="1" outlineLevel="1" collapsed="1" x14ac:dyDescent="0.25">
      <c r="A24" s="28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0</v>
      </c>
      <c r="E24" s="1"/>
      <c r="F24" s="5">
        <f t="shared" si="8"/>
        <v>0</v>
      </c>
      <c r="G24" s="1"/>
      <c r="H24" s="1">
        <f>SUM(OSRRefH22_2x_0)</f>
        <v>156.1</v>
      </c>
      <c r="I24" s="1"/>
      <c r="J24" s="5">
        <f t="shared" si="9"/>
        <v>0</v>
      </c>
      <c r="K24" s="1"/>
      <c r="L24" s="1">
        <f t="shared" si="10"/>
        <v>-156.1</v>
      </c>
      <c r="M24" s="1"/>
      <c r="N24" s="5">
        <f t="shared" si="11"/>
        <v>-1</v>
      </c>
      <c r="O24" s="14"/>
      <c r="P24" s="1">
        <f>SUM(OSRRefP22_2x_0)</f>
        <v>0</v>
      </c>
      <c r="Q24" s="1"/>
      <c r="R24" s="5">
        <f t="shared" si="12"/>
        <v>0</v>
      </c>
      <c r="S24" s="1"/>
      <c r="T24" s="1">
        <f>SUM(OSRRefT22_2x_0)</f>
        <v>156.1</v>
      </c>
      <c r="U24" s="1"/>
      <c r="V24" s="5">
        <f t="shared" si="13"/>
        <v>0</v>
      </c>
      <c r="W24" s="1"/>
      <c r="X24" s="1">
        <f t="shared" si="14"/>
        <v>-156.1</v>
      </c>
      <c r="Y24" s="1"/>
      <c r="Z24" s="5">
        <f t="shared" si="15"/>
        <v>-1</v>
      </c>
    </row>
    <row r="25" spans="1:26" s="24" customFormat="1" hidden="1" outlineLevel="2" x14ac:dyDescent="0.25">
      <c r="A25" s="29"/>
      <c r="B25" s="11" t="str">
        <f>CONCATENATE("          ", "6247", " - ", "STORE SUPPLIES")</f>
        <v xml:space="preserve">          6247 - STORE SUPPLIES</v>
      </c>
      <c r="C25" s="11"/>
      <c r="D25" s="8"/>
      <c r="E25" s="3"/>
      <c r="F25" s="7">
        <f t="shared" si="8"/>
        <v>0</v>
      </c>
      <c r="G25" s="3"/>
      <c r="H25" s="8">
        <v>156.1</v>
      </c>
      <c r="I25" s="3"/>
      <c r="J25" s="7">
        <f t="shared" si="9"/>
        <v>0</v>
      </c>
      <c r="K25" s="3"/>
      <c r="L25" s="8">
        <f t="shared" si="10"/>
        <v>-156.1</v>
      </c>
      <c r="M25" s="3"/>
      <c r="N25" s="7">
        <f t="shared" si="11"/>
        <v>-1</v>
      </c>
      <c r="O25" s="11"/>
      <c r="P25" s="8"/>
      <c r="Q25" s="3"/>
      <c r="R25" s="7">
        <f t="shared" si="12"/>
        <v>0</v>
      </c>
      <c r="S25" s="3"/>
      <c r="T25" s="8">
        <v>156.1</v>
      </c>
      <c r="U25" s="3"/>
      <c r="V25" s="7">
        <f t="shared" si="13"/>
        <v>0</v>
      </c>
      <c r="W25" s="3"/>
      <c r="X25" s="8">
        <f t="shared" si="14"/>
        <v>-156.1</v>
      </c>
      <c r="Y25" s="3"/>
      <c r="Z25" s="7">
        <f t="shared" si="15"/>
        <v>-1</v>
      </c>
    </row>
    <row r="26" spans="1:26" s="27" customFormat="1" outlineLevel="1" collapsed="1" x14ac:dyDescent="0.25">
      <c r="A26" s="28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75.5</v>
      </c>
      <c r="E26" s="1"/>
      <c r="F26" s="5">
        <f t="shared" si="8"/>
        <v>0</v>
      </c>
      <c r="G26" s="1"/>
      <c r="H26" s="1">
        <f>SUM(OSRRefH22_3x_0)</f>
        <v>111</v>
      </c>
      <c r="I26" s="1"/>
      <c r="J26" s="5">
        <f t="shared" si="9"/>
        <v>0</v>
      </c>
      <c r="K26" s="1"/>
      <c r="L26" s="1">
        <f t="shared" si="10"/>
        <v>-35.5</v>
      </c>
      <c r="M26" s="1"/>
      <c r="N26" s="5">
        <f t="shared" si="11"/>
        <v>-0.31981981981981983</v>
      </c>
      <c r="O26" s="14"/>
      <c r="P26" s="1">
        <f>SUM(OSRRefP22_3x_0)</f>
        <v>75.5</v>
      </c>
      <c r="Q26" s="1"/>
      <c r="R26" s="5">
        <f t="shared" si="12"/>
        <v>0</v>
      </c>
      <c r="S26" s="1"/>
      <c r="T26" s="1">
        <f>SUM(OSRRefT22_3x_0)</f>
        <v>111</v>
      </c>
      <c r="U26" s="1"/>
      <c r="V26" s="5">
        <f t="shared" si="13"/>
        <v>0</v>
      </c>
      <c r="W26" s="1"/>
      <c r="X26" s="1">
        <f t="shared" si="14"/>
        <v>-35.5</v>
      </c>
      <c r="Y26" s="1"/>
      <c r="Z26" s="5">
        <f t="shared" si="15"/>
        <v>-0.31981981981981983</v>
      </c>
    </row>
    <row r="27" spans="1:26" s="24" customFormat="1" hidden="1" outlineLevel="2" x14ac:dyDescent="0.25">
      <c r="A27" s="29"/>
      <c r="B27" s="11" t="str">
        <f>CONCATENATE("          ", "6309", " - ", "TELEPHONE")</f>
        <v xml:space="preserve">          6309 - TELEPHONE</v>
      </c>
      <c r="C27" s="11"/>
      <c r="D27" s="8">
        <v>75.5</v>
      </c>
      <c r="E27" s="3"/>
      <c r="F27" s="7">
        <f t="shared" si="8"/>
        <v>0</v>
      </c>
      <c r="G27" s="3"/>
      <c r="H27" s="8">
        <v>111</v>
      </c>
      <c r="I27" s="3"/>
      <c r="J27" s="7">
        <f t="shared" si="9"/>
        <v>0</v>
      </c>
      <c r="K27" s="3"/>
      <c r="L27" s="8">
        <f t="shared" si="10"/>
        <v>-35.5</v>
      </c>
      <c r="M27" s="3"/>
      <c r="N27" s="7">
        <f t="shared" si="11"/>
        <v>-0.31981981981981983</v>
      </c>
      <c r="O27" s="11"/>
      <c r="P27" s="8">
        <v>75.5</v>
      </c>
      <c r="Q27" s="3"/>
      <c r="R27" s="7">
        <f t="shared" si="12"/>
        <v>0</v>
      </c>
      <c r="S27" s="3"/>
      <c r="T27" s="8">
        <v>111</v>
      </c>
      <c r="U27" s="3"/>
      <c r="V27" s="7">
        <f t="shared" si="13"/>
        <v>0</v>
      </c>
      <c r="W27" s="3"/>
      <c r="X27" s="8">
        <f t="shared" si="14"/>
        <v>-35.5</v>
      </c>
      <c r="Y27" s="3"/>
      <c r="Z27" s="7">
        <f t="shared" si="15"/>
        <v>-0.31981981981981983</v>
      </c>
    </row>
    <row r="28" spans="1:26" s="61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x14ac:dyDescent="0.25">
      <c r="A31" s="10"/>
      <c r="B31" s="26" t="s">
        <v>3</v>
      </c>
      <c r="C31" s="26"/>
      <c r="D31" s="19">
        <f>+D16-D18+D29</f>
        <v>-75.5</v>
      </c>
      <c r="E31" s="13"/>
      <c r="F31" s="20">
        <f>IF(D$12=0,0,D31/D$12)</f>
        <v>0</v>
      </c>
      <c r="G31" s="13"/>
      <c r="H31" s="19">
        <f>+H16-H18+H29</f>
        <v>-1362.1999999999998</v>
      </c>
      <c r="I31" s="13"/>
      <c r="J31" s="20">
        <f>IF(H$12=0,0,H31/H$12)</f>
        <v>0</v>
      </c>
      <c r="K31" s="16"/>
      <c r="L31" s="19">
        <f>+D31-H31</f>
        <v>1286.6999999999998</v>
      </c>
      <c r="M31" s="16"/>
      <c r="N31" s="20">
        <f>IF(H31=0,0,L31/H31)</f>
        <v>-0.94457495228307153</v>
      </c>
      <c r="O31" s="25"/>
      <c r="P31" s="19">
        <f>+P16-P18+P29</f>
        <v>-75.5</v>
      </c>
      <c r="Q31" s="13"/>
      <c r="R31" s="20">
        <f>IF(P$12=0,0,P31/P$12)</f>
        <v>0</v>
      </c>
      <c r="S31" s="13"/>
      <c r="T31" s="19">
        <f>+T16-T18+T29</f>
        <v>-1362.1999999999998</v>
      </c>
      <c r="U31" s="13"/>
      <c r="V31" s="20">
        <f>IF(T$12=0,0,T31/T$12)</f>
        <v>0</v>
      </c>
      <c r="W31" s="16"/>
      <c r="X31" s="19">
        <f>+P31-T31</f>
        <v>1286.6999999999998</v>
      </c>
      <c r="Y31" s="16"/>
      <c r="Z31" s="20">
        <f>IF(T31=0,0,X31/T31)</f>
        <v>-0.94457495228307153</v>
      </c>
    </row>
    <row r="32" spans="1:26" x14ac:dyDescent="0.25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.75" thickBot="1" x14ac:dyDescent="0.3">
      <c r="A35" s="10"/>
      <c r="B35" s="26" t="s">
        <v>4</v>
      </c>
      <c r="C35" s="26"/>
      <c r="D35" s="35">
        <f>+D31-D33</f>
        <v>-75.5</v>
      </c>
      <c r="E35" s="13"/>
      <c r="F35" s="30">
        <f>IF(D$12=0,0,D35/D$12)</f>
        <v>0</v>
      </c>
      <c r="G35" s="13"/>
      <c r="H35" s="35">
        <f>+H31-H33</f>
        <v>-1362.1999999999998</v>
      </c>
      <c r="I35" s="13"/>
      <c r="J35" s="30">
        <f>IF(H$12=0,0,H35/H$12)</f>
        <v>0</v>
      </c>
      <c r="K35" s="16"/>
      <c r="L35" s="35">
        <f>D35-H35</f>
        <v>1286.6999999999998</v>
      </c>
      <c r="M35" s="16"/>
      <c r="N35" s="30">
        <f>IF(H35=0,0,L35/H35)</f>
        <v>-0.94457495228307153</v>
      </c>
      <c r="O35" s="25"/>
      <c r="P35" s="35">
        <f>+P31-P33</f>
        <v>-75.5</v>
      </c>
      <c r="Q35" s="13"/>
      <c r="R35" s="30">
        <f>IF(P$12=0,0,P35/P$12)</f>
        <v>0</v>
      </c>
      <c r="S35" s="13"/>
      <c r="T35" s="35">
        <f>+T31-T33</f>
        <v>-1362.1999999999998</v>
      </c>
      <c r="U35" s="13"/>
      <c r="V35" s="30">
        <f>IF(T$12=0,0,T35/T$12)</f>
        <v>0</v>
      </c>
      <c r="W35" s="16"/>
      <c r="X35" s="35">
        <f>P35-T35</f>
        <v>1286.6999999999998</v>
      </c>
      <c r="Y35" s="16"/>
      <c r="Z35" s="30">
        <f>IF(T35=0,0,X35/T35)</f>
        <v>-0.94457495228307153</v>
      </c>
    </row>
    <row r="36" spans="1:26" ht="15.75" thickTop="1" x14ac:dyDescent="0.25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x14ac:dyDescent="0.25">
      <c r="A37" s="9"/>
      <c r="B37" s="9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ht="15.75" thickBot="1" x14ac:dyDescent="0.3">
      <c r="A38" s="10"/>
      <c r="B38" s="26" t="s">
        <v>5</v>
      </c>
      <c r="C38" s="26"/>
      <c r="D38" s="31">
        <f>SUM(D35:D37)</f>
        <v>-75.5</v>
      </c>
      <c r="E38" s="13"/>
      <c r="F38" s="32">
        <f>IF(D$12=0,0,D38/D$12)</f>
        <v>0</v>
      </c>
      <c r="G38" s="13"/>
      <c r="H38" s="31">
        <f>SUM(H35:H37)</f>
        <v>-1362.1999999999998</v>
      </c>
      <c r="I38" s="13"/>
      <c r="J38" s="32">
        <f>IF(H$12=0,0,H38/H$12)</f>
        <v>0</v>
      </c>
      <c r="K38" s="16"/>
      <c r="L38" s="31">
        <f>+D38-H38</f>
        <v>1286.6999999999998</v>
      </c>
      <c r="M38" s="16"/>
      <c r="N38" s="32">
        <f>IF(H38=0,0,L38/H38)</f>
        <v>-0.94457495228307153</v>
      </c>
      <c r="O38" s="25"/>
      <c r="P38" s="31">
        <f>SUM(P35:P37)</f>
        <v>-75.5</v>
      </c>
      <c r="Q38" s="13"/>
      <c r="R38" s="32">
        <f>IF(P$12=0,0,P38/P$12)</f>
        <v>0</v>
      </c>
      <c r="S38" s="13"/>
      <c r="T38" s="31">
        <f>SUM(T35:T37)</f>
        <v>-1362.1999999999998</v>
      </c>
      <c r="U38" s="13"/>
      <c r="V38" s="32">
        <f>IF(T$12=0,0,T38/T$12)</f>
        <v>0</v>
      </c>
      <c r="W38" s="16"/>
      <c r="X38" s="31">
        <f>+P38-T38</f>
        <v>1286.6999999999998</v>
      </c>
      <c r="Y38" s="16"/>
      <c r="Z38" s="32">
        <f>IF(T38=0,0,X38/T38)</f>
        <v>-0.94457495228307153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9">
        <v>44109.414850810186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2" t="s">
        <v>313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6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216257.40000000002</v>
      </c>
      <c r="I12" s="4"/>
      <c r="J12" s="12"/>
      <c r="K12" s="4"/>
      <c r="L12" s="4">
        <f t="shared" ref="L12:L15" si="0">+D12-H12</f>
        <v>-216257.40000000002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216257.40000000002</v>
      </c>
      <c r="U12" s="4"/>
      <c r="V12" s="12"/>
      <c r="W12" s="4"/>
      <c r="X12" s="4">
        <f t="shared" ref="X12:X15" si="2">+P12-T12</f>
        <v>-216257.40000000002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3">
        <f t="shared" ref="D13:D15" si="4">0</f>
        <v>0</v>
      </c>
      <c r="E13" s="3"/>
      <c r="F13" s="22"/>
      <c r="G13" s="3"/>
      <c r="H13" s="3">
        <f>--485.45</f>
        <v>485.45</v>
      </c>
      <c r="I13" s="3"/>
      <c r="J13" s="22"/>
      <c r="K13" s="3"/>
      <c r="L13" s="3">
        <f t="shared" si="0"/>
        <v>-485.45</v>
      </c>
      <c r="M13" s="3"/>
      <c r="N13" s="22">
        <f t="shared" si="1"/>
        <v>-1</v>
      </c>
      <c r="O13" s="11"/>
      <c r="P13" s="3">
        <f t="shared" ref="P13:P15" si="5">0</f>
        <v>0</v>
      </c>
      <c r="Q13" s="3"/>
      <c r="R13" s="22"/>
      <c r="S13" s="3"/>
      <c r="T13" s="3">
        <f>--485.45</f>
        <v>485.45</v>
      </c>
      <c r="U13" s="3"/>
      <c r="V13" s="22"/>
      <c r="W13" s="3"/>
      <c r="X13" s="3">
        <f t="shared" si="2"/>
        <v>-485.45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3">
        <f t="shared" si="4"/>
        <v>0</v>
      </c>
      <c r="E14" s="3"/>
      <c r="F14" s="22"/>
      <c r="G14" s="3"/>
      <c r="H14" s="3">
        <f>--200657</f>
        <v>200657</v>
      </c>
      <c r="I14" s="3"/>
      <c r="J14" s="22"/>
      <c r="K14" s="3"/>
      <c r="L14" s="3">
        <f t="shared" si="0"/>
        <v>-200657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--200657</f>
        <v>200657</v>
      </c>
      <c r="U14" s="3"/>
      <c r="V14" s="22"/>
      <c r="W14" s="3"/>
      <c r="X14" s="3">
        <f t="shared" si="2"/>
        <v>-200657</v>
      </c>
      <c r="Y14" s="3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3">
        <f t="shared" si="4"/>
        <v>0</v>
      </c>
      <c r="E15" s="3"/>
      <c r="F15" s="22"/>
      <c r="G15" s="3"/>
      <c r="H15" s="3">
        <f>--15114.95</f>
        <v>15114.95</v>
      </c>
      <c r="I15" s="3"/>
      <c r="J15" s="22"/>
      <c r="K15" s="3"/>
      <c r="L15" s="3">
        <f t="shared" si="0"/>
        <v>-15114.95</v>
      </c>
      <c r="M15" s="3"/>
      <c r="N15" s="22">
        <f t="shared" si="1"/>
        <v>-1</v>
      </c>
      <c r="O15" s="11"/>
      <c r="P15" s="3">
        <f t="shared" si="5"/>
        <v>0</v>
      </c>
      <c r="Q15" s="3"/>
      <c r="R15" s="22"/>
      <c r="S15" s="3"/>
      <c r="T15" s="3">
        <f>--15114.95</f>
        <v>15114.95</v>
      </c>
      <c r="U15" s="3"/>
      <c r="V15" s="22"/>
      <c r="W15" s="3"/>
      <c r="X15" s="3">
        <f t="shared" si="2"/>
        <v>-15114.95</v>
      </c>
      <c r="Y15" s="3"/>
      <c r="Z15" s="22">
        <f t="shared" si="3"/>
        <v>-1</v>
      </c>
    </row>
    <row r="16" spans="1:26" x14ac:dyDescent="0.25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76957.099999999991</v>
      </c>
      <c r="I17" s="4"/>
      <c r="J17" s="12">
        <f t="shared" ref="J17:J19" si="7">IF(H$12=0,0,H17/H$12)</f>
        <v>0.35585880529406155</v>
      </c>
      <c r="K17" s="4"/>
      <c r="L17" s="4">
        <f t="shared" ref="L17:L19" si="8">+D17-H17</f>
        <v>-76957.099999999991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76957.099999999991</v>
      </c>
      <c r="U17" s="4"/>
      <c r="V17" s="12">
        <f t="shared" ref="V17:V19" si="11">IF(T$12=0,0,T17/T$12)</f>
        <v>0.35585880529406155</v>
      </c>
      <c r="W17" s="4"/>
      <c r="X17" s="4">
        <f t="shared" ref="X17:X19" si="12">+P17-T17</f>
        <v>-76957.099999999991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3"/>
      <c r="E18" s="3"/>
      <c r="F18" s="22">
        <f t="shared" si="6"/>
        <v>0</v>
      </c>
      <c r="G18" s="3"/>
      <c r="H18" s="3">
        <v>73554.099999999991</v>
      </c>
      <c r="I18" s="3"/>
      <c r="J18" s="22">
        <f t="shared" si="7"/>
        <v>0.34012292758536811</v>
      </c>
      <c r="K18" s="3"/>
      <c r="L18" s="3">
        <f t="shared" si="8"/>
        <v>-73554.099999999991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73554.099999999991</v>
      </c>
      <c r="U18" s="3"/>
      <c r="V18" s="22">
        <f t="shared" si="11"/>
        <v>0.34012292758536811</v>
      </c>
      <c r="W18" s="3"/>
      <c r="X18" s="3">
        <f t="shared" si="12"/>
        <v>-73554.099999999991</v>
      </c>
      <c r="Y18" s="3"/>
      <c r="Z18" s="22">
        <f t="shared" si="13"/>
        <v>-1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3"/>
      <c r="E19" s="3"/>
      <c r="F19" s="22">
        <f t="shared" si="6"/>
        <v>0</v>
      </c>
      <c r="G19" s="3"/>
      <c r="H19" s="3">
        <v>3403</v>
      </c>
      <c r="I19" s="3"/>
      <c r="J19" s="22">
        <f t="shared" si="7"/>
        <v>1.5735877708693436E-2</v>
      </c>
      <c r="K19" s="3"/>
      <c r="L19" s="3">
        <f t="shared" si="8"/>
        <v>-3403</v>
      </c>
      <c r="M19" s="3"/>
      <c r="N19" s="22">
        <f t="shared" si="9"/>
        <v>-1</v>
      </c>
      <c r="O19" s="11"/>
      <c r="P19" s="3"/>
      <c r="Q19" s="3"/>
      <c r="R19" s="22">
        <f t="shared" si="10"/>
        <v>0</v>
      </c>
      <c r="S19" s="3"/>
      <c r="T19" s="3">
        <v>3403</v>
      </c>
      <c r="U19" s="3"/>
      <c r="V19" s="22">
        <f t="shared" si="11"/>
        <v>1.5735877708693436E-2</v>
      </c>
      <c r="W19" s="3"/>
      <c r="X19" s="3">
        <f t="shared" si="12"/>
        <v>-3403</v>
      </c>
      <c r="Y19" s="3"/>
      <c r="Z19" s="22">
        <f t="shared" si="13"/>
        <v>-1</v>
      </c>
    </row>
    <row r="20" spans="1:26" x14ac:dyDescent="0.25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25">
      <c r="A21" s="10"/>
      <c r="B21" s="26" t="s">
        <v>6</v>
      </c>
      <c r="C21" s="26"/>
      <c r="D21" s="19">
        <f>D12-D17</f>
        <v>0</v>
      </c>
      <c r="E21" s="13"/>
      <c r="F21" s="20">
        <f>IF(D$12=0,0,D21/D$12)</f>
        <v>0</v>
      </c>
      <c r="G21" s="13"/>
      <c r="H21" s="19">
        <f>H12-H17</f>
        <v>139300.30000000005</v>
      </c>
      <c r="I21" s="13"/>
      <c r="J21" s="20">
        <f>IF(H$12=0,0,H21/H$12)</f>
        <v>0.64414119470593856</v>
      </c>
      <c r="K21" s="16"/>
      <c r="L21" s="19">
        <f>+D21-H21</f>
        <v>-139300.30000000005</v>
      </c>
      <c r="M21" s="16"/>
      <c r="N21" s="20">
        <f>IF(H21=0,0,L21/H21)</f>
        <v>-1</v>
      </c>
      <c r="O21" s="25"/>
      <c r="P21" s="19">
        <f>P12-P17</f>
        <v>0</v>
      </c>
      <c r="Q21" s="13"/>
      <c r="R21" s="20">
        <f>IF(P$12=0,0,P21/P$12)</f>
        <v>0</v>
      </c>
      <c r="S21" s="13"/>
      <c r="T21" s="19">
        <f>T12-T17</f>
        <v>139300.30000000005</v>
      </c>
      <c r="U21" s="13"/>
      <c r="V21" s="20">
        <f>IF(T$12=0,0,T21/T$12)</f>
        <v>0.64414119470593856</v>
      </c>
      <c r="W21" s="16"/>
      <c r="X21" s="19">
        <f>+P21-T21</f>
        <v>-139300.30000000005</v>
      </c>
      <c r="Y21" s="16"/>
      <c r="Z21" s="20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1">
        <f>SUM(OSRRefD22x_0)</f>
        <v>64552.840000000004</v>
      </c>
      <c r="E23" s="21"/>
      <c r="F23" s="34">
        <f t="shared" ref="F23:F33" si="14">IF(D$12=0,0,D23/D$12)</f>
        <v>0</v>
      </c>
      <c r="G23" s="21"/>
      <c r="H23" s="21">
        <f>SUM(OSRRefH22x_0)</f>
        <v>153268.70000000004</v>
      </c>
      <c r="I23" s="21"/>
      <c r="J23" s="34">
        <f t="shared" ref="J23:J33" si="15">IF(H$12=0,0,H23/H$12)</f>
        <v>0.70873274163103794</v>
      </c>
      <c r="K23" s="4"/>
      <c r="L23" s="21">
        <f t="shared" ref="L23:L33" si="16">+D23-H23</f>
        <v>-88715.860000000044</v>
      </c>
      <c r="M23" s="4"/>
      <c r="N23" s="34">
        <f t="shared" ref="N23:N33" si="17">IF(H23=0,0,L23/H23)</f>
        <v>-0.5788256832608355</v>
      </c>
      <c r="O23" s="10"/>
      <c r="P23" s="21">
        <f>SUM(OSRRefP22x_0)</f>
        <v>64552.840000000004</v>
      </c>
      <c r="Q23" s="21"/>
      <c r="R23" s="34">
        <f t="shared" ref="R23:R33" si="18">IF(P$12=0,0,P23/P$12)</f>
        <v>0</v>
      </c>
      <c r="S23" s="21"/>
      <c r="T23" s="21">
        <f>SUM(OSRRefT22x_0)</f>
        <v>153268.70000000004</v>
      </c>
      <c r="U23" s="21"/>
      <c r="V23" s="34">
        <f t="shared" ref="V23:V33" si="19">IF(T$12=0,0,T23/T$12)</f>
        <v>0.70873274163103794</v>
      </c>
      <c r="W23" s="4"/>
      <c r="X23" s="21">
        <f t="shared" ref="X23:X33" si="20">+P23-T23</f>
        <v>-88715.860000000044</v>
      </c>
      <c r="Y23" s="4"/>
      <c r="Z23" s="34">
        <f t="shared" ref="Z23:Z33" si="21">IF(T23=0,0,X23/T23)</f>
        <v>-0.5788256832608355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28409.81</v>
      </c>
      <c r="E24" s="1"/>
      <c r="F24" s="5">
        <f t="shared" si="14"/>
        <v>0</v>
      </c>
      <c r="G24" s="1"/>
      <c r="H24" s="1">
        <f>SUM(OSRRefH22_0x_0)</f>
        <v>35169.24</v>
      </c>
      <c r="I24" s="1"/>
      <c r="J24" s="5">
        <f t="shared" si="15"/>
        <v>0.16262675866814266</v>
      </c>
      <c r="K24" s="1"/>
      <c r="L24" s="1">
        <f t="shared" si="16"/>
        <v>-6759.4299999999967</v>
      </c>
      <c r="M24" s="1"/>
      <c r="N24" s="5">
        <f t="shared" si="17"/>
        <v>-0.19219721552129068</v>
      </c>
      <c r="O24" s="14"/>
      <c r="P24" s="1">
        <f>SUM(OSRRefP22_0x_0)</f>
        <v>28409.81</v>
      </c>
      <c r="Q24" s="1"/>
      <c r="R24" s="5">
        <f t="shared" si="18"/>
        <v>0</v>
      </c>
      <c r="S24" s="1"/>
      <c r="T24" s="1">
        <f>SUM(OSRRefT22_0x_0)</f>
        <v>35169.24</v>
      </c>
      <c r="U24" s="1"/>
      <c r="V24" s="5">
        <f t="shared" si="19"/>
        <v>0.16262675866814266</v>
      </c>
      <c r="W24" s="1"/>
      <c r="X24" s="1">
        <f t="shared" si="20"/>
        <v>-6759.4299999999967</v>
      </c>
      <c r="Y24" s="1"/>
      <c r="Z24" s="5">
        <f t="shared" si="21"/>
        <v>-0.19219721552129068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8">
        <v>2493.23</v>
      </c>
      <c r="E25" s="3"/>
      <c r="F25" s="7">
        <f t="shared" si="14"/>
        <v>0</v>
      </c>
      <c r="G25" s="3"/>
      <c r="H25" s="8">
        <v>5109.6499999999996</v>
      </c>
      <c r="I25" s="3"/>
      <c r="J25" s="7">
        <f t="shared" si="15"/>
        <v>2.3627630777027741E-2</v>
      </c>
      <c r="K25" s="3"/>
      <c r="L25" s="8">
        <f t="shared" si="16"/>
        <v>-2616.4199999999996</v>
      </c>
      <c r="M25" s="3"/>
      <c r="N25" s="7">
        <f t="shared" si="17"/>
        <v>-0.51205464170735759</v>
      </c>
      <c r="O25" s="11"/>
      <c r="P25" s="8">
        <v>2493.23</v>
      </c>
      <c r="Q25" s="3"/>
      <c r="R25" s="7">
        <f t="shared" si="18"/>
        <v>0</v>
      </c>
      <c r="S25" s="3"/>
      <c r="T25" s="8">
        <v>5109.6499999999996</v>
      </c>
      <c r="U25" s="3"/>
      <c r="V25" s="7">
        <f t="shared" si="19"/>
        <v>2.3627630777027741E-2</v>
      </c>
      <c r="W25" s="3"/>
      <c r="X25" s="8">
        <f t="shared" si="20"/>
        <v>-2616.4199999999996</v>
      </c>
      <c r="Y25" s="3"/>
      <c r="Z25" s="7">
        <f t="shared" si="21"/>
        <v>-0.51205464170735759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1396.92</v>
      </c>
      <c r="E26" s="3"/>
      <c r="F26" s="7">
        <f t="shared" si="14"/>
        <v>0</v>
      </c>
      <c r="G26" s="3"/>
      <c r="H26" s="8">
        <v>2699.6</v>
      </c>
      <c r="I26" s="3"/>
      <c r="J26" s="7">
        <f t="shared" si="15"/>
        <v>1.2483272248718424E-2</v>
      </c>
      <c r="K26" s="3"/>
      <c r="L26" s="8">
        <f t="shared" si="16"/>
        <v>-1302.6799999999998</v>
      </c>
      <c r="M26" s="3"/>
      <c r="N26" s="7">
        <f t="shared" si="17"/>
        <v>-0.4825455623055267</v>
      </c>
      <c r="O26" s="11"/>
      <c r="P26" s="8">
        <v>1396.92</v>
      </c>
      <c r="Q26" s="3"/>
      <c r="R26" s="7">
        <f t="shared" si="18"/>
        <v>0</v>
      </c>
      <c r="S26" s="3"/>
      <c r="T26" s="8">
        <v>2699.6</v>
      </c>
      <c r="U26" s="3"/>
      <c r="V26" s="7">
        <f t="shared" si="19"/>
        <v>1.2483272248718424E-2</v>
      </c>
      <c r="W26" s="3"/>
      <c r="X26" s="8">
        <f t="shared" si="20"/>
        <v>-1302.6799999999998</v>
      </c>
      <c r="Y26" s="3"/>
      <c r="Z26" s="7">
        <f t="shared" si="21"/>
        <v>-0.4825455623055267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8">
        <v>16509.649999999998</v>
      </c>
      <c r="E27" s="3"/>
      <c r="F27" s="7">
        <f t="shared" si="14"/>
        <v>0</v>
      </c>
      <c r="G27" s="3"/>
      <c r="H27" s="8">
        <v>16686.48</v>
      </c>
      <c r="I27" s="3"/>
      <c r="J27" s="7">
        <f t="shared" si="15"/>
        <v>7.7160272897019933E-2</v>
      </c>
      <c r="K27" s="3"/>
      <c r="L27" s="8">
        <f t="shared" si="16"/>
        <v>-176.83000000000175</v>
      </c>
      <c r="M27" s="3"/>
      <c r="N27" s="7">
        <f t="shared" si="17"/>
        <v>-1.0597202046207574E-2</v>
      </c>
      <c r="O27" s="11"/>
      <c r="P27" s="8">
        <v>16509.649999999998</v>
      </c>
      <c r="Q27" s="3"/>
      <c r="R27" s="7">
        <f t="shared" si="18"/>
        <v>0</v>
      </c>
      <c r="S27" s="3"/>
      <c r="T27" s="8">
        <v>16686.48</v>
      </c>
      <c r="U27" s="3"/>
      <c r="V27" s="7">
        <f t="shared" si="19"/>
        <v>7.7160272897019933E-2</v>
      </c>
      <c r="W27" s="3"/>
      <c r="X27" s="8">
        <f t="shared" si="20"/>
        <v>-176.83000000000175</v>
      </c>
      <c r="Y27" s="3"/>
      <c r="Z27" s="7">
        <f t="shared" si="21"/>
        <v>-1.0597202046207574E-2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156.82</v>
      </c>
      <c r="E28" s="3"/>
      <c r="F28" s="7">
        <f t="shared" si="14"/>
        <v>0</v>
      </c>
      <c r="G28" s="3"/>
      <c r="H28" s="8">
        <v>180.9</v>
      </c>
      <c r="I28" s="3"/>
      <c r="J28" s="7">
        <f t="shared" si="15"/>
        <v>8.3650316705925429E-4</v>
      </c>
      <c r="K28" s="3"/>
      <c r="L28" s="8">
        <f t="shared" si="16"/>
        <v>-24.080000000000013</v>
      </c>
      <c r="M28" s="3"/>
      <c r="N28" s="7">
        <f t="shared" si="17"/>
        <v>-0.13311221669430631</v>
      </c>
      <c r="O28" s="11"/>
      <c r="P28" s="8">
        <v>156.82</v>
      </c>
      <c r="Q28" s="3"/>
      <c r="R28" s="7">
        <f t="shared" si="18"/>
        <v>0</v>
      </c>
      <c r="S28" s="3"/>
      <c r="T28" s="8">
        <v>180.9</v>
      </c>
      <c r="U28" s="3"/>
      <c r="V28" s="7">
        <f t="shared" si="19"/>
        <v>8.3650316705925429E-4</v>
      </c>
      <c r="W28" s="3"/>
      <c r="X28" s="8">
        <f t="shared" si="20"/>
        <v>-24.080000000000013</v>
      </c>
      <c r="Y28" s="3"/>
      <c r="Z28" s="7">
        <f t="shared" si="21"/>
        <v>-0.13311221669430631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8">
        <v>2186.25</v>
      </c>
      <c r="E29" s="3"/>
      <c r="F29" s="7">
        <f t="shared" si="14"/>
        <v>0</v>
      </c>
      <c r="G29" s="3"/>
      <c r="H29" s="8">
        <v>1216.6600000000001</v>
      </c>
      <c r="I29" s="3"/>
      <c r="J29" s="7">
        <f t="shared" si="15"/>
        <v>5.6259808912897313E-3</v>
      </c>
      <c r="K29" s="3"/>
      <c r="L29" s="8">
        <f t="shared" si="16"/>
        <v>969.58999999999992</v>
      </c>
      <c r="M29" s="3"/>
      <c r="N29" s="7">
        <f t="shared" si="17"/>
        <v>0.7969276543981062</v>
      </c>
      <c r="O29" s="11"/>
      <c r="P29" s="8">
        <v>2186.25</v>
      </c>
      <c r="Q29" s="3"/>
      <c r="R29" s="7">
        <f t="shared" si="18"/>
        <v>0</v>
      </c>
      <c r="S29" s="3"/>
      <c r="T29" s="8">
        <v>1216.6600000000001</v>
      </c>
      <c r="U29" s="3"/>
      <c r="V29" s="7">
        <f t="shared" si="19"/>
        <v>5.6259808912897313E-3</v>
      </c>
      <c r="W29" s="3"/>
      <c r="X29" s="8">
        <f t="shared" si="20"/>
        <v>969.58999999999992</v>
      </c>
      <c r="Y29" s="3"/>
      <c r="Z29" s="7">
        <f t="shared" si="21"/>
        <v>0.7969276543981062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8">
        <v>752.36</v>
      </c>
      <c r="E30" s="3"/>
      <c r="F30" s="7">
        <f t="shared" si="14"/>
        <v>0</v>
      </c>
      <c r="G30" s="3"/>
      <c r="H30" s="8">
        <v>677.46</v>
      </c>
      <c r="I30" s="3"/>
      <c r="J30" s="7">
        <f t="shared" si="15"/>
        <v>3.1326558073850883E-3</v>
      </c>
      <c r="K30" s="3"/>
      <c r="L30" s="8">
        <f t="shared" si="16"/>
        <v>74.899999999999977</v>
      </c>
      <c r="M30" s="3"/>
      <c r="N30" s="7">
        <f t="shared" si="17"/>
        <v>0.11056003306468275</v>
      </c>
      <c r="O30" s="11"/>
      <c r="P30" s="8">
        <v>752.36</v>
      </c>
      <c r="Q30" s="3"/>
      <c r="R30" s="7">
        <f t="shared" si="18"/>
        <v>0</v>
      </c>
      <c r="S30" s="3"/>
      <c r="T30" s="8">
        <v>677.46</v>
      </c>
      <c r="U30" s="3"/>
      <c r="V30" s="7">
        <f t="shared" si="19"/>
        <v>3.1326558073850883E-3</v>
      </c>
      <c r="W30" s="3"/>
      <c r="X30" s="8">
        <f t="shared" si="20"/>
        <v>74.899999999999977</v>
      </c>
      <c r="Y30" s="3"/>
      <c r="Z30" s="7">
        <f t="shared" si="21"/>
        <v>0.11056003306468275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8">
        <v>2366.1799999999998</v>
      </c>
      <c r="E31" s="3"/>
      <c r="F31" s="7">
        <f t="shared" si="14"/>
        <v>0</v>
      </c>
      <c r="G31" s="3"/>
      <c r="H31" s="8">
        <v>3455.38</v>
      </c>
      <c r="I31" s="3"/>
      <c r="J31" s="7">
        <f t="shared" si="15"/>
        <v>1.5978089073483727E-2</v>
      </c>
      <c r="K31" s="3"/>
      <c r="L31" s="8">
        <f t="shared" si="16"/>
        <v>-1089.2000000000003</v>
      </c>
      <c r="M31" s="3"/>
      <c r="N31" s="7">
        <f t="shared" si="17"/>
        <v>-0.31521858666774716</v>
      </c>
      <c r="O31" s="11"/>
      <c r="P31" s="8">
        <v>2366.1799999999998</v>
      </c>
      <c r="Q31" s="3"/>
      <c r="R31" s="7">
        <f t="shared" si="18"/>
        <v>0</v>
      </c>
      <c r="S31" s="3"/>
      <c r="T31" s="8">
        <v>3455.38</v>
      </c>
      <c r="U31" s="3"/>
      <c r="V31" s="7">
        <f t="shared" si="19"/>
        <v>1.5978089073483727E-2</v>
      </c>
      <c r="W31" s="3"/>
      <c r="X31" s="8">
        <f t="shared" si="20"/>
        <v>-1089.2000000000003</v>
      </c>
      <c r="Y31" s="3"/>
      <c r="Z31" s="7">
        <f t="shared" si="21"/>
        <v>-0.31521858666774716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8">
        <v>1504</v>
      </c>
      <c r="E32" s="3"/>
      <c r="F32" s="7">
        <f t="shared" si="14"/>
        <v>0</v>
      </c>
      <c r="G32" s="3"/>
      <c r="H32" s="8">
        <v>3729.29</v>
      </c>
      <c r="I32" s="3"/>
      <c r="J32" s="7">
        <f t="shared" si="15"/>
        <v>1.7244681569278091E-2</v>
      </c>
      <c r="K32" s="3"/>
      <c r="L32" s="8">
        <f t="shared" si="16"/>
        <v>-2225.29</v>
      </c>
      <c r="M32" s="3"/>
      <c r="N32" s="7">
        <f t="shared" si="17"/>
        <v>-0.59670607541918164</v>
      </c>
      <c r="O32" s="11"/>
      <c r="P32" s="8">
        <v>1504</v>
      </c>
      <c r="Q32" s="3"/>
      <c r="R32" s="7">
        <f t="shared" si="18"/>
        <v>0</v>
      </c>
      <c r="S32" s="3"/>
      <c r="T32" s="8">
        <v>3729.29</v>
      </c>
      <c r="U32" s="3"/>
      <c r="V32" s="7">
        <f t="shared" si="19"/>
        <v>1.7244681569278091E-2</v>
      </c>
      <c r="W32" s="3"/>
      <c r="X32" s="8">
        <f t="shared" si="20"/>
        <v>-2225.29</v>
      </c>
      <c r="Y32" s="3"/>
      <c r="Z32" s="7">
        <f t="shared" si="21"/>
        <v>-0.59670607541918164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8">
        <v>1044.4000000000001</v>
      </c>
      <c r="E33" s="3"/>
      <c r="F33" s="7">
        <f t="shared" si="14"/>
        <v>0</v>
      </c>
      <c r="G33" s="3"/>
      <c r="H33" s="8">
        <v>1413.82</v>
      </c>
      <c r="I33" s="3"/>
      <c r="J33" s="7">
        <f t="shared" si="15"/>
        <v>6.5376722368806796E-3</v>
      </c>
      <c r="K33" s="3"/>
      <c r="L33" s="8">
        <f t="shared" si="16"/>
        <v>-369.41999999999985</v>
      </c>
      <c r="M33" s="3"/>
      <c r="N33" s="7">
        <f t="shared" si="17"/>
        <v>-0.2612921022478108</v>
      </c>
      <c r="O33" s="11"/>
      <c r="P33" s="8">
        <v>1044.4000000000001</v>
      </c>
      <c r="Q33" s="3"/>
      <c r="R33" s="7">
        <f t="shared" si="18"/>
        <v>0</v>
      </c>
      <c r="S33" s="3"/>
      <c r="T33" s="8">
        <v>1413.82</v>
      </c>
      <c r="U33" s="3"/>
      <c r="V33" s="7">
        <f t="shared" si="19"/>
        <v>6.5376722368806796E-3</v>
      </c>
      <c r="W33" s="3"/>
      <c r="X33" s="8">
        <f t="shared" si="20"/>
        <v>-369.41999999999985</v>
      </c>
      <c r="Y33" s="3"/>
      <c r="Z33" s="7">
        <f t="shared" si="21"/>
        <v>-0.2612921022478108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33140.61</v>
      </c>
      <c r="E34" s="1"/>
      <c r="F34" s="5">
        <f t="shared" ref="F34:F40" si="22">IF(D$12=0,0,D34/D$12)</f>
        <v>0</v>
      </c>
      <c r="G34" s="1"/>
      <c r="H34" s="1">
        <f>SUM(OSRRefH22_1x_0)</f>
        <v>84309.140000000014</v>
      </c>
      <c r="I34" s="1"/>
      <c r="J34" s="5">
        <f t="shared" ref="J34:J40" si="23">IF(H$12=0,0,H34/H$12)</f>
        <v>0.38985551477082403</v>
      </c>
      <c r="K34" s="1"/>
      <c r="L34" s="1">
        <f t="shared" ref="L34:L40" si="24">+D34-H34</f>
        <v>-51168.530000000013</v>
      </c>
      <c r="M34" s="1"/>
      <c r="N34" s="5">
        <f t="shared" ref="N34:N40" si="25">IF(H34=0,0,L34/H34)</f>
        <v>-0.60691557285485309</v>
      </c>
      <c r="O34" s="14"/>
      <c r="P34" s="1">
        <f>SUM(OSRRefP22_1x_0)</f>
        <v>33140.61</v>
      </c>
      <c r="Q34" s="1"/>
      <c r="R34" s="5">
        <f t="shared" ref="R34:R40" si="26">IF(P$12=0,0,P34/P$12)</f>
        <v>0</v>
      </c>
      <c r="S34" s="1"/>
      <c r="T34" s="1">
        <f>SUM(OSRRefT22_1x_0)</f>
        <v>84309.140000000014</v>
      </c>
      <c r="U34" s="1"/>
      <c r="V34" s="5">
        <f t="shared" ref="V34:V40" si="27">IF(T$12=0,0,T34/T$12)</f>
        <v>0.38985551477082403</v>
      </c>
      <c r="W34" s="1"/>
      <c r="X34" s="1">
        <f t="shared" ref="X34:X40" si="28">+P34-T34</f>
        <v>-51168.530000000013</v>
      </c>
      <c r="Y34" s="1"/>
      <c r="Z34" s="5">
        <f t="shared" ref="Z34:Z40" si="29">IF(T34=0,0,X34/T34)</f>
        <v>-0.60691557285485309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8">
        <v>18321.599999999999</v>
      </c>
      <c r="E35" s="3"/>
      <c r="F35" s="7">
        <f t="shared" si="22"/>
        <v>0</v>
      </c>
      <c r="G35" s="3"/>
      <c r="H35" s="8">
        <v>18280.419999999998</v>
      </c>
      <c r="I35" s="3"/>
      <c r="J35" s="7">
        <f t="shared" si="23"/>
        <v>8.4530841487967565E-2</v>
      </c>
      <c r="K35" s="3"/>
      <c r="L35" s="8">
        <f t="shared" si="24"/>
        <v>41.180000000000291</v>
      </c>
      <c r="M35" s="3"/>
      <c r="N35" s="7">
        <f t="shared" si="25"/>
        <v>2.2526834722615945E-3</v>
      </c>
      <c r="O35" s="11"/>
      <c r="P35" s="8">
        <v>18321.599999999999</v>
      </c>
      <c r="Q35" s="3"/>
      <c r="R35" s="7">
        <f t="shared" si="26"/>
        <v>0</v>
      </c>
      <c r="S35" s="3"/>
      <c r="T35" s="8">
        <v>18280.419999999998</v>
      </c>
      <c r="U35" s="3"/>
      <c r="V35" s="7">
        <f t="shared" si="27"/>
        <v>8.4530841487967565E-2</v>
      </c>
      <c r="W35" s="3"/>
      <c r="X35" s="8">
        <f t="shared" si="28"/>
        <v>41.180000000000291</v>
      </c>
      <c r="Y35" s="3"/>
      <c r="Z35" s="7">
        <f t="shared" si="29"/>
        <v>2.2526834722615945E-3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8">
        <v>11965.01</v>
      </c>
      <c r="E36" s="3"/>
      <c r="F36" s="7">
        <f t="shared" si="22"/>
        <v>0</v>
      </c>
      <c r="G36" s="3"/>
      <c r="H36" s="8">
        <v>18404.070000000003</v>
      </c>
      <c r="I36" s="3"/>
      <c r="J36" s="7">
        <f t="shared" si="23"/>
        <v>8.5102613829630802E-2</v>
      </c>
      <c r="K36" s="3"/>
      <c r="L36" s="8">
        <f t="shared" si="24"/>
        <v>-6439.0600000000031</v>
      </c>
      <c r="M36" s="3"/>
      <c r="N36" s="7">
        <f t="shared" si="25"/>
        <v>-0.34987152298377489</v>
      </c>
      <c r="O36" s="11"/>
      <c r="P36" s="8">
        <v>11965.01</v>
      </c>
      <c r="Q36" s="3"/>
      <c r="R36" s="7">
        <f t="shared" si="26"/>
        <v>0</v>
      </c>
      <c r="S36" s="3"/>
      <c r="T36" s="8">
        <v>18404.070000000003</v>
      </c>
      <c r="U36" s="3"/>
      <c r="V36" s="7">
        <f t="shared" si="27"/>
        <v>8.5102613829630802E-2</v>
      </c>
      <c r="W36" s="3"/>
      <c r="X36" s="8">
        <f t="shared" si="28"/>
        <v>-6439.0600000000031</v>
      </c>
      <c r="Y36" s="3"/>
      <c r="Z36" s="7">
        <f t="shared" si="29"/>
        <v>-0.34987152298377489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8"/>
      <c r="E37" s="3"/>
      <c r="F37" s="7">
        <f t="shared" si="22"/>
        <v>0</v>
      </c>
      <c r="G37" s="3"/>
      <c r="H37" s="8">
        <v>18196.510000000002</v>
      </c>
      <c r="I37" s="3"/>
      <c r="J37" s="7">
        <f t="shared" si="23"/>
        <v>8.4142831644142588E-2</v>
      </c>
      <c r="K37" s="3"/>
      <c r="L37" s="8">
        <f t="shared" si="24"/>
        <v>-18196.510000000002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18196.510000000002</v>
      </c>
      <c r="U37" s="3"/>
      <c r="V37" s="7">
        <f t="shared" si="27"/>
        <v>8.4142831644142588E-2</v>
      </c>
      <c r="W37" s="3"/>
      <c r="X37" s="8">
        <f t="shared" si="28"/>
        <v>-18196.510000000002</v>
      </c>
      <c r="Y37" s="3"/>
      <c r="Z37" s="7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8"/>
      <c r="E38" s="3"/>
      <c r="F38" s="7">
        <f t="shared" si="22"/>
        <v>0</v>
      </c>
      <c r="G38" s="3"/>
      <c r="H38" s="8">
        <v>2451</v>
      </c>
      <c r="I38" s="3"/>
      <c r="J38" s="7">
        <f t="shared" si="23"/>
        <v>1.1333716210404823E-2</v>
      </c>
      <c r="K38" s="3"/>
      <c r="L38" s="8">
        <f t="shared" si="24"/>
        <v>-2451</v>
      </c>
      <c r="M38" s="3"/>
      <c r="N38" s="7">
        <f t="shared" si="25"/>
        <v>-1</v>
      </c>
      <c r="O38" s="11"/>
      <c r="P38" s="8"/>
      <c r="Q38" s="3"/>
      <c r="R38" s="7">
        <f t="shared" si="26"/>
        <v>0</v>
      </c>
      <c r="S38" s="3"/>
      <c r="T38" s="8">
        <v>2451</v>
      </c>
      <c r="U38" s="3"/>
      <c r="V38" s="7">
        <f t="shared" si="27"/>
        <v>1.1333716210404823E-2</v>
      </c>
      <c r="W38" s="3"/>
      <c r="X38" s="8">
        <f t="shared" si="28"/>
        <v>-2451</v>
      </c>
      <c r="Y38" s="3"/>
      <c r="Z38" s="7">
        <f t="shared" si="29"/>
        <v>-1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8">
        <v>2854</v>
      </c>
      <c r="E39" s="3"/>
      <c r="F39" s="7">
        <f t="shared" si="22"/>
        <v>0</v>
      </c>
      <c r="G39" s="3"/>
      <c r="H39" s="8">
        <v>21883.14</v>
      </c>
      <c r="I39" s="3"/>
      <c r="J39" s="7">
        <f t="shared" si="23"/>
        <v>0.10119024828745743</v>
      </c>
      <c r="K39" s="3"/>
      <c r="L39" s="8">
        <f t="shared" si="24"/>
        <v>-19029.14</v>
      </c>
      <c r="M39" s="3"/>
      <c r="N39" s="7">
        <f t="shared" si="25"/>
        <v>-0.86957995973155588</v>
      </c>
      <c r="O39" s="11"/>
      <c r="P39" s="8">
        <v>2854</v>
      </c>
      <c r="Q39" s="3"/>
      <c r="R39" s="7">
        <f t="shared" si="26"/>
        <v>0</v>
      </c>
      <c r="S39" s="3"/>
      <c r="T39" s="8">
        <v>21883.14</v>
      </c>
      <c r="U39" s="3"/>
      <c r="V39" s="7">
        <f t="shared" si="27"/>
        <v>0.10119024828745743</v>
      </c>
      <c r="W39" s="3"/>
      <c r="X39" s="8">
        <f t="shared" si="28"/>
        <v>-19029.14</v>
      </c>
      <c r="Y39" s="3"/>
      <c r="Z39" s="7">
        <f t="shared" si="29"/>
        <v>-0.86957995973155588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8"/>
      <c r="E40" s="3"/>
      <c r="F40" s="7">
        <f t="shared" si="22"/>
        <v>0</v>
      </c>
      <c r="G40" s="3"/>
      <c r="H40" s="8">
        <v>5094</v>
      </c>
      <c r="I40" s="3"/>
      <c r="J40" s="7">
        <f t="shared" si="23"/>
        <v>2.3555263311220792E-2</v>
      </c>
      <c r="K40" s="3"/>
      <c r="L40" s="8">
        <f t="shared" si="24"/>
        <v>-5094</v>
      </c>
      <c r="M40" s="3"/>
      <c r="N40" s="7">
        <f t="shared" si="25"/>
        <v>-1</v>
      </c>
      <c r="O40" s="11"/>
      <c r="P40" s="8"/>
      <c r="Q40" s="3"/>
      <c r="R40" s="7">
        <f t="shared" si="26"/>
        <v>0</v>
      </c>
      <c r="S40" s="3"/>
      <c r="T40" s="8">
        <v>5094</v>
      </c>
      <c r="U40" s="3"/>
      <c r="V40" s="7">
        <f t="shared" si="27"/>
        <v>2.3555263311220792E-2</v>
      </c>
      <c r="W40" s="3"/>
      <c r="X40" s="8">
        <f t="shared" si="28"/>
        <v>-5094</v>
      </c>
      <c r="Y40" s="3"/>
      <c r="Z40" s="7">
        <f t="shared" si="29"/>
        <v>-1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519.74</v>
      </c>
      <c r="E41" s="1"/>
      <c r="F41" s="5">
        <f t="shared" ref="F41:F58" si="30">IF(D$12=0,0,D41/D$12)</f>
        <v>0</v>
      </c>
      <c r="G41" s="1"/>
      <c r="H41" s="1">
        <f>SUM(OSRRefH22_2x_0)</f>
        <v>422.69</v>
      </c>
      <c r="I41" s="1"/>
      <c r="J41" s="5">
        <f t="shared" ref="J41:J58" si="31">IF(H$12=0,0,H41/H$12)</f>
        <v>1.9545689534785859E-3</v>
      </c>
      <c r="K41" s="1"/>
      <c r="L41" s="1">
        <f t="shared" ref="L41:L58" si="32">+D41-H41</f>
        <v>97.050000000000011</v>
      </c>
      <c r="M41" s="1"/>
      <c r="N41" s="5">
        <f t="shared" ref="N41:N58" si="33">IF(H41=0,0,L41/H41)</f>
        <v>0.22960088954079824</v>
      </c>
      <c r="O41" s="14"/>
      <c r="P41" s="1">
        <f>SUM(OSRRefP22_2x_0)</f>
        <v>519.74</v>
      </c>
      <c r="Q41" s="1"/>
      <c r="R41" s="5">
        <f t="shared" ref="R41:R58" si="34">IF(P$12=0,0,P41/P$12)</f>
        <v>0</v>
      </c>
      <c r="S41" s="1"/>
      <c r="T41" s="1">
        <f>SUM(OSRRefT22_2x_0)</f>
        <v>422.69</v>
      </c>
      <c r="U41" s="1"/>
      <c r="V41" s="5">
        <f t="shared" ref="V41:V58" si="35">IF(T$12=0,0,T41/T$12)</f>
        <v>1.9545689534785859E-3</v>
      </c>
      <c r="W41" s="1"/>
      <c r="X41" s="1">
        <f t="shared" ref="X41:X58" si="36">+P41-T41</f>
        <v>97.050000000000011</v>
      </c>
      <c r="Y41" s="1"/>
      <c r="Z41" s="5">
        <f t="shared" ref="Z41:Z58" si="37">IF(T41=0,0,X41/T41)</f>
        <v>0.22960088954079824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8">
        <v>519.74</v>
      </c>
      <c r="E42" s="3"/>
      <c r="F42" s="7">
        <f t="shared" si="30"/>
        <v>0</v>
      </c>
      <c r="G42" s="3"/>
      <c r="H42" s="8">
        <v>422.69</v>
      </c>
      <c r="I42" s="3"/>
      <c r="J42" s="7">
        <f t="shared" si="31"/>
        <v>1.9545689534785859E-3</v>
      </c>
      <c r="K42" s="3"/>
      <c r="L42" s="8">
        <f t="shared" si="32"/>
        <v>97.050000000000011</v>
      </c>
      <c r="M42" s="3"/>
      <c r="N42" s="7">
        <f t="shared" si="33"/>
        <v>0.22960088954079824</v>
      </c>
      <c r="O42" s="11"/>
      <c r="P42" s="8">
        <v>519.74</v>
      </c>
      <c r="Q42" s="3"/>
      <c r="R42" s="7">
        <f t="shared" si="34"/>
        <v>0</v>
      </c>
      <c r="S42" s="3"/>
      <c r="T42" s="8">
        <v>422.69</v>
      </c>
      <c r="U42" s="3"/>
      <c r="V42" s="7">
        <f t="shared" si="35"/>
        <v>1.9545689534785859E-3</v>
      </c>
      <c r="W42" s="3"/>
      <c r="X42" s="8">
        <f t="shared" si="36"/>
        <v>97.050000000000011</v>
      </c>
      <c r="Y42" s="3"/>
      <c r="Z42" s="7">
        <f t="shared" si="37"/>
        <v>0.22960088954079824</v>
      </c>
    </row>
    <row r="43" spans="1:26" s="27" customFormat="1" outlineLevel="1" collapsed="1" x14ac:dyDescent="0.25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-2</v>
      </c>
      <c r="I43" s="1"/>
      <c r="J43" s="5">
        <f t="shared" si="31"/>
        <v>-9.2482384417827997E-6</v>
      </c>
      <c r="K43" s="1"/>
      <c r="L43" s="1">
        <f t="shared" si="32"/>
        <v>2</v>
      </c>
      <c r="M43" s="1"/>
      <c r="N43" s="5">
        <f t="shared" si="33"/>
        <v>-1</v>
      </c>
      <c r="O43" s="14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-2</v>
      </c>
      <c r="U43" s="1"/>
      <c r="V43" s="5">
        <f t="shared" si="35"/>
        <v>-9.2482384417827997E-6</v>
      </c>
      <c r="W43" s="1"/>
      <c r="X43" s="1">
        <f t="shared" si="36"/>
        <v>2</v>
      </c>
      <c r="Y43" s="1"/>
      <c r="Z43" s="5">
        <f t="shared" si="37"/>
        <v>-1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8"/>
      <c r="E44" s="3"/>
      <c r="F44" s="7">
        <f t="shared" si="30"/>
        <v>0</v>
      </c>
      <c r="G44" s="3"/>
      <c r="H44" s="8">
        <v>-2</v>
      </c>
      <c r="I44" s="3"/>
      <c r="J44" s="7">
        <f t="shared" si="31"/>
        <v>-9.2482384417827997E-6</v>
      </c>
      <c r="K44" s="3"/>
      <c r="L44" s="8">
        <f t="shared" si="32"/>
        <v>2</v>
      </c>
      <c r="M44" s="3"/>
      <c r="N44" s="7">
        <f t="shared" si="33"/>
        <v>-1</v>
      </c>
      <c r="O44" s="11"/>
      <c r="P44" s="8"/>
      <c r="Q44" s="3"/>
      <c r="R44" s="7">
        <f t="shared" si="34"/>
        <v>0</v>
      </c>
      <c r="S44" s="3"/>
      <c r="T44" s="8">
        <v>-2</v>
      </c>
      <c r="U44" s="3"/>
      <c r="V44" s="7">
        <f t="shared" si="35"/>
        <v>-9.2482384417827997E-6</v>
      </c>
      <c r="W44" s="3"/>
      <c r="X44" s="8">
        <f t="shared" si="36"/>
        <v>2</v>
      </c>
      <c r="Y44" s="3"/>
      <c r="Z44" s="7">
        <f t="shared" si="37"/>
        <v>-1</v>
      </c>
    </row>
    <row r="45" spans="1:26" s="27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294.55</v>
      </c>
      <c r="I45" s="1"/>
      <c r="J45" s="5">
        <f t="shared" si="31"/>
        <v>1.3620343165135619E-3</v>
      </c>
      <c r="K45" s="1"/>
      <c r="L45" s="1">
        <f t="shared" si="32"/>
        <v>-294.55</v>
      </c>
      <c r="M45" s="1"/>
      <c r="N45" s="5">
        <f t="shared" si="33"/>
        <v>-1</v>
      </c>
      <c r="O45" s="14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294.55</v>
      </c>
      <c r="U45" s="1"/>
      <c r="V45" s="5">
        <f t="shared" si="35"/>
        <v>1.3620343165135619E-3</v>
      </c>
      <c r="W45" s="1"/>
      <c r="X45" s="1">
        <f t="shared" si="36"/>
        <v>-294.55</v>
      </c>
      <c r="Y45" s="1"/>
      <c r="Z45" s="5">
        <f t="shared" si="37"/>
        <v>-1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8"/>
      <c r="E46" s="3"/>
      <c r="F46" s="7">
        <f t="shared" si="30"/>
        <v>0</v>
      </c>
      <c r="G46" s="3"/>
      <c r="H46" s="8">
        <v>294.55</v>
      </c>
      <c r="I46" s="3"/>
      <c r="J46" s="7">
        <f t="shared" si="31"/>
        <v>1.3620343165135619E-3</v>
      </c>
      <c r="K46" s="3"/>
      <c r="L46" s="8">
        <f t="shared" si="32"/>
        <v>-294.55</v>
      </c>
      <c r="M46" s="3"/>
      <c r="N46" s="7">
        <f t="shared" si="33"/>
        <v>-1</v>
      </c>
      <c r="O46" s="11"/>
      <c r="P46" s="8"/>
      <c r="Q46" s="3"/>
      <c r="R46" s="7">
        <f t="shared" si="34"/>
        <v>0</v>
      </c>
      <c r="S46" s="3"/>
      <c r="T46" s="8">
        <v>294.55</v>
      </c>
      <c r="U46" s="3"/>
      <c r="V46" s="7">
        <f t="shared" si="35"/>
        <v>1.3620343165135619E-3</v>
      </c>
      <c r="W46" s="3"/>
      <c r="X46" s="8">
        <f t="shared" si="36"/>
        <v>-294.55</v>
      </c>
      <c r="Y46" s="3"/>
      <c r="Z46" s="7">
        <f t="shared" si="37"/>
        <v>-1</v>
      </c>
    </row>
    <row r="47" spans="1:26" s="27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207.6</v>
      </c>
      <c r="E47" s="1"/>
      <c r="F47" s="5">
        <f t="shared" si="30"/>
        <v>0</v>
      </c>
      <c r="G47" s="1"/>
      <c r="H47" s="1">
        <f>SUM(OSRRefH22_5x_0)</f>
        <v>167.85</v>
      </c>
      <c r="I47" s="1"/>
      <c r="J47" s="5">
        <f t="shared" si="31"/>
        <v>7.7615841122662154E-4</v>
      </c>
      <c r="K47" s="1"/>
      <c r="L47" s="1">
        <f t="shared" si="32"/>
        <v>39.75</v>
      </c>
      <c r="M47" s="1"/>
      <c r="N47" s="5">
        <f t="shared" si="33"/>
        <v>0.23681858802502234</v>
      </c>
      <c r="O47" s="14"/>
      <c r="P47" s="1">
        <f>SUM(OSRRefP22_5x_0)</f>
        <v>207.6</v>
      </c>
      <c r="Q47" s="1"/>
      <c r="R47" s="5">
        <f t="shared" si="34"/>
        <v>0</v>
      </c>
      <c r="S47" s="1"/>
      <c r="T47" s="1">
        <f>SUM(OSRRefT22_5x_0)</f>
        <v>167.85</v>
      </c>
      <c r="U47" s="1"/>
      <c r="V47" s="5">
        <f t="shared" si="35"/>
        <v>7.7615841122662154E-4</v>
      </c>
      <c r="W47" s="1"/>
      <c r="X47" s="1">
        <f t="shared" si="36"/>
        <v>39.75</v>
      </c>
      <c r="Y47" s="1"/>
      <c r="Z47" s="5">
        <f t="shared" si="37"/>
        <v>0.23681858802502234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8">
        <v>207.6</v>
      </c>
      <c r="E48" s="3"/>
      <c r="F48" s="7">
        <f t="shared" si="30"/>
        <v>0</v>
      </c>
      <c r="G48" s="3"/>
      <c r="H48" s="8">
        <v>167.85</v>
      </c>
      <c r="I48" s="3"/>
      <c r="J48" s="7">
        <f t="shared" si="31"/>
        <v>7.7615841122662154E-4</v>
      </c>
      <c r="K48" s="3"/>
      <c r="L48" s="8">
        <f t="shared" si="32"/>
        <v>39.75</v>
      </c>
      <c r="M48" s="3"/>
      <c r="N48" s="7">
        <f t="shared" si="33"/>
        <v>0.23681858802502234</v>
      </c>
      <c r="O48" s="11"/>
      <c r="P48" s="8">
        <v>207.6</v>
      </c>
      <c r="Q48" s="3"/>
      <c r="R48" s="7">
        <f t="shared" si="34"/>
        <v>0</v>
      </c>
      <c r="S48" s="3"/>
      <c r="T48" s="8">
        <v>167.85</v>
      </c>
      <c r="U48" s="3"/>
      <c r="V48" s="7">
        <f t="shared" si="35"/>
        <v>7.7615841122662154E-4</v>
      </c>
      <c r="W48" s="3"/>
      <c r="X48" s="8">
        <f t="shared" si="36"/>
        <v>39.75</v>
      </c>
      <c r="Y48" s="3"/>
      <c r="Z48" s="7">
        <f t="shared" si="37"/>
        <v>0.23681858802502234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1439.55</v>
      </c>
      <c r="E49" s="1"/>
      <c r="F49" s="5">
        <f t="shared" si="30"/>
        <v>0</v>
      </c>
      <c r="G49" s="1"/>
      <c r="H49" s="1">
        <f>SUM(OSRRefH22_6x_0)</f>
        <v>1517.1</v>
      </c>
      <c r="I49" s="1"/>
      <c r="J49" s="5">
        <f t="shared" si="31"/>
        <v>7.0152512700143426E-3</v>
      </c>
      <c r="K49" s="1"/>
      <c r="L49" s="1">
        <f t="shared" si="32"/>
        <v>-77.549999999999955</v>
      </c>
      <c r="M49" s="1"/>
      <c r="N49" s="5">
        <f t="shared" si="33"/>
        <v>-5.1117263199525385E-2</v>
      </c>
      <c r="O49" s="14"/>
      <c r="P49" s="1">
        <f>SUM(OSRRefP22_6x_0)</f>
        <v>1439.55</v>
      </c>
      <c r="Q49" s="1"/>
      <c r="R49" s="5">
        <f t="shared" si="34"/>
        <v>0</v>
      </c>
      <c r="S49" s="1"/>
      <c r="T49" s="1">
        <f>SUM(OSRRefT22_6x_0)</f>
        <v>1517.1</v>
      </c>
      <c r="U49" s="1"/>
      <c r="V49" s="5">
        <f t="shared" si="35"/>
        <v>7.0152512700143426E-3</v>
      </c>
      <c r="W49" s="1"/>
      <c r="X49" s="1">
        <f t="shared" si="36"/>
        <v>-77.549999999999955</v>
      </c>
      <c r="Y49" s="1"/>
      <c r="Z49" s="5">
        <f t="shared" si="37"/>
        <v>-5.1117263199525385E-2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8">
        <v>1439.55</v>
      </c>
      <c r="E50" s="3"/>
      <c r="F50" s="7">
        <f t="shared" si="30"/>
        <v>0</v>
      </c>
      <c r="G50" s="3"/>
      <c r="H50" s="8">
        <v>1517.1</v>
      </c>
      <c r="I50" s="3"/>
      <c r="J50" s="7">
        <f t="shared" si="31"/>
        <v>7.0152512700143426E-3</v>
      </c>
      <c r="K50" s="3"/>
      <c r="L50" s="8">
        <f t="shared" si="32"/>
        <v>-77.549999999999955</v>
      </c>
      <c r="M50" s="3"/>
      <c r="N50" s="7">
        <f t="shared" si="33"/>
        <v>-5.1117263199525385E-2</v>
      </c>
      <c r="O50" s="11"/>
      <c r="P50" s="8">
        <v>1439.55</v>
      </c>
      <c r="Q50" s="3"/>
      <c r="R50" s="7">
        <f t="shared" si="34"/>
        <v>0</v>
      </c>
      <c r="S50" s="3"/>
      <c r="T50" s="8">
        <v>1517.1</v>
      </c>
      <c r="U50" s="3"/>
      <c r="V50" s="7">
        <f t="shared" si="35"/>
        <v>7.0152512700143426E-3</v>
      </c>
      <c r="W50" s="3"/>
      <c r="X50" s="8">
        <f t="shared" si="36"/>
        <v>-77.549999999999955</v>
      </c>
      <c r="Y50" s="3"/>
      <c r="Z50" s="7">
        <f t="shared" si="37"/>
        <v>-5.1117263199525385E-2</v>
      </c>
    </row>
    <row r="51" spans="1:26" s="27" customFormat="1" outlineLevel="1" collapsed="1" x14ac:dyDescent="0.25">
      <c r="A51" s="28"/>
      <c r="B51" s="14" t="str">
        <f>CONCATENATE("     ","R/H Commissions                                   ")</f>
        <v xml:space="preserve">     R/H Commissions                                   </v>
      </c>
      <c r="C51" s="14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16622.96</v>
      </c>
      <c r="I51" s="1"/>
      <c r="J51" s="5">
        <f t="shared" si="31"/>
        <v>7.6866548844108901E-2</v>
      </c>
      <c r="K51" s="1"/>
      <c r="L51" s="1">
        <f t="shared" si="32"/>
        <v>-16622.96</v>
      </c>
      <c r="M51" s="1"/>
      <c r="N51" s="5">
        <f t="shared" si="33"/>
        <v>-1</v>
      </c>
      <c r="O51" s="14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16622.96</v>
      </c>
      <c r="U51" s="1"/>
      <c r="V51" s="5">
        <f t="shared" si="35"/>
        <v>7.6866548844108901E-2</v>
      </c>
      <c r="W51" s="1"/>
      <c r="X51" s="1">
        <f t="shared" si="36"/>
        <v>-16622.96</v>
      </c>
      <c r="Y51" s="1"/>
      <c r="Z51" s="5">
        <f t="shared" si="37"/>
        <v>-1</v>
      </c>
    </row>
    <row r="52" spans="1:26" s="24" customFormat="1" hidden="1" outlineLevel="2" x14ac:dyDescent="0.25">
      <c r="A52" s="29"/>
      <c r="B52" s="11" t="str">
        <f>CONCATENATE("          ", "6387", " - ", "COMMISSION DUE HOUSING")</f>
        <v xml:space="preserve">          6387 - COMMISSION DUE HOUSING</v>
      </c>
      <c r="C52" s="11"/>
      <c r="D52" s="8"/>
      <c r="E52" s="3"/>
      <c r="F52" s="7">
        <f t="shared" si="30"/>
        <v>0</v>
      </c>
      <c r="G52" s="3"/>
      <c r="H52" s="8">
        <v>16622.96</v>
      </c>
      <c r="I52" s="3"/>
      <c r="J52" s="7">
        <f t="shared" si="31"/>
        <v>7.6866548844108901E-2</v>
      </c>
      <c r="K52" s="3"/>
      <c r="L52" s="8">
        <f t="shared" si="32"/>
        <v>-16622.96</v>
      </c>
      <c r="M52" s="3"/>
      <c r="N52" s="7">
        <f t="shared" si="33"/>
        <v>-1</v>
      </c>
      <c r="O52" s="11"/>
      <c r="P52" s="8"/>
      <c r="Q52" s="3"/>
      <c r="R52" s="7">
        <f t="shared" si="34"/>
        <v>0</v>
      </c>
      <c r="S52" s="3"/>
      <c r="T52" s="8">
        <v>16622.96</v>
      </c>
      <c r="U52" s="3"/>
      <c r="V52" s="7">
        <f t="shared" si="35"/>
        <v>7.6866548844108901E-2</v>
      </c>
      <c r="W52" s="3"/>
      <c r="X52" s="8">
        <f t="shared" si="36"/>
        <v>-16622.96</v>
      </c>
      <c r="Y52" s="3"/>
      <c r="Z52" s="7">
        <f t="shared" si="37"/>
        <v>-1</v>
      </c>
    </row>
    <row r="53" spans="1:26" s="27" customFormat="1" outlineLevel="1" collapsed="1" x14ac:dyDescent="0.25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1.65</v>
      </c>
      <c r="E53" s="1"/>
      <c r="F53" s="5">
        <f t="shared" si="30"/>
        <v>0</v>
      </c>
      <c r="G53" s="1"/>
      <c r="H53" s="1">
        <f>SUM(OSRRefH22_8x_0)</f>
        <v>8.82</v>
      </c>
      <c r="I53" s="1"/>
      <c r="J53" s="5">
        <f t="shared" si="31"/>
        <v>4.0784731528262154E-5</v>
      </c>
      <c r="K53" s="1"/>
      <c r="L53" s="1">
        <f t="shared" si="32"/>
        <v>-7.17</v>
      </c>
      <c r="M53" s="1"/>
      <c r="N53" s="5">
        <f t="shared" si="33"/>
        <v>-0.81292517006802723</v>
      </c>
      <c r="O53" s="14"/>
      <c r="P53" s="1">
        <f>SUM(OSRRefP22_8x_0)</f>
        <v>1.65</v>
      </c>
      <c r="Q53" s="1"/>
      <c r="R53" s="5">
        <f t="shared" si="34"/>
        <v>0</v>
      </c>
      <c r="S53" s="1"/>
      <c r="T53" s="1">
        <f>SUM(OSRRefT22_8x_0)</f>
        <v>8.82</v>
      </c>
      <c r="U53" s="1"/>
      <c r="V53" s="5">
        <f t="shared" si="35"/>
        <v>4.0784731528262154E-5</v>
      </c>
      <c r="W53" s="1"/>
      <c r="X53" s="1">
        <f t="shared" si="36"/>
        <v>-7.17</v>
      </c>
      <c r="Y53" s="1"/>
      <c r="Z53" s="5">
        <f t="shared" si="37"/>
        <v>-0.81292517006802723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8">
        <v>1.65</v>
      </c>
      <c r="E54" s="3"/>
      <c r="F54" s="7">
        <f t="shared" si="30"/>
        <v>0</v>
      </c>
      <c r="G54" s="3"/>
      <c r="H54" s="8">
        <v>8.82</v>
      </c>
      <c r="I54" s="3"/>
      <c r="J54" s="7">
        <f t="shared" si="31"/>
        <v>4.0784731528262154E-5</v>
      </c>
      <c r="K54" s="3"/>
      <c r="L54" s="8">
        <f t="shared" si="32"/>
        <v>-7.17</v>
      </c>
      <c r="M54" s="3"/>
      <c r="N54" s="7">
        <f t="shared" si="33"/>
        <v>-0.81292517006802723</v>
      </c>
      <c r="O54" s="11"/>
      <c r="P54" s="8">
        <v>1.65</v>
      </c>
      <c r="Q54" s="3"/>
      <c r="R54" s="7">
        <f t="shared" si="34"/>
        <v>0</v>
      </c>
      <c r="S54" s="3"/>
      <c r="T54" s="8">
        <v>8.82</v>
      </c>
      <c r="U54" s="3"/>
      <c r="V54" s="7">
        <f t="shared" si="35"/>
        <v>4.0784731528262154E-5</v>
      </c>
      <c r="W54" s="3"/>
      <c r="X54" s="8">
        <f t="shared" si="36"/>
        <v>-7.17</v>
      </c>
      <c r="Y54" s="3"/>
      <c r="Z54" s="7">
        <f t="shared" si="37"/>
        <v>-0.81292517006802723</v>
      </c>
    </row>
    <row r="55" spans="1:26" s="27" customFormat="1" outlineLevel="1" collapsed="1" x14ac:dyDescent="0.25">
      <c r="A55" s="28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SUM(OSRRefD22_9x_0)</f>
        <v>574.88</v>
      </c>
      <c r="E55" s="1"/>
      <c r="F55" s="5">
        <f t="shared" si="30"/>
        <v>0</v>
      </c>
      <c r="G55" s="1"/>
      <c r="H55" s="1">
        <f>SUM(OSRRefH22_9x_0)</f>
        <v>6097.79</v>
      </c>
      <c r="I55" s="1"/>
      <c r="J55" s="5">
        <f t="shared" si="31"/>
        <v>2.8196907943959373E-2</v>
      </c>
      <c r="K55" s="1"/>
      <c r="L55" s="1">
        <f t="shared" si="32"/>
        <v>-5522.91</v>
      </c>
      <c r="M55" s="1"/>
      <c r="N55" s="5">
        <f t="shared" si="33"/>
        <v>-0.90572322103581793</v>
      </c>
      <c r="O55" s="14"/>
      <c r="P55" s="1">
        <f>SUM(OSRRefP22_9x_0)</f>
        <v>574.88</v>
      </c>
      <c r="Q55" s="1"/>
      <c r="R55" s="5">
        <f t="shared" si="34"/>
        <v>0</v>
      </c>
      <c r="S55" s="1"/>
      <c r="T55" s="1">
        <f>SUM(OSRRefT22_9x_0)</f>
        <v>6097.79</v>
      </c>
      <c r="U55" s="1"/>
      <c r="V55" s="5">
        <f t="shared" si="35"/>
        <v>2.8196907943959373E-2</v>
      </c>
      <c r="W55" s="1"/>
      <c r="X55" s="1">
        <f t="shared" si="36"/>
        <v>-5522.91</v>
      </c>
      <c r="Y55" s="1"/>
      <c r="Z55" s="5">
        <f t="shared" si="37"/>
        <v>-0.90572322103581793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8">
        <v>421.34</v>
      </c>
      <c r="E56" s="3"/>
      <c r="F56" s="7">
        <f t="shared" si="30"/>
        <v>0</v>
      </c>
      <c r="G56" s="3"/>
      <c r="H56" s="8">
        <v>421.34</v>
      </c>
      <c r="I56" s="3"/>
      <c r="J56" s="7">
        <f t="shared" si="31"/>
        <v>1.9483263925303826E-3</v>
      </c>
      <c r="K56" s="3"/>
      <c r="L56" s="8">
        <f t="shared" si="32"/>
        <v>0</v>
      </c>
      <c r="M56" s="3"/>
      <c r="N56" s="7">
        <f t="shared" si="33"/>
        <v>0</v>
      </c>
      <c r="O56" s="11"/>
      <c r="P56" s="8">
        <v>421.34</v>
      </c>
      <c r="Q56" s="3"/>
      <c r="R56" s="7">
        <f t="shared" si="34"/>
        <v>0</v>
      </c>
      <c r="S56" s="3"/>
      <c r="T56" s="8">
        <v>421.34</v>
      </c>
      <c r="U56" s="3"/>
      <c r="V56" s="7">
        <f t="shared" si="35"/>
        <v>1.9483263925303826E-3</v>
      </c>
      <c r="W56" s="3"/>
      <c r="X56" s="8">
        <f t="shared" si="36"/>
        <v>0</v>
      </c>
      <c r="Y56" s="3"/>
      <c r="Z56" s="7">
        <f t="shared" si="37"/>
        <v>0</v>
      </c>
    </row>
    <row r="57" spans="1:26" s="24" customFormat="1" hidden="1" outlineLevel="2" x14ac:dyDescent="0.25">
      <c r="A57" s="29"/>
      <c r="B57" s="11" t="str">
        <f>CONCATENATE("          ", "6285", " - ", "JANITORIAL SERVICES")</f>
        <v xml:space="preserve">          6285 - JANITORIAL SERVICES</v>
      </c>
      <c r="C57" s="11"/>
      <c r="D57" s="8"/>
      <c r="E57" s="3"/>
      <c r="F57" s="7">
        <f t="shared" si="30"/>
        <v>0</v>
      </c>
      <c r="G57" s="3"/>
      <c r="H57" s="8">
        <v>4104.17</v>
      </c>
      <c r="I57" s="3"/>
      <c r="J57" s="7">
        <f t="shared" si="31"/>
        <v>1.8978171382805858E-2</v>
      </c>
      <c r="K57" s="3"/>
      <c r="L57" s="8">
        <f t="shared" si="32"/>
        <v>-4104.17</v>
      </c>
      <c r="M57" s="3"/>
      <c r="N57" s="7">
        <f t="shared" si="33"/>
        <v>-1</v>
      </c>
      <c r="O57" s="11"/>
      <c r="P57" s="8"/>
      <c r="Q57" s="3"/>
      <c r="R57" s="7">
        <f t="shared" si="34"/>
        <v>0</v>
      </c>
      <c r="S57" s="3"/>
      <c r="T57" s="8">
        <v>4104.17</v>
      </c>
      <c r="U57" s="3"/>
      <c r="V57" s="7">
        <f t="shared" si="35"/>
        <v>1.8978171382805858E-2</v>
      </c>
      <c r="W57" s="3"/>
      <c r="X57" s="8">
        <f t="shared" si="36"/>
        <v>-4104.17</v>
      </c>
      <c r="Y57" s="3"/>
      <c r="Z57" s="7">
        <f t="shared" si="37"/>
        <v>-1</v>
      </c>
    </row>
    <row r="58" spans="1:26" s="24" customFormat="1" hidden="1" outlineLevel="2" x14ac:dyDescent="0.25">
      <c r="A58" s="29"/>
      <c r="B58" s="11" t="str">
        <f>CONCATENATE("          ", "6286", " - ", "LAUNDRY EXPENSE")</f>
        <v xml:space="preserve">          6286 - LAUNDRY EXPENSE</v>
      </c>
      <c r="C58" s="11"/>
      <c r="D58" s="8">
        <v>153.54</v>
      </c>
      <c r="E58" s="3"/>
      <c r="F58" s="7">
        <f t="shared" si="30"/>
        <v>0</v>
      </c>
      <c r="G58" s="3"/>
      <c r="H58" s="8">
        <v>1572.28</v>
      </c>
      <c r="I58" s="3"/>
      <c r="J58" s="7">
        <f t="shared" si="31"/>
        <v>7.2704101686231308E-3</v>
      </c>
      <c r="K58" s="3"/>
      <c r="L58" s="8">
        <f t="shared" si="32"/>
        <v>-1418.74</v>
      </c>
      <c r="M58" s="3"/>
      <c r="N58" s="7">
        <f t="shared" si="33"/>
        <v>-0.90234563818149438</v>
      </c>
      <c r="O58" s="11"/>
      <c r="P58" s="8">
        <v>153.54</v>
      </c>
      <c r="Q58" s="3"/>
      <c r="R58" s="7">
        <f t="shared" si="34"/>
        <v>0</v>
      </c>
      <c r="S58" s="3"/>
      <c r="T58" s="8">
        <v>1572.28</v>
      </c>
      <c r="U58" s="3"/>
      <c r="V58" s="7">
        <f t="shared" si="35"/>
        <v>7.2704101686231308E-3</v>
      </c>
      <c r="W58" s="3"/>
      <c r="X58" s="8">
        <f t="shared" si="36"/>
        <v>-1418.74</v>
      </c>
      <c r="Y58" s="3"/>
      <c r="Z58" s="7">
        <f t="shared" si="37"/>
        <v>-0.90234563818149438</v>
      </c>
    </row>
    <row r="59" spans="1:26" s="27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SUM(OSRRefD22_10x_0)</f>
        <v>0</v>
      </c>
      <c r="E59" s="1"/>
      <c r="F59" s="5">
        <f t="shared" ref="F59:F64" si="38">IF(D$12=0,0,D59/D$12)</f>
        <v>0</v>
      </c>
      <c r="G59" s="1"/>
      <c r="H59" s="1">
        <f>SUM(OSRRefH22_10x_0)</f>
        <v>7812.57</v>
      </c>
      <c r="I59" s="1"/>
      <c r="J59" s="5">
        <f t="shared" ref="J59:J64" si="39">IF(H$12=0,0,H59/H$12)</f>
        <v>3.6126255101559528E-2</v>
      </c>
      <c r="K59" s="1"/>
      <c r="L59" s="1">
        <f t="shared" ref="L59:L64" si="40">+D59-H59</f>
        <v>-7812.57</v>
      </c>
      <c r="M59" s="1"/>
      <c r="N59" s="5">
        <f t="shared" ref="N59:N64" si="41">IF(H59=0,0,L59/H59)</f>
        <v>-1</v>
      </c>
      <c r="O59" s="14"/>
      <c r="P59" s="1">
        <f>SUM(OSRRefP22_10x_0)</f>
        <v>0</v>
      </c>
      <c r="Q59" s="1"/>
      <c r="R59" s="5">
        <f t="shared" ref="R59:R64" si="42">IF(P$12=0,0,P59/P$12)</f>
        <v>0</v>
      </c>
      <c r="S59" s="1"/>
      <c r="T59" s="1">
        <f>SUM(OSRRefT22_10x_0)</f>
        <v>7812.57</v>
      </c>
      <c r="U59" s="1"/>
      <c r="V59" s="5">
        <f t="shared" ref="V59:V64" si="43">IF(T$12=0,0,T59/T$12)</f>
        <v>3.6126255101559528E-2</v>
      </c>
      <c r="W59" s="1"/>
      <c r="X59" s="1">
        <f t="shared" ref="X59:X64" si="44">+P59-T59</f>
        <v>-7812.57</v>
      </c>
      <c r="Y59" s="1"/>
      <c r="Z59" s="5">
        <f t="shared" ref="Z59:Z64" si="45">IF(T59=0,0,X59/T59)</f>
        <v>-1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8"/>
      <c r="E60" s="3"/>
      <c r="F60" s="7">
        <f t="shared" si="38"/>
        <v>0</v>
      </c>
      <c r="G60" s="3"/>
      <c r="H60" s="8">
        <v>3951.48</v>
      </c>
      <c r="I60" s="3"/>
      <c r="J60" s="7">
        <f t="shared" si="39"/>
        <v>1.8272114618967949E-2</v>
      </c>
      <c r="K60" s="3"/>
      <c r="L60" s="8">
        <f t="shared" si="40"/>
        <v>-3951.48</v>
      </c>
      <c r="M60" s="3"/>
      <c r="N60" s="7">
        <f t="shared" si="41"/>
        <v>-1</v>
      </c>
      <c r="O60" s="11"/>
      <c r="P60" s="8"/>
      <c r="Q60" s="3"/>
      <c r="R60" s="7">
        <f t="shared" si="42"/>
        <v>0</v>
      </c>
      <c r="S60" s="3"/>
      <c r="T60" s="8">
        <v>3951.48</v>
      </c>
      <c r="U60" s="3"/>
      <c r="V60" s="7">
        <f t="shared" si="43"/>
        <v>1.8272114618967949E-2</v>
      </c>
      <c r="W60" s="3"/>
      <c r="X60" s="8">
        <f t="shared" si="44"/>
        <v>-3951.48</v>
      </c>
      <c r="Y60" s="3"/>
      <c r="Z60" s="7">
        <f t="shared" si="45"/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8"/>
      <c r="E61" s="3"/>
      <c r="F61" s="7">
        <f t="shared" si="38"/>
        <v>0</v>
      </c>
      <c r="G61" s="3"/>
      <c r="H61" s="8">
        <v>76</v>
      </c>
      <c r="I61" s="3"/>
      <c r="J61" s="7">
        <f t="shared" si="39"/>
        <v>3.5143306078774643E-4</v>
      </c>
      <c r="K61" s="3"/>
      <c r="L61" s="8">
        <f t="shared" si="40"/>
        <v>-76</v>
      </c>
      <c r="M61" s="3"/>
      <c r="N61" s="7">
        <f t="shared" si="41"/>
        <v>-1</v>
      </c>
      <c r="O61" s="11"/>
      <c r="P61" s="8"/>
      <c r="Q61" s="3"/>
      <c r="R61" s="7">
        <f t="shared" si="42"/>
        <v>0</v>
      </c>
      <c r="S61" s="3"/>
      <c r="T61" s="8">
        <v>76</v>
      </c>
      <c r="U61" s="3"/>
      <c r="V61" s="7">
        <f t="shared" si="43"/>
        <v>3.5143306078774643E-4</v>
      </c>
      <c r="W61" s="3"/>
      <c r="X61" s="8">
        <f t="shared" si="44"/>
        <v>-76</v>
      </c>
      <c r="Y61" s="3"/>
      <c r="Z61" s="7">
        <f t="shared" si="45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8"/>
      <c r="E62" s="3"/>
      <c r="F62" s="7">
        <f t="shared" si="38"/>
        <v>0</v>
      </c>
      <c r="G62" s="3"/>
      <c r="H62" s="8">
        <v>533.92999999999995</v>
      </c>
      <c r="I62" s="3"/>
      <c r="J62" s="7">
        <f t="shared" si="39"/>
        <v>2.4689559756105451E-3</v>
      </c>
      <c r="K62" s="3"/>
      <c r="L62" s="8">
        <f t="shared" si="40"/>
        <v>-533.92999999999995</v>
      </c>
      <c r="M62" s="3"/>
      <c r="N62" s="7">
        <f t="shared" si="41"/>
        <v>-1</v>
      </c>
      <c r="O62" s="11"/>
      <c r="P62" s="8"/>
      <c r="Q62" s="3"/>
      <c r="R62" s="7">
        <f t="shared" si="42"/>
        <v>0</v>
      </c>
      <c r="S62" s="3"/>
      <c r="T62" s="8">
        <v>533.92999999999995</v>
      </c>
      <c r="U62" s="3"/>
      <c r="V62" s="7">
        <f t="shared" si="43"/>
        <v>2.4689559756105451E-3</v>
      </c>
      <c r="W62" s="3"/>
      <c r="X62" s="8">
        <f t="shared" si="44"/>
        <v>-533.92999999999995</v>
      </c>
      <c r="Y62" s="3"/>
      <c r="Z62" s="7">
        <f t="shared" si="45"/>
        <v>-1</v>
      </c>
    </row>
    <row r="63" spans="1:26" s="24" customFormat="1" hidden="1" outlineLevel="2" x14ac:dyDescent="0.25">
      <c r="A63" s="29"/>
      <c r="B63" s="11" t="str">
        <f>CONCATENATE("          ", "6243", " - ", "PAPER SUPPLIES")</f>
        <v xml:space="preserve">          6243 - PAPER SUPPLIES</v>
      </c>
      <c r="C63" s="11"/>
      <c r="D63" s="8"/>
      <c r="E63" s="3"/>
      <c r="F63" s="7">
        <f t="shared" si="38"/>
        <v>0</v>
      </c>
      <c r="G63" s="3"/>
      <c r="H63" s="8">
        <v>1983.31</v>
      </c>
      <c r="I63" s="3"/>
      <c r="J63" s="7">
        <f t="shared" si="39"/>
        <v>9.1710618919861233E-3</v>
      </c>
      <c r="K63" s="3"/>
      <c r="L63" s="8">
        <f t="shared" si="40"/>
        <v>-1983.31</v>
      </c>
      <c r="M63" s="3"/>
      <c r="N63" s="7">
        <f t="shared" si="41"/>
        <v>-1</v>
      </c>
      <c r="O63" s="11"/>
      <c r="P63" s="8"/>
      <c r="Q63" s="3"/>
      <c r="R63" s="7">
        <f t="shared" si="42"/>
        <v>0</v>
      </c>
      <c r="S63" s="3"/>
      <c r="T63" s="8">
        <v>1983.31</v>
      </c>
      <c r="U63" s="3"/>
      <c r="V63" s="7">
        <f t="shared" si="43"/>
        <v>9.1710618919861233E-3</v>
      </c>
      <c r="W63" s="3"/>
      <c r="X63" s="8">
        <f t="shared" si="44"/>
        <v>-1983.31</v>
      </c>
      <c r="Y63" s="3"/>
      <c r="Z63" s="7">
        <f t="shared" si="45"/>
        <v>-1</v>
      </c>
    </row>
    <row r="64" spans="1:26" s="24" customFormat="1" hidden="1" outlineLevel="2" x14ac:dyDescent="0.25">
      <c r="A64" s="29"/>
      <c r="B64" s="11" t="str">
        <f>CONCATENATE("          ", "6248", " - ", "UNIFORMS")</f>
        <v xml:space="preserve">          6248 - UNIFORMS</v>
      </c>
      <c r="C64" s="11"/>
      <c r="D64" s="8"/>
      <c r="E64" s="3"/>
      <c r="F64" s="7">
        <f t="shared" si="38"/>
        <v>0</v>
      </c>
      <c r="G64" s="3"/>
      <c r="H64" s="8">
        <v>1267.8499999999999</v>
      </c>
      <c r="I64" s="3"/>
      <c r="J64" s="7">
        <f t="shared" si="39"/>
        <v>5.862689554207161E-3</v>
      </c>
      <c r="K64" s="3"/>
      <c r="L64" s="8">
        <f t="shared" si="40"/>
        <v>-1267.8499999999999</v>
      </c>
      <c r="M64" s="3"/>
      <c r="N64" s="7">
        <f t="shared" si="41"/>
        <v>-1</v>
      </c>
      <c r="O64" s="11"/>
      <c r="P64" s="8"/>
      <c r="Q64" s="3"/>
      <c r="R64" s="7">
        <f t="shared" si="42"/>
        <v>0</v>
      </c>
      <c r="S64" s="3"/>
      <c r="T64" s="8">
        <v>1267.8499999999999</v>
      </c>
      <c r="U64" s="3"/>
      <c r="V64" s="7">
        <f t="shared" si="43"/>
        <v>5.862689554207161E-3</v>
      </c>
      <c r="W64" s="3"/>
      <c r="X64" s="8">
        <f t="shared" si="44"/>
        <v>-1267.8499999999999</v>
      </c>
      <c r="Y64" s="3"/>
      <c r="Z64" s="7">
        <f t="shared" si="45"/>
        <v>-1</v>
      </c>
    </row>
    <row r="65" spans="1:26" s="27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259</v>
      </c>
      <c r="E65" s="1"/>
      <c r="F65" s="5">
        <f t="shared" ref="F65:F70" si="46">IF(D$12=0,0,D65/D$12)</f>
        <v>0</v>
      </c>
      <c r="G65" s="1"/>
      <c r="H65" s="1">
        <f>SUM(OSRRefH22_11x_0)</f>
        <v>294.85000000000002</v>
      </c>
      <c r="I65" s="1"/>
      <c r="J65" s="5">
        <f t="shared" ref="J65:J70" si="47">IF(H$12=0,0,H65/H$12)</f>
        <v>1.3634215522798294E-3</v>
      </c>
      <c r="K65" s="1"/>
      <c r="L65" s="1">
        <f t="shared" ref="L65:L70" si="48">+D65-H65</f>
        <v>-35.850000000000023</v>
      </c>
      <c r="M65" s="1"/>
      <c r="N65" s="5">
        <f t="shared" ref="N65:N70" si="49">IF(H65=0,0,L65/H65)</f>
        <v>-0.12158724775309486</v>
      </c>
      <c r="O65" s="14"/>
      <c r="P65" s="1">
        <f>SUM(OSRRefP22_11x_0)</f>
        <v>259</v>
      </c>
      <c r="Q65" s="1"/>
      <c r="R65" s="5">
        <f t="shared" ref="R65:R70" si="50">IF(P$12=0,0,P65/P$12)</f>
        <v>0</v>
      </c>
      <c r="S65" s="1"/>
      <c r="T65" s="1">
        <f>SUM(OSRRefT22_11x_0)</f>
        <v>294.85000000000002</v>
      </c>
      <c r="U65" s="1"/>
      <c r="V65" s="5">
        <f t="shared" ref="V65:V70" si="51">IF(T$12=0,0,T65/T$12)</f>
        <v>1.3634215522798294E-3</v>
      </c>
      <c r="W65" s="1"/>
      <c r="X65" s="1">
        <f t="shared" ref="X65:X70" si="52">+P65-T65</f>
        <v>-35.850000000000023</v>
      </c>
      <c r="Y65" s="1"/>
      <c r="Z65" s="5">
        <f t="shared" ref="Z65:Z70" si="53">IF(T65=0,0,X65/T65)</f>
        <v>-0.12158724775309486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8">
        <v>259</v>
      </c>
      <c r="E66" s="3"/>
      <c r="F66" s="7">
        <f t="shared" si="46"/>
        <v>0</v>
      </c>
      <c r="G66" s="3"/>
      <c r="H66" s="8">
        <v>294.85000000000002</v>
      </c>
      <c r="I66" s="3"/>
      <c r="J66" s="7">
        <f t="shared" si="47"/>
        <v>1.3634215522798294E-3</v>
      </c>
      <c r="K66" s="3"/>
      <c r="L66" s="8">
        <f t="shared" si="48"/>
        <v>-35.850000000000023</v>
      </c>
      <c r="M66" s="3"/>
      <c r="N66" s="7">
        <f t="shared" si="49"/>
        <v>-0.12158724775309486</v>
      </c>
      <c r="O66" s="11"/>
      <c r="P66" s="8">
        <v>259</v>
      </c>
      <c r="Q66" s="3"/>
      <c r="R66" s="7">
        <f t="shared" si="50"/>
        <v>0</v>
      </c>
      <c r="S66" s="3"/>
      <c r="T66" s="8">
        <v>294.85000000000002</v>
      </c>
      <c r="U66" s="3"/>
      <c r="V66" s="7">
        <f t="shared" si="51"/>
        <v>1.3634215522798294E-3</v>
      </c>
      <c r="W66" s="3"/>
      <c r="X66" s="8">
        <f t="shared" si="52"/>
        <v>-35.850000000000023</v>
      </c>
      <c r="Y66" s="3"/>
      <c r="Z66" s="7">
        <f t="shared" si="53"/>
        <v>-0.12158724775309486</v>
      </c>
    </row>
    <row r="67" spans="1:26" s="27" customFormat="1" outlineLevel="1" collapsed="1" x14ac:dyDescent="0.25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SUM(OSRRefD22_12x_0)</f>
        <v>0</v>
      </c>
      <c r="E67" s="1"/>
      <c r="F67" s="5">
        <f t="shared" si="46"/>
        <v>0</v>
      </c>
      <c r="G67" s="1"/>
      <c r="H67" s="1">
        <f>SUM(OSRRefH22_12x_0)</f>
        <v>494</v>
      </c>
      <c r="I67" s="1"/>
      <c r="J67" s="5">
        <f t="shared" si="47"/>
        <v>2.2843148951203515E-3</v>
      </c>
      <c r="K67" s="1"/>
      <c r="L67" s="1">
        <f t="shared" si="48"/>
        <v>-494</v>
      </c>
      <c r="M67" s="1"/>
      <c r="N67" s="5">
        <f t="shared" si="49"/>
        <v>-1</v>
      </c>
      <c r="O67" s="14"/>
      <c r="P67" s="1">
        <f>SUM(OSRRefP22_12x_0)</f>
        <v>0</v>
      </c>
      <c r="Q67" s="1"/>
      <c r="R67" s="5">
        <f t="shared" si="50"/>
        <v>0</v>
      </c>
      <c r="S67" s="1"/>
      <c r="T67" s="1">
        <f>SUM(OSRRefT22_12x_0)</f>
        <v>494</v>
      </c>
      <c r="U67" s="1"/>
      <c r="V67" s="5">
        <f t="shared" si="51"/>
        <v>2.2843148951203515E-3</v>
      </c>
      <c r="W67" s="1"/>
      <c r="X67" s="1">
        <f t="shared" si="52"/>
        <v>-494</v>
      </c>
      <c r="Y67" s="1"/>
      <c r="Z67" s="5">
        <f t="shared" si="53"/>
        <v>-1</v>
      </c>
    </row>
    <row r="68" spans="1:26" s="24" customFormat="1" hidden="1" outlineLevel="2" x14ac:dyDescent="0.25">
      <c r="A68" s="29"/>
      <c r="B68" s="11" t="str">
        <f>CONCATENATE("          ", "6376", " - ", "TRAINING")</f>
        <v xml:space="preserve">          6376 - TRAINING</v>
      </c>
      <c r="C68" s="11"/>
      <c r="D68" s="8"/>
      <c r="E68" s="3"/>
      <c r="F68" s="7">
        <f t="shared" si="46"/>
        <v>0</v>
      </c>
      <c r="G68" s="3"/>
      <c r="H68" s="8">
        <v>494</v>
      </c>
      <c r="I68" s="3"/>
      <c r="J68" s="7">
        <f t="shared" si="47"/>
        <v>2.2843148951203515E-3</v>
      </c>
      <c r="K68" s="3"/>
      <c r="L68" s="8">
        <f t="shared" si="48"/>
        <v>-494</v>
      </c>
      <c r="M68" s="3"/>
      <c r="N68" s="7">
        <f t="shared" si="49"/>
        <v>-1</v>
      </c>
      <c r="O68" s="11"/>
      <c r="P68" s="8"/>
      <c r="Q68" s="3"/>
      <c r="R68" s="7">
        <f t="shared" si="50"/>
        <v>0</v>
      </c>
      <c r="S68" s="3"/>
      <c r="T68" s="8">
        <v>494</v>
      </c>
      <c r="U68" s="3"/>
      <c r="V68" s="7">
        <f t="shared" si="51"/>
        <v>2.2843148951203515E-3</v>
      </c>
      <c r="W68" s="3"/>
      <c r="X68" s="8">
        <f t="shared" si="52"/>
        <v>-494</v>
      </c>
      <c r="Y68" s="3"/>
      <c r="Z68" s="7">
        <f t="shared" si="53"/>
        <v>-1</v>
      </c>
    </row>
    <row r="69" spans="1:26" s="27" customFormat="1" outlineLevel="1" collapsed="1" x14ac:dyDescent="0.25">
      <c r="A69" s="28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SUM(OSRRefD22_13x_0)</f>
        <v>0</v>
      </c>
      <c r="E69" s="1"/>
      <c r="F69" s="5">
        <f t="shared" si="46"/>
        <v>0</v>
      </c>
      <c r="G69" s="1"/>
      <c r="H69" s="1">
        <f>SUM(OSRRefH22_13x_0)</f>
        <v>59.14</v>
      </c>
      <c r="I69" s="1"/>
      <c r="J69" s="5">
        <f t="shared" si="47"/>
        <v>2.7347041072351742E-4</v>
      </c>
      <c r="K69" s="1"/>
      <c r="L69" s="1">
        <f t="shared" si="48"/>
        <v>-59.14</v>
      </c>
      <c r="M69" s="1"/>
      <c r="N69" s="5">
        <f t="shared" si="49"/>
        <v>-1</v>
      </c>
      <c r="O69" s="14"/>
      <c r="P69" s="1">
        <f>SUM(OSRRefP22_13x_0)</f>
        <v>0</v>
      </c>
      <c r="Q69" s="1"/>
      <c r="R69" s="5">
        <f t="shared" si="50"/>
        <v>0</v>
      </c>
      <c r="S69" s="1"/>
      <c r="T69" s="1">
        <f>SUM(OSRRefT22_13x_0)</f>
        <v>59.14</v>
      </c>
      <c r="U69" s="1"/>
      <c r="V69" s="5">
        <f t="shared" si="51"/>
        <v>2.7347041072351742E-4</v>
      </c>
      <c r="W69" s="1"/>
      <c r="X69" s="1">
        <f t="shared" si="52"/>
        <v>-59.14</v>
      </c>
      <c r="Y69" s="1"/>
      <c r="Z69" s="5">
        <f t="shared" si="53"/>
        <v>-1</v>
      </c>
    </row>
    <row r="70" spans="1:26" s="24" customFormat="1" hidden="1" outlineLevel="2" x14ac:dyDescent="0.25">
      <c r="A70" s="29"/>
      <c r="B70" s="11" t="str">
        <f>CONCATENATE("          ", "6292", " - ", "TRAVEL/CONFERENCE")</f>
        <v xml:space="preserve">          6292 - TRAVEL/CONFERENCE</v>
      </c>
      <c r="C70" s="11"/>
      <c r="D70" s="8"/>
      <c r="E70" s="3"/>
      <c r="F70" s="7">
        <f t="shared" si="46"/>
        <v>0</v>
      </c>
      <c r="G70" s="3"/>
      <c r="H70" s="8">
        <v>59.14</v>
      </c>
      <c r="I70" s="3"/>
      <c r="J70" s="7">
        <f t="shared" si="47"/>
        <v>2.7347041072351742E-4</v>
      </c>
      <c r="K70" s="3"/>
      <c r="L70" s="8">
        <f t="shared" si="48"/>
        <v>-59.14</v>
      </c>
      <c r="M70" s="3"/>
      <c r="N70" s="7">
        <f t="shared" si="49"/>
        <v>-1</v>
      </c>
      <c r="O70" s="11"/>
      <c r="P70" s="8"/>
      <c r="Q70" s="3"/>
      <c r="R70" s="7">
        <f t="shared" si="50"/>
        <v>0</v>
      </c>
      <c r="S70" s="3"/>
      <c r="T70" s="8">
        <v>59.14</v>
      </c>
      <c r="U70" s="3"/>
      <c r="V70" s="7">
        <f t="shared" si="51"/>
        <v>2.7347041072351742E-4</v>
      </c>
      <c r="W70" s="3"/>
      <c r="X70" s="8">
        <f t="shared" si="52"/>
        <v>-59.14</v>
      </c>
      <c r="Y70" s="3"/>
      <c r="Z70" s="7">
        <f t="shared" si="53"/>
        <v>-1</v>
      </c>
    </row>
    <row r="71" spans="1:26" s="61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5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10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x14ac:dyDescent="0.25">
      <c r="A74" s="10"/>
      <c r="B74" s="26" t="s">
        <v>3</v>
      </c>
      <c r="C74" s="26"/>
      <c r="D74" s="19">
        <f>+D21-D23+D72</f>
        <v>-64552.840000000004</v>
      </c>
      <c r="E74" s="13"/>
      <c r="F74" s="20">
        <f>IF(D$12=0,0,D74/D$12)</f>
        <v>0</v>
      </c>
      <c r="G74" s="13"/>
      <c r="H74" s="19">
        <f>+H21-H23+H72</f>
        <v>-13968.399999999994</v>
      </c>
      <c r="I74" s="13"/>
      <c r="J74" s="20">
        <f>IF(H$12=0,0,H74/H$12)</f>
        <v>-6.4591546925099413E-2</v>
      </c>
      <c r="K74" s="16"/>
      <c r="L74" s="19">
        <f>+D74-H74</f>
        <v>-50584.44000000001</v>
      </c>
      <c r="M74" s="16"/>
      <c r="N74" s="20">
        <f>IF(H74=0,0,L74/H74)</f>
        <v>3.6213481859053314</v>
      </c>
      <c r="O74" s="25"/>
      <c r="P74" s="19">
        <f>+P21-P23+P72</f>
        <v>-64552.840000000004</v>
      </c>
      <c r="Q74" s="13"/>
      <c r="R74" s="20">
        <f>IF(P$12=0,0,P74/P$12)</f>
        <v>0</v>
      </c>
      <c r="S74" s="13"/>
      <c r="T74" s="19">
        <f>+T21-T23+T72</f>
        <v>-13968.399999999994</v>
      </c>
      <c r="U74" s="13"/>
      <c r="V74" s="20">
        <f>IF(T$12=0,0,T74/T$12)</f>
        <v>-6.4591546925099413E-2</v>
      </c>
      <c r="W74" s="16"/>
      <c r="X74" s="19">
        <f>+P74-T74</f>
        <v>-50584.44000000001</v>
      </c>
      <c r="Y74" s="16"/>
      <c r="Z74" s="20">
        <f>IF(T74=0,0,X74/T74)</f>
        <v>3.6213481859053314</v>
      </c>
    </row>
    <row r="75" spans="1:26" x14ac:dyDescent="0.25">
      <c r="A75" s="9"/>
      <c r="B75" s="10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x14ac:dyDescent="0.25">
      <c r="A76" s="51"/>
      <c r="B76" s="10" t="s">
        <v>13</v>
      </c>
      <c r="C76" s="10"/>
      <c r="D76" s="4"/>
      <c r="E76" s="4"/>
      <c r="F76" s="12">
        <f>IF(D$12=0,0,D76/D$12)</f>
        <v>0</v>
      </c>
      <c r="G76" s="4"/>
      <c r="H76" s="4">
        <v>44966.29</v>
      </c>
      <c r="I76" s="4"/>
      <c r="J76" s="12">
        <f>IF(H$12=0,0,H76/H$12)</f>
        <v>0.20792948588117677</v>
      </c>
      <c r="K76" s="4"/>
      <c r="L76" s="4">
        <f>+D76-H76</f>
        <v>-44966.29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44966.29</v>
      </c>
      <c r="U76" s="4"/>
      <c r="V76" s="12">
        <f>IF(T$12=0,0,T76/T$12)</f>
        <v>0.20792948588117677</v>
      </c>
      <c r="W76" s="4"/>
      <c r="X76" s="4">
        <f>+P76-T76</f>
        <v>-44966.29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10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ht="15.75" thickBot="1" x14ac:dyDescent="0.3">
      <c r="A78" s="10"/>
      <c r="B78" s="26" t="s">
        <v>4</v>
      </c>
      <c r="C78" s="26"/>
      <c r="D78" s="35">
        <f>+D74-D76</f>
        <v>-64552.840000000004</v>
      </c>
      <c r="E78" s="13"/>
      <c r="F78" s="30">
        <f>IF(D$12=0,0,D78/D$12)</f>
        <v>0</v>
      </c>
      <c r="G78" s="13"/>
      <c r="H78" s="35">
        <f>+H74-H76</f>
        <v>-58934.689999999995</v>
      </c>
      <c r="I78" s="13"/>
      <c r="J78" s="30">
        <f>IF(H$12=0,0,H78/H$12)</f>
        <v>-0.27252103280627615</v>
      </c>
      <c r="K78" s="16"/>
      <c r="L78" s="35">
        <f>D78-H78</f>
        <v>-5618.1500000000087</v>
      </c>
      <c r="M78" s="16"/>
      <c r="N78" s="30">
        <f>IF(H78=0,0,L78/H78)</f>
        <v>9.5328405053119125E-2</v>
      </c>
      <c r="O78" s="25"/>
      <c r="P78" s="35">
        <f>+P74-P76</f>
        <v>-64552.840000000004</v>
      </c>
      <c r="Q78" s="13"/>
      <c r="R78" s="30">
        <f>IF(P$12=0,0,P78/P$12)</f>
        <v>0</v>
      </c>
      <c r="S78" s="13"/>
      <c r="T78" s="35">
        <f>+T74-T76</f>
        <v>-58934.689999999995</v>
      </c>
      <c r="U78" s="13"/>
      <c r="V78" s="30">
        <f>IF(T$12=0,0,T78/T$12)</f>
        <v>-0.27252103280627615</v>
      </c>
      <c r="W78" s="16"/>
      <c r="X78" s="35">
        <f>P78-T78</f>
        <v>-5618.1500000000087</v>
      </c>
      <c r="Y78" s="16"/>
      <c r="Z78" s="30">
        <f>IF(T78=0,0,X78/T78)</f>
        <v>9.5328405053119125E-2</v>
      </c>
    </row>
    <row r="79" spans="1:26" ht="15.75" thickTop="1" x14ac:dyDescent="0.25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x14ac:dyDescent="0.25">
      <c r="A80" s="9"/>
      <c r="B80" s="9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ht="15.75" thickBot="1" x14ac:dyDescent="0.3">
      <c r="A81" s="10"/>
      <c r="B81" s="26" t="s">
        <v>5</v>
      </c>
      <c r="C81" s="26"/>
      <c r="D81" s="31">
        <f>SUM(D78:D80)</f>
        <v>-64552.840000000004</v>
      </c>
      <c r="E81" s="13"/>
      <c r="F81" s="32">
        <f>IF(D$12=0,0,D81/D$12)</f>
        <v>0</v>
      </c>
      <c r="G81" s="13"/>
      <c r="H81" s="31">
        <f>SUM(H78:H80)</f>
        <v>-58934.689999999995</v>
      </c>
      <c r="I81" s="13"/>
      <c r="J81" s="32">
        <f>IF(H$12=0,0,H81/H$12)</f>
        <v>-0.27252103280627615</v>
      </c>
      <c r="K81" s="16"/>
      <c r="L81" s="31">
        <f>+D81-H81</f>
        <v>-5618.1500000000087</v>
      </c>
      <c r="M81" s="16"/>
      <c r="N81" s="32">
        <f>IF(H81=0,0,L81/H81)</f>
        <v>9.5328405053119125E-2</v>
      </c>
      <c r="O81" s="25"/>
      <c r="P81" s="31">
        <f>SUM(P78:P80)</f>
        <v>-64552.840000000004</v>
      </c>
      <c r="Q81" s="13"/>
      <c r="R81" s="32">
        <f>IF(P$12=0,0,P81/P$12)</f>
        <v>0</v>
      </c>
      <c r="S81" s="13"/>
      <c r="T81" s="31">
        <f>SUM(T78:T80)</f>
        <v>-58934.689999999995</v>
      </c>
      <c r="U81" s="13"/>
      <c r="V81" s="32">
        <f>IF(T$12=0,0,T81/T$12)</f>
        <v>-0.27252103280627615</v>
      </c>
      <c r="W81" s="16"/>
      <c r="X81" s="31">
        <f>+P81-T81</f>
        <v>-5618.1500000000087</v>
      </c>
      <c r="Y81" s="16"/>
      <c r="Z81" s="32">
        <f>IF(T81=0,0,X81/T81)</f>
        <v>9.5328405053119125E-2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9">
        <v>44109.414866238425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2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6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46676.84</v>
      </c>
      <c r="I12" s="4"/>
      <c r="J12" s="12"/>
      <c r="K12" s="4"/>
      <c r="L12" s="4">
        <f t="shared" ref="L12:L14" si="0">+D12-H12</f>
        <v>-46676.84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46676.84</v>
      </c>
      <c r="U12" s="4"/>
      <c r="V12" s="12"/>
      <c r="W12" s="4"/>
      <c r="X12" s="4">
        <f t="shared" ref="X12:X14" si="2">+P12-T12</f>
        <v>-46676.84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0"/>
      <c r="B13" s="11" t="str">
        <f>CONCATENATE("          ", "4151", " - ", "NON-TAXABLE SALES-FOOD")</f>
        <v xml:space="preserve">          4151 - NON-TAXABLE SALES-FOOD</v>
      </c>
      <c r="C13" s="11"/>
      <c r="D13" s="3">
        <f t="shared" ref="D13:D14" si="4">0</f>
        <v>0</v>
      </c>
      <c r="E13" s="3"/>
      <c r="F13" s="22"/>
      <c r="G13" s="3"/>
      <c r="H13" s="3">
        <f>--46016.1</f>
        <v>46016.1</v>
      </c>
      <c r="I13" s="3"/>
      <c r="J13" s="22"/>
      <c r="K13" s="3"/>
      <c r="L13" s="3">
        <f t="shared" si="0"/>
        <v>-46016.1</v>
      </c>
      <c r="M13" s="3"/>
      <c r="N13" s="22">
        <f t="shared" si="1"/>
        <v>-1</v>
      </c>
      <c r="O13" s="11"/>
      <c r="P13" s="3">
        <f t="shared" ref="P13:P14" si="5">0</f>
        <v>0</v>
      </c>
      <c r="Q13" s="3"/>
      <c r="R13" s="22"/>
      <c r="S13" s="3"/>
      <c r="T13" s="3">
        <f>--46016.1</f>
        <v>46016.1</v>
      </c>
      <c r="U13" s="3"/>
      <c r="V13" s="22"/>
      <c r="W13" s="3"/>
      <c r="X13" s="3">
        <f t="shared" si="2"/>
        <v>-46016.1</v>
      </c>
      <c r="Y13" s="3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"4153", " - ", "NON-TAXABLE SALES-FOOD")</f>
        <v xml:space="preserve">          4153 - NON-TAXABLE SALES-FOOD</v>
      </c>
      <c r="C14" s="11"/>
      <c r="D14" s="3">
        <f t="shared" si="4"/>
        <v>0</v>
      </c>
      <c r="E14" s="3"/>
      <c r="F14" s="22"/>
      <c r="G14" s="3"/>
      <c r="H14" s="3">
        <f>--660.74</f>
        <v>660.74</v>
      </c>
      <c r="I14" s="3"/>
      <c r="J14" s="22"/>
      <c r="K14" s="3"/>
      <c r="L14" s="3">
        <f t="shared" si="0"/>
        <v>-660.74</v>
      </c>
      <c r="M14" s="3"/>
      <c r="N14" s="22">
        <f t="shared" si="1"/>
        <v>-1</v>
      </c>
      <c r="O14" s="11"/>
      <c r="P14" s="3">
        <f t="shared" si="5"/>
        <v>0</v>
      </c>
      <c r="Q14" s="3"/>
      <c r="R14" s="22"/>
      <c r="S14" s="3"/>
      <c r="T14" s="3">
        <f>--660.74</f>
        <v>660.74</v>
      </c>
      <c r="U14" s="3"/>
      <c r="V14" s="22"/>
      <c r="W14" s="3"/>
      <c r="X14" s="3">
        <f t="shared" si="2"/>
        <v>-660.74</v>
      </c>
      <c r="Y14" s="3"/>
      <c r="Z14" s="22">
        <f t="shared" si="3"/>
        <v>-1</v>
      </c>
    </row>
    <row r="15" spans="1:26" x14ac:dyDescent="0.25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8182.29</v>
      </c>
      <c r="I16" s="4"/>
      <c r="J16" s="12">
        <f t="shared" ref="J16:J18" si="7">IF(H$12=0,0,H16/H$12)</f>
        <v>0.17529657106179425</v>
      </c>
      <c r="K16" s="4"/>
      <c r="L16" s="4">
        <f t="shared" ref="L16:L18" si="8">+D16-H16</f>
        <v>-8182.29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8182.29</v>
      </c>
      <c r="U16" s="4"/>
      <c r="V16" s="12">
        <f t="shared" ref="V16:V18" si="11">IF(T$12=0,0,T16/T$12)</f>
        <v>0.17529657106179425</v>
      </c>
      <c r="W16" s="4"/>
      <c r="X16" s="4">
        <f t="shared" ref="X16:X18" si="12">+P16-T16</f>
        <v>-8182.29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3"/>
      <c r="E17" s="3"/>
      <c r="F17" s="22">
        <f t="shared" si="6"/>
        <v>0</v>
      </c>
      <c r="G17" s="3"/>
      <c r="H17" s="3">
        <v>7220.29</v>
      </c>
      <c r="I17" s="3"/>
      <c r="J17" s="22">
        <f t="shared" si="7"/>
        <v>0.15468677828233446</v>
      </c>
      <c r="K17" s="3"/>
      <c r="L17" s="3">
        <f t="shared" si="8"/>
        <v>-7220.29</v>
      </c>
      <c r="M17" s="3"/>
      <c r="N17" s="22">
        <f t="shared" si="9"/>
        <v>-1</v>
      </c>
      <c r="O17" s="11"/>
      <c r="P17" s="3"/>
      <c r="Q17" s="3"/>
      <c r="R17" s="22">
        <f t="shared" si="10"/>
        <v>0</v>
      </c>
      <c r="S17" s="3"/>
      <c r="T17" s="3">
        <v>7220.29</v>
      </c>
      <c r="U17" s="3"/>
      <c r="V17" s="22">
        <f t="shared" si="11"/>
        <v>0.15468677828233446</v>
      </c>
      <c r="W17" s="3"/>
      <c r="X17" s="3">
        <f t="shared" si="12"/>
        <v>-7220.29</v>
      </c>
      <c r="Y17" s="3"/>
      <c r="Z17" s="22">
        <f t="shared" si="13"/>
        <v>-1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3"/>
      <c r="E18" s="3"/>
      <c r="F18" s="22">
        <f t="shared" si="6"/>
        <v>0</v>
      </c>
      <c r="G18" s="3"/>
      <c r="H18" s="3">
        <v>962</v>
      </c>
      <c r="I18" s="3"/>
      <c r="J18" s="22">
        <f t="shared" si="7"/>
        <v>2.0609792779459794E-2</v>
      </c>
      <c r="K18" s="3"/>
      <c r="L18" s="3">
        <f t="shared" si="8"/>
        <v>-962</v>
      </c>
      <c r="M18" s="3"/>
      <c r="N18" s="22">
        <f t="shared" si="9"/>
        <v>-1</v>
      </c>
      <c r="O18" s="11"/>
      <c r="P18" s="3"/>
      <c r="Q18" s="3"/>
      <c r="R18" s="22">
        <f t="shared" si="10"/>
        <v>0</v>
      </c>
      <c r="S18" s="3"/>
      <c r="T18" s="3">
        <v>962</v>
      </c>
      <c r="U18" s="3"/>
      <c r="V18" s="22">
        <f t="shared" si="11"/>
        <v>2.0609792779459794E-2</v>
      </c>
      <c r="W18" s="3"/>
      <c r="X18" s="3">
        <f t="shared" si="12"/>
        <v>-962</v>
      </c>
      <c r="Y18" s="3"/>
      <c r="Z18" s="22">
        <f t="shared" si="13"/>
        <v>-1</v>
      </c>
    </row>
    <row r="19" spans="1:26" x14ac:dyDescent="0.25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25">
      <c r="A20" s="10"/>
      <c r="B20" s="26" t="s">
        <v>6</v>
      </c>
      <c r="C20" s="26"/>
      <c r="D20" s="19">
        <f>D12-D16</f>
        <v>0</v>
      </c>
      <c r="E20" s="13"/>
      <c r="F20" s="20">
        <f>IF(D$12=0,0,D20/D$12)</f>
        <v>0</v>
      </c>
      <c r="G20" s="13"/>
      <c r="H20" s="19">
        <f>H12-H16</f>
        <v>38494.549999999996</v>
      </c>
      <c r="I20" s="13"/>
      <c r="J20" s="20">
        <f>IF(H$12=0,0,H20/H$12)</f>
        <v>0.8247034289382057</v>
      </c>
      <c r="K20" s="16"/>
      <c r="L20" s="19">
        <f>+D20-H20</f>
        <v>-38494.549999999996</v>
      </c>
      <c r="M20" s="16"/>
      <c r="N20" s="20">
        <f>IF(H20=0,0,L20/H20)</f>
        <v>-1</v>
      </c>
      <c r="O20" s="25"/>
      <c r="P20" s="19">
        <f>P12-P16</f>
        <v>0</v>
      </c>
      <c r="Q20" s="13"/>
      <c r="R20" s="20">
        <f>IF(P$12=0,0,P20/P$12)</f>
        <v>0</v>
      </c>
      <c r="S20" s="13"/>
      <c r="T20" s="19">
        <f>T12-T16</f>
        <v>38494.549999999996</v>
      </c>
      <c r="U20" s="13"/>
      <c r="V20" s="20">
        <f>IF(T$12=0,0,T20/T$12)</f>
        <v>0.8247034289382057</v>
      </c>
      <c r="W20" s="16"/>
      <c r="X20" s="19">
        <f>+P20-T20</f>
        <v>-38494.549999999996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1">
        <f>SUM(OSRRefD22x_0)</f>
        <v>40360.14</v>
      </c>
      <c r="E22" s="21"/>
      <c r="F22" s="34">
        <f t="shared" ref="F22:F32" si="14">IF(D$12=0,0,D22/D$12)</f>
        <v>0</v>
      </c>
      <c r="G22" s="21"/>
      <c r="H22" s="21">
        <f>SUM(OSRRefH22x_0)</f>
        <v>88511.87999999999</v>
      </c>
      <c r="I22" s="21"/>
      <c r="J22" s="34">
        <f t="shared" ref="J22:J32" si="15">IF(H$12=0,0,H22/H$12)</f>
        <v>1.8962697560503239</v>
      </c>
      <c r="K22" s="4"/>
      <c r="L22" s="21">
        <f t="shared" ref="L22:L32" si="16">+D22-H22</f>
        <v>-48151.739999999991</v>
      </c>
      <c r="M22" s="4"/>
      <c r="N22" s="34">
        <f t="shared" ref="N22:N32" si="17">IF(H22=0,0,L22/H22)</f>
        <v>-0.54401443060524757</v>
      </c>
      <c r="O22" s="10"/>
      <c r="P22" s="21">
        <f>SUM(OSRRefP22x_0)</f>
        <v>40360.14</v>
      </c>
      <c r="Q22" s="21"/>
      <c r="R22" s="34">
        <f t="shared" ref="R22:R32" si="18">IF(P$12=0,0,P22/P$12)</f>
        <v>0</v>
      </c>
      <c r="S22" s="21"/>
      <c r="T22" s="21">
        <f>SUM(OSRRefT22x_0)</f>
        <v>88511.87999999999</v>
      </c>
      <c r="U22" s="21"/>
      <c r="V22" s="34">
        <f t="shared" ref="V22:V32" si="19">IF(T$12=0,0,T22/T$12)</f>
        <v>1.8962697560503239</v>
      </c>
      <c r="W22" s="4"/>
      <c r="X22" s="21">
        <f t="shared" ref="X22:X32" si="20">+P22-T22</f>
        <v>-48151.739999999991</v>
      </c>
      <c r="Y22" s="4"/>
      <c r="Z22" s="34">
        <f t="shared" ref="Z22:Z32" si="21">IF(T22=0,0,X22/T22)</f>
        <v>-0.54401443060524757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19179.73</v>
      </c>
      <c r="E23" s="1"/>
      <c r="F23" s="5">
        <f t="shared" si="14"/>
        <v>0</v>
      </c>
      <c r="G23" s="1"/>
      <c r="H23" s="1">
        <f>SUM(OSRRefH22_0x_0)</f>
        <v>26185.91</v>
      </c>
      <c r="I23" s="1"/>
      <c r="J23" s="5">
        <f t="shared" si="15"/>
        <v>0.56100434391017051</v>
      </c>
      <c r="K23" s="1"/>
      <c r="L23" s="1">
        <f t="shared" si="16"/>
        <v>-7006.18</v>
      </c>
      <c r="M23" s="1"/>
      <c r="N23" s="5">
        <f t="shared" si="17"/>
        <v>-0.2675553379661047</v>
      </c>
      <c r="O23" s="14"/>
      <c r="P23" s="1">
        <f>SUM(OSRRefP22_0x_0)</f>
        <v>19179.73</v>
      </c>
      <c r="Q23" s="1"/>
      <c r="R23" s="5">
        <f t="shared" si="18"/>
        <v>0</v>
      </c>
      <c r="S23" s="1"/>
      <c r="T23" s="1">
        <f>SUM(OSRRefT22_0x_0)</f>
        <v>26185.91</v>
      </c>
      <c r="U23" s="1"/>
      <c r="V23" s="5">
        <f t="shared" si="19"/>
        <v>0.56100434391017051</v>
      </c>
      <c r="W23" s="1"/>
      <c r="X23" s="1">
        <f t="shared" si="20"/>
        <v>-7006.18</v>
      </c>
      <c r="Y23" s="1"/>
      <c r="Z23" s="5">
        <f t="shared" si="21"/>
        <v>-0.2675553379661047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8">
        <v>1327.41</v>
      </c>
      <c r="E24" s="3"/>
      <c r="F24" s="7">
        <f t="shared" si="14"/>
        <v>0</v>
      </c>
      <c r="G24" s="3"/>
      <c r="H24" s="8">
        <v>2465.91</v>
      </c>
      <c r="I24" s="3"/>
      <c r="J24" s="7">
        <f t="shared" si="15"/>
        <v>5.2829411759664963E-2</v>
      </c>
      <c r="K24" s="3"/>
      <c r="L24" s="8">
        <f t="shared" si="16"/>
        <v>-1138.4999999999998</v>
      </c>
      <c r="M24" s="3"/>
      <c r="N24" s="7">
        <f t="shared" si="17"/>
        <v>-0.46169568232417235</v>
      </c>
      <c r="O24" s="11"/>
      <c r="P24" s="8">
        <v>1327.41</v>
      </c>
      <c r="Q24" s="3"/>
      <c r="R24" s="7">
        <f t="shared" si="18"/>
        <v>0</v>
      </c>
      <c r="S24" s="3"/>
      <c r="T24" s="8">
        <v>2465.91</v>
      </c>
      <c r="U24" s="3"/>
      <c r="V24" s="7">
        <f t="shared" si="19"/>
        <v>5.2829411759664963E-2</v>
      </c>
      <c r="W24" s="3"/>
      <c r="X24" s="8">
        <f t="shared" si="20"/>
        <v>-1138.4999999999998</v>
      </c>
      <c r="Y24" s="3"/>
      <c r="Z24" s="7">
        <f t="shared" si="21"/>
        <v>-0.46169568232417235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8">
        <v>727.63</v>
      </c>
      <c r="E25" s="3"/>
      <c r="F25" s="7">
        <f t="shared" si="14"/>
        <v>0</v>
      </c>
      <c r="G25" s="3"/>
      <c r="H25" s="8">
        <v>1506.57</v>
      </c>
      <c r="I25" s="3"/>
      <c r="J25" s="7">
        <f t="shared" si="15"/>
        <v>3.2276606556913452E-2</v>
      </c>
      <c r="K25" s="3"/>
      <c r="L25" s="8">
        <f t="shared" si="16"/>
        <v>-778.93999999999994</v>
      </c>
      <c r="M25" s="3"/>
      <c r="N25" s="7">
        <f t="shared" si="17"/>
        <v>-0.51702874741963534</v>
      </c>
      <c r="O25" s="11"/>
      <c r="P25" s="8">
        <v>727.63</v>
      </c>
      <c r="Q25" s="3"/>
      <c r="R25" s="7">
        <f t="shared" si="18"/>
        <v>0</v>
      </c>
      <c r="S25" s="3"/>
      <c r="T25" s="8">
        <v>1506.57</v>
      </c>
      <c r="U25" s="3"/>
      <c r="V25" s="7">
        <f t="shared" si="19"/>
        <v>3.2276606556913452E-2</v>
      </c>
      <c r="W25" s="3"/>
      <c r="X25" s="8">
        <f t="shared" si="20"/>
        <v>-778.93999999999994</v>
      </c>
      <c r="Y25" s="3"/>
      <c r="Z25" s="7">
        <f t="shared" si="21"/>
        <v>-0.51702874741963534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8">
        <v>12616.96</v>
      </c>
      <c r="E26" s="3"/>
      <c r="F26" s="7">
        <f t="shared" si="14"/>
        <v>0</v>
      </c>
      <c r="G26" s="3"/>
      <c r="H26" s="8">
        <v>11103.19</v>
      </c>
      <c r="I26" s="3"/>
      <c r="J26" s="7">
        <f t="shared" si="15"/>
        <v>0.23787364354570706</v>
      </c>
      <c r="K26" s="3"/>
      <c r="L26" s="8">
        <f t="shared" si="16"/>
        <v>1513.7699999999986</v>
      </c>
      <c r="M26" s="3"/>
      <c r="N26" s="7">
        <f t="shared" si="17"/>
        <v>0.13633649428677691</v>
      </c>
      <c r="O26" s="11"/>
      <c r="P26" s="8">
        <v>12616.96</v>
      </c>
      <c r="Q26" s="3"/>
      <c r="R26" s="7">
        <f t="shared" si="18"/>
        <v>0</v>
      </c>
      <c r="S26" s="3"/>
      <c r="T26" s="8">
        <v>11103.19</v>
      </c>
      <c r="U26" s="3"/>
      <c r="V26" s="7">
        <f t="shared" si="19"/>
        <v>0.23787364354570706</v>
      </c>
      <c r="W26" s="3"/>
      <c r="X26" s="8">
        <f t="shared" si="20"/>
        <v>1513.7699999999986</v>
      </c>
      <c r="Y26" s="3"/>
      <c r="Z26" s="7">
        <f t="shared" si="21"/>
        <v>0.13633649428677691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>
        <v>48.13</v>
      </c>
      <c r="E27" s="3"/>
      <c r="F27" s="7">
        <f t="shared" si="14"/>
        <v>0</v>
      </c>
      <c r="G27" s="3"/>
      <c r="H27" s="8">
        <v>100.98</v>
      </c>
      <c r="I27" s="3"/>
      <c r="J27" s="7">
        <f t="shared" si="15"/>
        <v>2.1633855248127339E-3</v>
      </c>
      <c r="K27" s="3"/>
      <c r="L27" s="8">
        <f t="shared" si="16"/>
        <v>-52.85</v>
      </c>
      <c r="M27" s="3"/>
      <c r="N27" s="7">
        <f t="shared" si="17"/>
        <v>-0.52337096454743515</v>
      </c>
      <c r="O27" s="11"/>
      <c r="P27" s="8">
        <v>48.13</v>
      </c>
      <c r="Q27" s="3"/>
      <c r="R27" s="7">
        <f t="shared" si="18"/>
        <v>0</v>
      </c>
      <c r="S27" s="3"/>
      <c r="T27" s="8">
        <v>100.98</v>
      </c>
      <c r="U27" s="3"/>
      <c r="V27" s="7">
        <f t="shared" si="19"/>
        <v>2.1633855248127339E-3</v>
      </c>
      <c r="W27" s="3"/>
      <c r="X27" s="8">
        <f t="shared" si="20"/>
        <v>-52.85</v>
      </c>
      <c r="Y27" s="3"/>
      <c r="Z27" s="7">
        <f t="shared" si="21"/>
        <v>-0.52337096454743515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8">
        <v>727.6</v>
      </c>
      <c r="E28" s="3"/>
      <c r="F28" s="7">
        <f t="shared" si="14"/>
        <v>0</v>
      </c>
      <c r="G28" s="3"/>
      <c r="H28" s="8">
        <v>959.64</v>
      </c>
      <c r="I28" s="3"/>
      <c r="J28" s="7">
        <f t="shared" si="15"/>
        <v>2.0559232373056961E-2</v>
      </c>
      <c r="K28" s="3"/>
      <c r="L28" s="8">
        <f t="shared" si="16"/>
        <v>-232.03999999999996</v>
      </c>
      <c r="M28" s="3"/>
      <c r="N28" s="7">
        <f t="shared" si="17"/>
        <v>-0.24179900796131878</v>
      </c>
      <c r="O28" s="11"/>
      <c r="P28" s="8">
        <v>727.6</v>
      </c>
      <c r="Q28" s="3"/>
      <c r="R28" s="7">
        <f t="shared" si="18"/>
        <v>0</v>
      </c>
      <c r="S28" s="3"/>
      <c r="T28" s="8">
        <v>959.64</v>
      </c>
      <c r="U28" s="3"/>
      <c r="V28" s="7">
        <f t="shared" si="19"/>
        <v>2.0559232373056961E-2</v>
      </c>
      <c r="W28" s="3"/>
      <c r="X28" s="8">
        <f t="shared" si="20"/>
        <v>-232.03999999999996</v>
      </c>
      <c r="Y28" s="3"/>
      <c r="Z28" s="7">
        <f t="shared" si="21"/>
        <v>-0.24179900796131878</v>
      </c>
    </row>
    <row r="29" spans="1:26" s="24" customFormat="1" hidden="1" outlineLevel="2" x14ac:dyDescent="0.2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8">
        <v>691.86</v>
      </c>
      <c r="E29" s="3"/>
      <c r="F29" s="7">
        <f t="shared" si="14"/>
        <v>0</v>
      </c>
      <c r="G29" s="3"/>
      <c r="H29" s="8">
        <v>257.97000000000003</v>
      </c>
      <c r="I29" s="3"/>
      <c r="J29" s="7">
        <f t="shared" si="15"/>
        <v>5.52672374565202E-3</v>
      </c>
      <c r="K29" s="3"/>
      <c r="L29" s="8">
        <f t="shared" si="16"/>
        <v>433.89</v>
      </c>
      <c r="M29" s="3"/>
      <c r="N29" s="7">
        <f t="shared" si="17"/>
        <v>1.6819397604372599</v>
      </c>
      <c r="O29" s="11"/>
      <c r="P29" s="8">
        <v>691.86</v>
      </c>
      <c r="Q29" s="3"/>
      <c r="R29" s="7">
        <f t="shared" si="18"/>
        <v>0</v>
      </c>
      <c r="S29" s="3"/>
      <c r="T29" s="8">
        <v>257.97000000000003</v>
      </c>
      <c r="U29" s="3"/>
      <c r="V29" s="7">
        <f t="shared" si="19"/>
        <v>5.52672374565202E-3</v>
      </c>
      <c r="W29" s="3"/>
      <c r="X29" s="8">
        <f t="shared" si="20"/>
        <v>433.89</v>
      </c>
      <c r="Y29" s="3"/>
      <c r="Z29" s="7">
        <f t="shared" si="21"/>
        <v>1.6819397604372599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8">
        <v>1199.6199999999999</v>
      </c>
      <c r="E30" s="3"/>
      <c r="F30" s="7">
        <f t="shared" si="14"/>
        <v>0</v>
      </c>
      <c r="G30" s="3"/>
      <c r="H30" s="8">
        <v>2812.61</v>
      </c>
      <c r="I30" s="3"/>
      <c r="J30" s="7">
        <f t="shared" si="15"/>
        <v>6.0257078242657393E-2</v>
      </c>
      <c r="K30" s="3"/>
      <c r="L30" s="8">
        <f t="shared" si="16"/>
        <v>-1612.9900000000002</v>
      </c>
      <c r="M30" s="3"/>
      <c r="N30" s="7">
        <f t="shared" si="17"/>
        <v>-0.57348512591507539</v>
      </c>
      <c r="O30" s="11"/>
      <c r="P30" s="8">
        <v>1199.6199999999999</v>
      </c>
      <c r="Q30" s="3"/>
      <c r="R30" s="7">
        <f t="shared" si="18"/>
        <v>0</v>
      </c>
      <c r="S30" s="3"/>
      <c r="T30" s="8">
        <v>2812.61</v>
      </c>
      <c r="U30" s="3"/>
      <c r="V30" s="7">
        <f t="shared" si="19"/>
        <v>6.0257078242657393E-2</v>
      </c>
      <c r="W30" s="3"/>
      <c r="X30" s="8">
        <f t="shared" si="20"/>
        <v>-1612.9900000000002</v>
      </c>
      <c r="Y30" s="3"/>
      <c r="Z30" s="7">
        <f t="shared" si="21"/>
        <v>-0.57348512591507539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8">
        <v>946.52</v>
      </c>
      <c r="E31" s="3"/>
      <c r="F31" s="7">
        <f t="shared" si="14"/>
        <v>0</v>
      </c>
      <c r="G31" s="3"/>
      <c r="H31" s="8">
        <v>5970.13</v>
      </c>
      <c r="I31" s="3"/>
      <c r="J31" s="7">
        <f t="shared" si="15"/>
        <v>0.12790347418548473</v>
      </c>
      <c r="K31" s="3"/>
      <c r="L31" s="8">
        <f t="shared" si="16"/>
        <v>-5023.6100000000006</v>
      </c>
      <c r="M31" s="3"/>
      <c r="N31" s="7">
        <f t="shared" si="17"/>
        <v>-0.84145738870007869</v>
      </c>
      <c r="O31" s="11"/>
      <c r="P31" s="8">
        <v>946.52</v>
      </c>
      <c r="Q31" s="3"/>
      <c r="R31" s="7">
        <f t="shared" si="18"/>
        <v>0</v>
      </c>
      <c r="S31" s="3"/>
      <c r="T31" s="8">
        <v>5970.13</v>
      </c>
      <c r="U31" s="3"/>
      <c r="V31" s="7">
        <f t="shared" si="19"/>
        <v>0.12790347418548473</v>
      </c>
      <c r="W31" s="3"/>
      <c r="X31" s="8">
        <f t="shared" si="20"/>
        <v>-5023.6100000000006</v>
      </c>
      <c r="Y31" s="3"/>
      <c r="Z31" s="7">
        <f t="shared" si="21"/>
        <v>-0.84145738870007869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8">
        <v>894</v>
      </c>
      <c r="E32" s="3"/>
      <c r="F32" s="7">
        <f t="shared" si="14"/>
        <v>0</v>
      </c>
      <c r="G32" s="3"/>
      <c r="H32" s="8">
        <v>1008.91</v>
      </c>
      <c r="I32" s="3"/>
      <c r="J32" s="7">
        <f t="shared" si="15"/>
        <v>2.1614787976221184E-2</v>
      </c>
      <c r="K32" s="3"/>
      <c r="L32" s="8">
        <f t="shared" si="16"/>
        <v>-114.90999999999997</v>
      </c>
      <c r="M32" s="3"/>
      <c r="N32" s="7">
        <f t="shared" si="17"/>
        <v>-0.11389519382303671</v>
      </c>
      <c r="O32" s="11"/>
      <c r="P32" s="8">
        <v>894</v>
      </c>
      <c r="Q32" s="3"/>
      <c r="R32" s="7">
        <f t="shared" si="18"/>
        <v>0</v>
      </c>
      <c r="S32" s="3"/>
      <c r="T32" s="8">
        <v>1008.91</v>
      </c>
      <c r="U32" s="3"/>
      <c r="V32" s="7">
        <f t="shared" si="19"/>
        <v>2.1614787976221184E-2</v>
      </c>
      <c r="W32" s="3"/>
      <c r="X32" s="8">
        <f t="shared" si="20"/>
        <v>-114.90999999999997</v>
      </c>
      <c r="Y32" s="3"/>
      <c r="Z32" s="7">
        <f t="shared" si="21"/>
        <v>-0.11389519382303671</v>
      </c>
    </row>
    <row r="33" spans="1:26" s="27" customFormat="1" outlineLevel="1" collapsed="1" x14ac:dyDescent="0.25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18743.3</v>
      </c>
      <c r="E33" s="1"/>
      <c r="F33" s="5">
        <f t="shared" ref="F33:F39" si="22">IF(D$12=0,0,D33/D$12)</f>
        <v>0</v>
      </c>
      <c r="G33" s="1"/>
      <c r="H33" s="1">
        <f>SUM(OSRRefH22_1x_0)</f>
        <v>36485.919999999998</v>
      </c>
      <c r="I33" s="1"/>
      <c r="J33" s="5">
        <f t="shared" ref="J33:J39" si="23">IF(H$12=0,0,H33/H$12)</f>
        <v>0.78167073863612024</v>
      </c>
      <c r="K33" s="1"/>
      <c r="L33" s="1">
        <f t="shared" ref="L33:L39" si="24">+D33-H33</f>
        <v>-17742.62</v>
      </c>
      <c r="M33" s="1"/>
      <c r="N33" s="5">
        <f t="shared" ref="N33:N39" si="25">IF(H33=0,0,L33/H33)</f>
        <v>-0.48628676486710487</v>
      </c>
      <c r="O33" s="14"/>
      <c r="P33" s="1">
        <f>SUM(OSRRefP22_1x_0)</f>
        <v>18743.3</v>
      </c>
      <c r="Q33" s="1"/>
      <c r="R33" s="5">
        <f t="shared" ref="R33:R39" si="26">IF(P$12=0,0,P33/P$12)</f>
        <v>0</v>
      </c>
      <c r="S33" s="1"/>
      <c r="T33" s="1">
        <f>SUM(OSRRefT22_1x_0)</f>
        <v>36485.919999999998</v>
      </c>
      <c r="U33" s="1"/>
      <c r="V33" s="5">
        <f t="shared" ref="V33:V39" si="27">IF(T$12=0,0,T33/T$12)</f>
        <v>0.78167073863612024</v>
      </c>
      <c r="W33" s="1"/>
      <c r="X33" s="1">
        <f t="shared" ref="X33:X39" si="28">+P33-T33</f>
        <v>-17742.62</v>
      </c>
      <c r="Y33" s="1"/>
      <c r="Z33" s="5">
        <f t="shared" ref="Z33:Z39" si="29">IF(T33=0,0,X33/T33)</f>
        <v>-0.48628676486710487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8">
        <v>4836.72</v>
      </c>
      <c r="E34" s="3"/>
      <c r="F34" s="7">
        <f t="shared" si="22"/>
        <v>0</v>
      </c>
      <c r="G34" s="3"/>
      <c r="H34" s="8">
        <v>11236.71</v>
      </c>
      <c r="I34" s="3"/>
      <c r="J34" s="7">
        <f t="shared" si="23"/>
        <v>0.24073416280965035</v>
      </c>
      <c r="K34" s="3"/>
      <c r="L34" s="8">
        <f t="shared" si="24"/>
        <v>-6399.9899999999989</v>
      </c>
      <c r="M34" s="3"/>
      <c r="N34" s="7">
        <f t="shared" si="25"/>
        <v>-0.56956084120707928</v>
      </c>
      <c r="O34" s="11"/>
      <c r="P34" s="8">
        <v>4836.72</v>
      </c>
      <c r="Q34" s="3"/>
      <c r="R34" s="7">
        <f t="shared" si="26"/>
        <v>0</v>
      </c>
      <c r="S34" s="3"/>
      <c r="T34" s="8">
        <v>11236.71</v>
      </c>
      <c r="U34" s="3"/>
      <c r="V34" s="7">
        <f t="shared" si="27"/>
        <v>0.24073416280965035</v>
      </c>
      <c r="W34" s="3"/>
      <c r="X34" s="8">
        <f t="shared" si="28"/>
        <v>-6399.9899999999989</v>
      </c>
      <c r="Y34" s="3"/>
      <c r="Z34" s="7">
        <f t="shared" si="29"/>
        <v>-0.56956084120707928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8">
        <v>10493.58</v>
      </c>
      <c r="E35" s="3"/>
      <c r="F35" s="7">
        <f t="shared" si="22"/>
        <v>0</v>
      </c>
      <c r="G35" s="3"/>
      <c r="H35" s="8">
        <v>13901.2</v>
      </c>
      <c r="I35" s="3"/>
      <c r="J35" s="7">
        <f t="shared" si="23"/>
        <v>0.2978179328334995</v>
      </c>
      <c r="K35" s="3"/>
      <c r="L35" s="8">
        <f t="shared" si="24"/>
        <v>-3407.6200000000008</v>
      </c>
      <c r="M35" s="3"/>
      <c r="N35" s="7">
        <f t="shared" si="25"/>
        <v>-0.24513135556642596</v>
      </c>
      <c r="O35" s="11"/>
      <c r="P35" s="8">
        <v>10493.58</v>
      </c>
      <c r="Q35" s="3"/>
      <c r="R35" s="7">
        <f t="shared" si="26"/>
        <v>0</v>
      </c>
      <c r="S35" s="3"/>
      <c r="T35" s="8">
        <v>13901.2</v>
      </c>
      <c r="U35" s="3"/>
      <c r="V35" s="7">
        <f t="shared" si="27"/>
        <v>0.2978179328334995</v>
      </c>
      <c r="W35" s="3"/>
      <c r="X35" s="8">
        <f t="shared" si="28"/>
        <v>-3407.6200000000008</v>
      </c>
      <c r="Y35" s="3"/>
      <c r="Z35" s="7">
        <f t="shared" si="29"/>
        <v>-0.24513135556642596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8"/>
      <c r="E36" s="3"/>
      <c r="F36" s="7">
        <f t="shared" si="22"/>
        <v>0</v>
      </c>
      <c r="G36" s="3"/>
      <c r="H36" s="8">
        <v>2327.5700000000002</v>
      </c>
      <c r="I36" s="3"/>
      <c r="J36" s="7">
        <f t="shared" si="23"/>
        <v>4.986562929281417E-2</v>
      </c>
      <c r="K36" s="3"/>
      <c r="L36" s="8">
        <f t="shared" si="24"/>
        <v>-2327.5700000000002</v>
      </c>
      <c r="M36" s="3"/>
      <c r="N36" s="7">
        <f t="shared" si="25"/>
        <v>-1</v>
      </c>
      <c r="O36" s="11"/>
      <c r="P36" s="8"/>
      <c r="Q36" s="3"/>
      <c r="R36" s="7">
        <f t="shared" si="26"/>
        <v>0</v>
      </c>
      <c r="S36" s="3"/>
      <c r="T36" s="8">
        <v>2327.5700000000002</v>
      </c>
      <c r="U36" s="3"/>
      <c r="V36" s="7">
        <f t="shared" si="27"/>
        <v>4.986562929281417E-2</v>
      </c>
      <c r="W36" s="3"/>
      <c r="X36" s="8">
        <f t="shared" si="28"/>
        <v>-2327.5700000000002</v>
      </c>
      <c r="Y36" s="3"/>
      <c r="Z36" s="7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8"/>
      <c r="E37" s="3"/>
      <c r="F37" s="7">
        <f t="shared" si="22"/>
        <v>0</v>
      </c>
      <c r="G37" s="3"/>
      <c r="H37" s="8">
        <v>612</v>
      </c>
      <c r="I37" s="3"/>
      <c r="J37" s="7">
        <f t="shared" si="23"/>
        <v>1.3111427423107478E-2</v>
      </c>
      <c r="K37" s="3"/>
      <c r="L37" s="8">
        <f t="shared" si="24"/>
        <v>-612</v>
      </c>
      <c r="M37" s="3"/>
      <c r="N37" s="7">
        <f t="shared" si="25"/>
        <v>-1</v>
      </c>
      <c r="O37" s="11"/>
      <c r="P37" s="8"/>
      <c r="Q37" s="3"/>
      <c r="R37" s="7">
        <f t="shared" si="26"/>
        <v>0</v>
      </c>
      <c r="S37" s="3"/>
      <c r="T37" s="8">
        <v>612</v>
      </c>
      <c r="U37" s="3"/>
      <c r="V37" s="7">
        <f t="shared" si="27"/>
        <v>1.3111427423107478E-2</v>
      </c>
      <c r="W37" s="3"/>
      <c r="X37" s="8">
        <f t="shared" si="28"/>
        <v>-612</v>
      </c>
      <c r="Y37" s="3"/>
      <c r="Z37" s="7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8">
        <v>3413</v>
      </c>
      <c r="E38" s="3"/>
      <c r="F38" s="7">
        <f t="shared" si="22"/>
        <v>0</v>
      </c>
      <c r="G38" s="3"/>
      <c r="H38" s="8">
        <v>6323.44</v>
      </c>
      <c r="I38" s="3"/>
      <c r="J38" s="7">
        <f t="shared" si="23"/>
        <v>0.13547275265420711</v>
      </c>
      <c r="K38" s="3"/>
      <c r="L38" s="8">
        <f t="shared" si="24"/>
        <v>-2910.4399999999996</v>
      </c>
      <c r="M38" s="3"/>
      <c r="N38" s="7">
        <f t="shared" si="25"/>
        <v>-0.46026213579950148</v>
      </c>
      <c r="O38" s="11"/>
      <c r="P38" s="8">
        <v>3413</v>
      </c>
      <c r="Q38" s="3"/>
      <c r="R38" s="7">
        <f t="shared" si="26"/>
        <v>0</v>
      </c>
      <c r="S38" s="3"/>
      <c r="T38" s="8">
        <v>6323.44</v>
      </c>
      <c r="U38" s="3"/>
      <c r="V38" s="7">
        <f t="shared" si="27"/>
        <v>0.13547275265420711</v>
      </c>
      <c r="W38" s="3"/>
      <c r="X38" s="8">
        <f t="shared" si="28"/>
        <v>-2910.4399999999996</v>
      </c>
      <c r="Y38" s="3"/>
      <c r="Z38" s="7">
        <f t="shared" si="29"/>
        <v>-0.46026213579950148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8"/>
      <c r="E39" s="3"/>
      <c r="F39" s="7">
        <f t="shared" si="22"/>
        <v>0</v>
      </c>
      <c r="G39" s="3"/>
      <c r="H39" s="8">
        <v>2085</v>
      </c>
      <c r="I39" s="3"/>
      <c r="J39" s="7">
        <f t="shared" si="23"/>
        <v>4.4668833622841651E-2</v>
      </c>
      <c r="K39" s="3"/>
      <c r="L39" s="8">
        <f t="shared" si="24"/>
        <v>-2085</v>
      </c>
      <c r="M39" s="3"/>
      <c r="N39" s="7">
        <f t="shared" si="25"/>
        <v>-1</v>
      </c>
      <c r="O39" s="11"/>
      <c r="P39" s="8"/>
      <c r="Q39" s="3"/>
      <c r="R39" s="7">
        <f t="shared" si="26"/>
        <v>0</v>
      </c>
      <c r="S39" s="3"/>
      <c r="T39" s="8">
        <v>2085</v>
      </c>
      <c r="U39" s="3"/>
      <c r="V39" s="7">
        <f t="shared" si="27"/>
        <v>4.4668833622841651E-2</v>
      </c>
      <c r="W39" s="3"/>
      <c r="X39" s="8">
        <f t="shared" si="28"/>
        <v>-2085</v>
      </c>
      <c r="Y39" s="3"/>
      <c r="Z39" s="7">
        <f t="shared" si="29"/>
        <v>-1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5" si="30">IF(D$12=0,0,D40/D$12)</f>
        <v>0</v>
      </c>
      <c r="G40" s="1"/>
      <c r="H40" s="1">
        <f>SUM(OSRRefH22_2x_0)</f>
        <v>422.69</v>
      </c>
      <c r="I40" s="1"/>
      <c r="J40" s="5">
        <f t="shared" ref="J40:J55" si="31">IF(H$12=0,0,H40/H$12)</f>
        <v>9.0556687213616018E-3</v>
      </c>
      <c r="K40" s="1"/>
      <c r="L40" s="1">
        <f t="shared" ref="L40:L55" si="32">+D40-H40</f>
        <v>-422.69</v>
      </c>
      <c r="M40" s="1"/>
      <c r="N40" s="5">
        <f t="shared" ref="N40:N55" si="33">IF(H40=0,0,L40/H40)</f>
        <v>-1</v>
      </c>
      <c r="O40" s="14"/>
      <c r="P40" s="1">
        <f>SUM(OSRRefP22_2x_0)</f>
        <v>0</v>
      </c>
      <c r="Q40" s="1"/>
      <c r="R40" s="5">
        <f t="shared" ref="R40:R55" si="34">IF(P$12=0,0,P40/P$12)</f>
        <v>0</v>
      </c>
      <c r="S40" s="1"/>
      <c r="T40" s="1">
        <f>SUM(OSRRefT22_2x_0)</f>
        <v>422.69</v>
      </c>
      <c r="U40" s="1"/>
      <c r="V40" s="5">
        <f t="shared" ref="V40:V55" si="35">IF(T$12=0,0,T40/T$12)</f>
        <v>9.0556687213616018E-3</v>
      </c>
      <c r="W40" s="1"/>
      <c r="X40" s="1">
        <f t="shared" ref="X40:X55" si="36">+P40-T40</f>
        <v>-422.69</v>
      </c>
      <c r="Y40" s="1"/>
      <c r="Z40" s="5">
        <f t="shared" ref="Z40:Z55" si="37">IF(T40=0,0,X40/T40)</f>
        <v>-1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8"/>
      <c r="E41" s="3"/>
      <c r="F41" s="7">
        <f t="shared" si="30"/>
        <v>0</v>
      </c>
      <c r="G41" s="3"/>
      <c r="H41" s="8">
        <v>422.69</v>
      </c>
      <c r="I41" s="3"/>
      <c r="J41" s="7">
        <f t="shared" si="31"/>
        <v>9.0556687213616018E-3</v>
      </c>
      <c r="K41" s="3"/>
      <c r="L41" s="8">
        <f t="shared" si="32"/>
        <v>-422.69</v>
      </c>
      <c r="M41" s="3"/>
      <c r="N41" s="7">
        <f t="shared" si="33"/>
        <v>-1</v>
      </c>
      <c r="O41" s="11"/>
      <c r="P41" s="8"/>
      <c r="Q41" s="3"/>
      <c r="R41" s="7">
        <f t="shared" si="34"/>
        <v>0</v>
      </c>
      <c r="S41" s="3"/>
      <c r="T41" s="8">
        <v>422.69</v>
      </c>
      <c r="U41" s="3"/>
      <c r="V41" s="7">
        <f t="shared" si="35"/>
        <v>9.0556687213616018E-3</v>
      </c>
      <c r="W41" s="3"/>
      <c r="X41" s="8">
        <f t="shared" si="36"/>
        <v>-422.69</v>
      </c>
      <c r="Y41" s="3"/>
      <c r="Z41" s="7">
        <f t="shared" si="37"/>
        <v>-1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0</v>
      </c>
      <c r="E42" s="1"/>
      <c r="F42" s="5">
        <f t="shared" si="30"/>
        <v>0</v>
      </c>
      <c r="G42" s="1"/>
      <c r="H42" s="1">
        <f>SUM(OSRRefH22_3x_0)</f>
        <v>0.2</v>
      </c>
      <c r="I42" s="1"/>
      <c r="J42" s="5">
        <f t="shared" si="31"/>
        <v>4.2847802036298947E-6</v>
      </c>
      <c r="K42" s="1"/>
      <c r="L42" s="1">
        <f t="shared" si="32"/>
        <v>-0.2</v>
      </c>
      <c r="M42" s="1"/>
      <c r="N42" s="5">
        <f t="shared" si="33"/>
        <v>-1</v>
      </c>
      <c r="O42" s="14"/>
      <c r="P42" s="1">
        <f>SUM(OSRRefP22_3x_0)</f>
        <v>0</v>
      </c>
      <c r="Q42" s="1"/>
      <c r="R42" s="5">
        <f t="shared" si="34"/>
        <v>0</v>
      </c>
      <c r="S42" s="1"/>
      <c r="T42" s="1">
        <f>SUM(OSRRefT22_3x_0)</f>
        <v>0.2</v>
      </c>
      <c r="U42" s="1"/>
      <c r="V42" s="5">
        <f t="shared" si="35"/>
        <v>4.2847802036298947E-6</v>
      </c>
      <c r="W42" s="1"/>
      <c r="X42" s="1">
        <f t="shared" si="36"/>
        <v>-0.2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8"/>
      <c r="E43" s="3"/>
      <c r="F43" s="7">
        <f t="shared" si="30"/>
        <v>0</v>
      </c>
      <c r="G43" s="3"/>
      <c r="H43" s="8">
        <v>0.2</v>
      </c>
      <c r="I43" s="3"/>
      <c r="J43" s="7">
        <f t="shared" si="31"/>
        <v>4.2847802036298947E-6</v>
      </c>
      <c r="K43" s="3"/>
      <c r="L43" s="8">
        <f t="shared" si="32"/>
        <v>-0.2</v>
      </c>
      <c r="M43" s="3"/>
      <c r="N43" s="7">
        <f t="shared" si="33"/>
        <v>-1</v>
      </c>
      <c r="O43" s="11"/>
      <c r="P43" s="8"/>
      <c r="Q43" s="3"/>
      <c r="R43" s="7">
        <f t="shared" si="34"/>
        <v>0</v>
      </c>
      <c r="S43" s="3"/>
      <c r="T43" s="8">
        <v>0.2</v>
      </c>
      <c r="U43" s="3"/>
      <c r="V43" s="7">
        <f t="shared" si="35"/>
        <v>4.2847802036298947E-6</v>
      </c>
      <c r="W43" s="3"/>
      <c r="X43" s="8">
        <f t="shared" si="36"/>
        <v>-0.2</v>
      </c>
      <c r="Y43" s="3"/>
      <c r="Z43" s="7">
        <f t="shared" si="37"/>
        <v>-1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213.02</v>
      </c>
      <c r="E44" s="1"/>
      <c r="F44" s="5">
        <f t="shared" si="30"/>
        <v>0</v>
      </c>
      <c r="G44" s="1"/>
      <c r="H44" s="1">
        <f>SUM(OSRRefH22_4x_0)</f>
        <v>0</v>
      </c>
      <c r="I44" s="1"/>
      <c r="J44" s="5">
        <f t="shared" si="31"/>
        <v>0</v>
      </c>
      <c r="K44" s="1"/>
      <c r="L44" s="1">
        <f t="shared" si="32"/>
        <v>213.02</v>
      </c>
      <c r="M44" s="1"/>
      <c r="N44" s="5">
        <f t="shared" si="33"/>
        <v>0</v>
      </c>
      <c r="O44" s="14"/>
      <c r="P44" s="1">
        <f>SUM(OSRRefP22_4x_0)</f>
        <v>213.02</v>
      </c>
      <c r="Q44" s="1"/>
      <c r="R44" s="5">
        <f t="shared" si="34"/>
        <v>0</v>
      </c>
      <c r="S44" s="1"/>
      <c r="T44" s="1">
        <f>SUM(OSRRefT22_4x_0)</f>
        <v>0</v>
      </c>
      <c r="U44" s="1"/>
      <c r="V44" s="5">
        <f t="shared" si="35"/>
        <v>0</v>
      </c>
      <c r="W44" s="1"/>
      <c r="X44" s="1">
        <f t="shared" si="36"/>
        <v>213.02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8">
        <v>213.02</v>
      </c>
      <c r="E45" s="3"/>
      <c r="F45" s="7">
        <f t="shared" si="30"/>
        <v>0</v>
      </c>
      <c r="G45" s="3"/>
      <c r="H45" s="8"/>
      <c r="I45" s="3"/>
      <c r="J45" s="7">
        <f t="shared" si="31"/>
        <v>0</v>
      </c>
      <c r="K45" s="3"/>
      <c r="L45" s="8">
        <f t="shared" si="32"/>
        <v>213.02</v>
      </c>
      <c r="M45" s="3"/>
      <c r="N45" s="7">
        <f t="shared" si="33"/>
        <v>0</v>
      </c>
      <c r="O45" s="11"/>
      <c r="P45" s="8">
        <v>213.02</v>
      </c>
      <c r="Q45" s="3"/>
      <c r="R45" s="7">
        <f t="shared" si="34"/>
        <v>0</v>
      </c>
      <c r="S45" s="3"/>
      <c r="T45" s="8"/>
      <c r="U45" s="3"/>
      <c r="V45" s="7">
        <f t="shared" si="35"/>
        <v>0</v>
      </c>
      <c r="W45" s="3"/>
      <c r="X45" s="8">
        <f t="shared" si="36"/>
        <v>213.02</v>
      </c>
      <c r="Y45" s="3"/>
      <c r="Z45" s="7">
        <f t="shared" si="37"/>
        <v>0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1439.55</v>
      </c>
      <c r="E46" s="1"/>
      <c r="F46" s="5">
        <f t="shared" si="30"/>
        <v>0</v>
      </c>
      <c r="G46" s="1"/>
      <c r="H46" s="1">
        <f>SUM(OSRRefH22_5x_0)</f>
        <v>1517.11</v>
      </c>
      <c r="I46" s="1"/>
      <c r="J46" s="5">
        <f t="shared" si="31"/>
        <v>3.2502414473644749E-2</v>
      </c>
      <c r="K46" s="1"/>
      <c r="L46" s="1">
        <f t="shared" si="32"/>
        <v>-77.559999999999945</v>
      </c>
      <c r="M46" s="1"/>
      <c r="N46" s="5">
        <f t="shared" si="33"/>
        <v>-5.1123517740967996E-2</v>
      </c>
      <c r="O46" s="14"/>
      <c r="P46" s="1">
        <f>SUM(OSRRefP22_5x_0)</f>
        <v>1439.55</v>
      </c>
      <c r="Q46" s="1"/>
      <c r="R46" s="5">
        <f t="shared" si="34"/>
        <v>0</v>
      </c>
      <c r="S46" s="1"/>
      <c r="T46" s="1">
        <f>SUM(OSRRefT22_5x_0)</f>
        <v>1517.11</v>
      </c>
      <c r="U46" s="1"/>
      <c r="V46" s="5">
        <f t="shared" si="35"/>
        <v>3.2502414473644749E-2</v>
      </c>
      <c r="W46" s="1"/>
      <c r="X46" s="1">
        <f t="shared" si="36"/>
        <v>-77.559999999999945</v>
      </c>
      <c r="Y46" s="1"/>
      <c r="Z46" s="5">
        <f t="shared" si="37"/>
        <v>-5.1123517740967996E-2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8">
        <v>1439.55</v>
      </c>
      <c r="E47" s="3"/>
      <c r="F47" s="7">
        <f t="shared" si="30"/>
        <v>0</v>
      </c>
      <c r="G47" s="3"/>
      <c r="H47" s="8">
        <v>1517.11</v>
      </c>
      <c r="I47" s="3"/>
      <c r="J47" s="7">
        <f t="shared" si="31"/>
        <v>3.2502414473644749E-2</v>
      </c>
      <c r="K47" s="3"/>
      <c r="L47" s="8">
        <f t="shared" si="32"/>
        <v>-77.559999999999945</v>
      </c>
      <c r="M47" s="3"/>
      <c r="N47" s="7">
        <f t="shared" si="33"/>
        <v>-5.1123517740967996E-2</v>
      </c>
      <c r="O47" s="11"/>
      <c r="P47" s="8">
        <v>1439.55</v>
      </c>
      <c r="Q47" s="3"/>
      <c r="R47" s="7">
        <f t="shared" si="34"/>
        <v>0</v>
      </c>
      <c r="S47" s="3"/>
      <c r="T47" s="8">
        <v>1517.11</v>
      </c>
      <c r="U47" s="3"/>
      <c r="V47" s="7">
        <f t="shared" si="35"/>
        <v>3.2502414473644749E-2</v>
      </c>
      <c r="W47" s="3"/>
      <c r="X47" s="8">
        <f t="shared" si="36"/>
        <v>-77.559999999999945</v>
      </c>
      <c r="Y47" s="3"/>
      <c r="Z47" s="7">
        <f t="shared" si="37"/>
        <v>-5.1123517740967996E-2</v>
      </c>
    </row>
    <row r="48" spans="1:26" s="27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5.9</v>
      </c>
      <c r="E48" s="1"/>
      <c r="F48" s="5">
        <f t="shared" si="30"/>
        <v>0</v>
      </c>
      <c r="G48" s="1"/>
      <c r="H48" s="1">
        <f>SUM(OSRRefH22_6x_0)</f>
        <v>5.9</v>
      </c>
      <c r="I48" s="1"/>
      <c r="J48" s="5">
        <f t="shared" si="31"/>
        <v>1.2640101600708189E-4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SUM(OSRRefP22_6x_0)</f>
        <v>5.9</v>
      </c>
      <c r="Q48" s="1"/>
      <c r="R48" s="5">
        <f t="shared" si="34"/>
        <v>0</v>
      </c>
      <c r="S48" s="1"/>
      <c r="T48" s="1">
        <f>SUM(OSRRefT22_6x_0)</f>
        <v>5.9</v>
      </c>
      <c r="U48" s="1"/>
      <c r="V48" s="5">
        <f t="shared" si="35"/>
        <v>1.2640101600708189E-4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8">
        <v>5.9</v>
      </c>
      <c r="E49" s="3"/>
      <c r="F49" s="7">
        <f t="shared" si="30"/>
        <v>0</v>
      </c>
      <c r="G49" s="3"/>
      <c r="H49" s="8">
        <v>5.9</v>
      </c>
      <c r="I49" s="3"/>
      <c r="J49" s="7">
        <f t="shared" si="31"/>
        <v>1.2640101600708189E-4</v>
      </c>
      <c r="K49" s="3"/>
      <c r="L49" s="8">
        <f t="shared" si="32"/>
        <v>0</v>
      </c>
      <c r="M49" s="3"/>
      <c r="N49" s="7">
        <f t="shared" si="33"/>
        <v>0</v>
      </c>
      <c r="O49" s="11"/>
      <c r="P49" s="8">
        <v>5.9</v>
      </c>
      <c r="Q49" s="3"/>
      <c r="R49" s="7">
        <f t="shared" si="34"/>
        <v>0</v>
      </c>
      <c r="S49" s="3"/>
      <c r="T49" s="8">
        <v>5.9</v>
      </c>
      <c r="U49" s="3"/>
      <c r="V49" s="7">
        <f t="shared" si="35"/>
        <v>1.2640101600708189E-4</v>
      </c>
      <c r="W49" s="3"/>
      <c r="X49" s="8">
        <f t="shared" si="36"/>
        <v>0</v>
      </c>
      <c r="Y49" s="3"/>
      <c r="Z49" s="7">
        <f t="shared" si="37"/>
        <v>0</v>
      </c>
    </row>
    <row r="50" spans="1:26" s="27" customFormat="1" outlineLevel="1" collapsed="1" x14ac:dyDescent="0.25">
      <c r="A50" s="28"/>
      <c r="B50" s="14" t="str">
        <f>CONCATENATE("     ","R/H Commissions                                   ")</f>
        <v xml:space="preserve">     R/H Commissions                                   </v>
      </c>
      <c r="C50" s="14"/>
      <c r="D50" s="1">
        <f>SUM(OSRRefD22_7x_0)</f>
        <v>0</v>
      </c>
      <c r="E50" s="1"/>
      <c r="F50" s="5">
        <f t="shared" si="30"/>
        <v>0</v>
      </c>
      <c r="G50" s="1"/>
      <c r="H50" s="1">
        <f>SUM(OSRRefH22_7x_0)</f>
        <v>3681.29</v>
      </c>
      <c r="I50" s="1"/>
      <c r="J50" s="5">
        <f t="shared" si="31"/>
        <v>7.8867592579103474E-2</v>
      </c>
      <c r="K50" s="1"/>
      <c r="L50" s="1">
        <f t="shared" si="32"/>
        <v>-3681.29</v>
      </c>
      <c r="M50" s="1"/>
      <c r="N50" s="5">
        <f t="shared" si="33"/>
        <v>-1</v>
      </c>
      <c r="O50" s="14"/>
      <c r="P50" s="1">
        <f>SUM(OSRRefP22_7x_0)</f>
        <v>0</v>
      </c>
      <c r="Q50" s="1"/>
      <c r="R50" s="5">
        <f t="shared" si="34"/>
        <v>0</v>
      </c>
      <c r="S50" s="1"/>
      <c r="T50" s="1">
        <f>SUM(OSRRefT22_7x_0)</f>
        <v>3681.29</v>
      </c>
      <c r="U50" s="1"/>
      <c r="V50" s="5">
        <f t="shared" si="35"/>
        <v>7.8867592579103474E-2</v>
      </c>
      <c r="W50" s="1"/>
      <c r="X50" s="1">
        <f t="shared" si="36"/>
        <v>-3681.29</v>
      </c>
      <c r="Y50" s="1"/>
      <c r="Z50" s="5">
        <f t="shared" si="37"/>
        <v>-1</v>
      </c>
    </row>
    <row r="51" spans="1:26" s="24" customFormat="1" hidden="1" outlineLevel="2" x14ac:dyDescent="0.25">
      <c r="A51" s="29"/>
      <c r="B51" s="11" t="str">
        <f>CONCATENATE("          ", "6387", " - ", "COMMISSION DUE HOUSING")</f>
        <v xml:space="preserve">          6387 - COMMISSION DUE HOUSING</v>
      </c>
      <c r="C51" s="11"/>
      <c r="D51" s="8"/>
      <c r="E51" s="3"/>
      <c r="F51" s="7">
        <f t="shared" si="30"/>
        <v>0</v>
      </c>
      <c r="G51" s="3"/>
      <c r="H51" s="8">
        <v>3681.29</v>
      </c>
      <c r="I51" s="3"/>
      <c r="J51" s="7">
        <f t="shared" si="31"/>
        <v>7.8867592579103474E-2</v>
      </c>
      <c r="K51" s="3"/>
      <c r="L51" s="8">
        <f t="shared" si="32"/>
        <v>-3681.29</v>
      </c>
      <c r="M51" s="3"/>
      <c r="N51" s="7">
        <f t="shared" si="33"/>
        <v>-1</v>
      </c>
      <c r="O51" s="11"/>
      <c r="P51" s="8"/>
      <c r="Q51" s="3"/>
      <c r="R51" s="7">
        <f t="shared" si="34"/>
        <v>0</v>
      </c>
      <c r="S51" s="3"/>
      <c r="T51" s="8">
        <v>3681.29</v>
      </c>
      <c r="U51" s="3"/>
      <c r="V51" s="7">
        <f t="shared" si="35"/>
        <v>7.8867592579103474E-2</v>
      </c>
      <c r="W51" s="3"/>
      <c r="X51" s="8">
        <f t="shared" si="36"/>
        <v>-3681.29</v>
      </c>
      <c r="Y51" s="3"/>
      <c r="Z51" s="7">
        <f t="shared" si="37"/>
        <v>-1</v>
      </c>
    </row>
    <row r="52" spans="1:26" s="27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669.64</v>
      </c>
      <c r="E52" s="1"/>
      <c r="F52" s="5">
        <f t="shared" si="30"/>
        <v>0</v>
      </c>
      <c r="G52" s="1"/>
      <c r="H52" s="1">
        <f>SUM(OSRRefH22_8x_0)</f>
        <v>6968.1400000000012</v>
      </c>
      <c r="I52" s="1"/>
      <c r="J52" s="5">
        <f t="shared" si="31"/>
        <v>0.14928474164060809</v>
      </c>
      <c r="K52" s="1"/>
      <c r="L52" s="1">
        <f t="shared" si="32"/>
        <v>-6298.5000000000009</v>
      </c>
      <c r="M52" s="1"/>
      <c r="N52" s="5">
        <f t="shared" si="33"/>
        <v>-0.9038997494309815</v>
      </c>
      <c r="O52" s="14"/>
      <c r="P52" s="1">
        <f>SUM(OSRRefP22_8x_0)</f>
        <v>669.64</v>
      </c>
      <c r="Q52" s="1"/>
      <c r="R52" s="5">
        <f t="shared" si="34"/>
        <v>0</v>
      </c>
      <c r="S52" s="1"/>
      <c r="T52" s="1">
        <f>SUM(OSRRefT22_8x_0)</f>
        <v>6968.1400000000012</v>
      </c>
      <c r="U52" s="1"/>
      <c r="V52" s="5">
        <f t="shared" si="35"/>
        <v>0.14928474164060809</v>
      </c>
      <c r="W52" s="1"/>
      <c r="X52" s="1">
        <f t="shared" si="36"/>
        <v>-6298.5000000000009</v>
      </c>
      <c r="Y52" s="1"/>
      <c r="Z52" s="5">
        <f t="shared" si="37"/>
        <v>-0.9038997494309815</v>
      </c>
    </row>
    <row r="53" spans="1:26" s="24" customFormat="1" hidden="1" outlineLevel="2" x14ac:dyDescent="0.25">
      <c r="A53" s="29"/>
      <c r="B53" s="11" t="str">
        <f>CONCATENATE("          ", "6282", " - ", "JANITORIAL/EXTERMINATOR EXPENS")</f>
        <v xml:space="preserve">          6282 - JANITORIAL/EXTERMINATOR EXPENS</v>
      </c>
      <c r="C53" s="11"/>
      <c r="D53" s="8">
        <v>669.64</v>
      </c>
      <c r="E53" s="3"/>
      <c r="F53" s="7">
        <f t="shared" si="30"/>
        <v>0</v>
      </c>
      <c r="G53" s="3"/>
      <c r="H53" s="8">
        <v>669.64</v>
      </c>
      <c r="I53" s="3"/>
      <c r="J53" s="7">
        <f t="shared" si="31"/>
        <v>1.4346301077793612E-2</v>
      </c>
      <c r="K53" s="3"/>
      <c r="L53" s="8">
        <f t="shared" si="32"/>
        <v>0</v>
      </c>
      <c r="M53" s="3"/>
      <c r="N53" s="7">
        <f t="shared" si="33"/>
        <v>0</v>
      </c>
      <c r="O53" s="11"/>
      <c r="P53" s="8">
        <v>669.64</v>
      </c>
      <c r="Q53" s="3"/>
      <c r="R53" s="7">
        <f t="shared" si="34"/>
        <v>0</v>
      </c>
      <c r="S53" s="3"/>
      <c r="T53" s="8">
        <v>669.64</v>
      </c>
      <c r="U53" s="3"/>
      <c r="V53" s="7">
        <f t="shared" si="35"/>
        <v>1.4346301077793612E-2</v>
      </c>
      <c r="W53" s="3"/>
      <c r="X53" s="8">
        <f t="shared" si="36"/>
        <v>0</v>
      </c>
      <c r="Y53" s="3"/>
      <c r="Z53" s="7">
        <f t="shared" si="37"/>
        <v>0</v>
      </c>
    </row>
    <row r="54" spans="1:26" s="24" customFormat="1" hidden="1" outlineLevel="2" x14ac:dyDescent="0.25">
      <c r="A54" s="29"/>
      <c r="B54" s="11" t="str">
        <f>CONCATENATE("          ", "6285", " - ", "JANITORIAL SERVICES")</f>
        <v xml:space="preserve">          6285 - JANITORIAL SERVICES</v>
      </c>
      <c r="C54" s="11"/>
      <c r="D54" s="8"/>
      <c r="E54" s="3"/>
      <c r="F54" s="7">
        <f t="shared" si="30"/>
        <v>0</v>
      </c>
      <c r="G54" s="3"/>
      <c r="H54" s="8">
        <v>5024.7700000000004</v>
      </c>
      <c r="I54" s="3"/>
      <c r="J54" s="7">
        <f t="shared" si="31"/>
        <v>0.10765017511896693</v>
      </c>
      <c r="K54" s="3"/>
      <c r="L54" s="8">
        <f t="shared" si="32"/>
        <v>-5024.7700000000004</v>
      </c>
      <c r="M54" s="3"/>
      <c r="N54" s="7">
        <f t="shared" si="33"/>
        <v>-1</v>
      </c>
      <c r="O54" s="11"/>
      <c r="P54" s="8"/>
      <c r="Q54" s="3"/>
      <c r="R54" s="7">
        <f t="shared" si="34"/>
        <v>0</v>
      </c>
      <c r="S54" s="3"/>
      <c r="T54" s="8">
        <v>5024.7700000000004</v>
      </c>
      <c r="U54" s="3"/>
      <c r="V54" s="7">
        <f t="shared" si="35"/>
        <v>0.10765017511896693</v>
      </c>
      <c r="W54" s="3"/>
      <c r="X54" s="8">
        <f t="shared" si="36"/>
        <v>-5024.7700000000004</v>
      </c>
      <c r="Y54" s="3"/>
      <c r="Z54" s="7">
        <f t="shared" si="37"/>
        <v>-1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8"/>
      <c r="E55" s="3"/>
      <c r="F55" s="7">
        <f t="shared" si="30"/>
        <v>0</v>
      </c>
      <c r="G55" s="3"/>
      <c r="H55" s="8">
        <v>1273.73</v>
      </c>
      <c r="I55" s="3"/>
      <c r="J55" s="7">
        <f t="shared" si="31"/>
        <v>2.7288265443847531E-2</v>
      </c>
      <c r="K55" s="3"/>
      <c r="L55" s="8">
        <f t="shared" si="32"/>
        <v>-1273.73</v>
      </c>
      <c r="M55" s="3"/>
      <c r="N55" s="7">
        <f t="shared" si="33"/>
        <v>-1</v>
      </c>
      <c r="O55" s="11"/>
      <c r="P55" s="8"/>
      <c r="Q55" s="3"/>
      <c r="R55" s="7">
        <f t="shared" si="34"/>
        <v>0</v>
      </c>
      <c r="S55" s="3"/>
      <c r="T55" s="8">
        <v>1273.73</v>
      </c>
      <c r="U55" s="3"/>
      <c r="V55" s="7">
        <f t="shared" si="35"/>
        <v>2.7288265443847531E-2</v>
      </c>
      <c r="W55" s="3"/>
      <c r="X55" s="8">
        <f t="shared" si="36"/>
        <v>-1273.73</v>
      </c>
      <c r="Y55" s="3"/>
      <c r="Z55" s="7">
        <f t="shared" si="37"/>
        <v>-1</v>
      </c>
    </row>
    <row r="56" spans="1:26" s="27" customFormat="1" outlineLevel="1" collapsed="1" x14ac:dyDescent="0.25">
      <c r="A56" s="28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0</v>
      </c>
      <c r="E56" s="1"/>
      <c r="F56" s="5">
        <f t="shared" ref="F56:F60" si="38">IF(D$12=0,0,D56/D$12)</f>
        <v>0</v>
      </c>
      <c r="G56" s="1"/>
      <c r="H56" s="1">
        <f>SUM(OSRRefH22_9x_0)</f>
        <v>12088.16</v>
      </c>
      <c r="I56" s="1"/>
      <c r="J56" s="5">
        <f t="shared" ref="J56:J60" si="39">IF(H$12=0,0,H56/H$12)</f>
        <v>0.25897554333155376</v>
      </c>
      <c r="K56" s="1"/>
      <c r="L56" s="1">
        <f t="shared" ref="L56:L60" si="40">+D56-H56</f>
        <v>-12088.16</v>
      </c>
      <c r="M56" s="1"/>
      <c r="N56" s="5">
        <f t="shared" ref="N56:N60" si="41">IF(H56=0,0,L56/H56)</f>
        <v>-1</v>
      </c>
      <c r="O56" s="14"/>
      <c r="P56" s="1">
        <f>SUM(OSRRefP22_9x_0)</f>
        <v>0</v>
      </c>
      <c r="Q56" s="1"/>
      <c r="R56" s="5">
        <f t="shared" ref="R56:R60" si="42">IF(P$12=0,0,P56/P$12)</f>
        <v>0</v>
      </c>
      <c r="S56" s="1"/>
      <c r="T56" s="1">
        <f>SUM(OSRRefT22_9x_0)</f>
        <v>12088.16</v>
      </c>
      <c r="U56" s="1"/>
      <c r="V56" s="5">
        <f t="shared" ref="V56:V60" si="43">IF(T$12=0,0,T56/T$12)</f>
        <v>0.25897554333155376</v>
      </c>
      <c r="W56" s="1"/>
      <c r="X56" s="1">
        <f t="shared" ref="X56:X60" si="44">+P56-T56</f>
        <v>-12088.16</v>
      </c>
      <c r="Y56" s="1"/>
      <c r="Z56" s="5">
        <f t="shared" ref="Z56:Z60" si="45">IF(T56=0,0,X56/T56)</f>
        <v>-1</v>
      </c>
    </row>
    <row r="57" spans="1:26" s="24" customFormat="1" hidden="1" outlineLevel="2" x14ac:dyDescent="0.25">
      <c r="A57" s="29"/>
      <c r="B57" s="11" t="str">
        <f>CONCATENATE("          ", "6239", " - ", "KITCHEN SUPPLIES")</f>
        <v xml:space="preserve">          6239 - KITCHEN SUPPLIES</v>
      </c>
      <c r="C57" s="11"/>
      <c r="D57" s="8"/>
      <c r="E57" s="3"/>
      <c r="F57" s="7">
        <f t="shared" si="38"/>
        <v>0</v>
      </c>
      <c r="G57" s="3"/>
      <c r="H57" s="8">
        <v>478.24</v>
      </c>
      <c r="I57" s="3"/>
      <c r="J57" s="7">
        <f t="shared" si="39"/>
        <v>1.0245766422919805E-2</v>
      </c>
      <c r="K57" s="3"/>
      <c r="L57" s="8">
        <f t="shared" si="40"/>
        <v>-478.24</v>
      </c>
      <c r="M57" s="3"/>
      <c r="N57" s="7">
        <f t="shared" si="41"/>
        <v>-1</v>
      </c>
      <c r="O57" s="11"/>
      <c r="P57" s="8"/>
      <c r="Q57" s="3"/>
      <c r="R57" s="7">
        <f t="shared" si="42"/>
        <v>0</v>
      </c>
      <c r="S57" s="3"/>
      <c r="T57" s="8">
        <v>478.24</v>
      </c>
      <c r="U57" s="3"/>
      <c r="V57" s="7">
        <f t="shared" si="43"/>
        <v>1.0245766422919805E-2</v>
      </c>
      <c r="W57" s="3"/>
      <c r="X57" s="8">
        <f t="shared" si="44"/>
        <v>-478.24</v>
      </c>
      <c r="Y57" s="3"/>
      <c r="Z57" s="7">
        <f t="shared" si="45"/>
        <v>-1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8"/>
      <c r="E58" s="3"/>
      <c r="F58" s="7">
        <f t="shared" si="38"/>
        <v>0</v>
      </c>
      <c r="G58" s="3"/>
      <c r="H58" s="8">
        <v>19222.28</v>
      </c>
      <c r="I58" s="3"/>
      <c r="J58" s="7">
        <f t="shared" si="39"/>
        <v>0.41181622406315421</v>
      </c>
      <c r="K58" s="3"/>
      <c r="L58" s="8">
        <f t="shared" si="40"/>
        <v>-19222.28</v>
      </c>
      <c r="M58" s="3"/>
      <c r="N58" s="7">
        <f t="shared" si="41"/>
        <v>-1</v>
      </c>
      <c r="O58" s="11"/>
      <c r="P58" s="8"/>
      <c r="Q58" s="3"/>
      <c r="R58" s="7">
        <f t="shared" si="42"/>
        <v>0</v>
      </c>
      <c r="S58" s="3"/>
      <c r="T58" s="8">
        <v>19222.28</v>
      </c>
      <c r="U58" s="3"/>
      <c r="V58" s="7">
        <f t="shared" si="43"/>
        <v>0.41181622406315421</v>
      </c>
      <c r="W58" s="3"/>
      <c r="X58" s="8">
        <f t="shared" si="44"/>
        <v>-19222.28</v>
      </c>
      <c r="Y58" s="3"/>
      <c r="Z58" s="7">
        <f t="shared" si="45"/>
        <v>-1</v>
      </c>
    </row>
    <row r="59" spans="1:26" s="24" customFormat="1" hidden="1" outlineLevel="2" x14ac:dyDescent="0.25">
      <c r="A59" s="29"/>
      <c r="B59" s="11" t="str">
        <f>CONCATENATE("          ", "6243", " - ", "PAPER SUPPLIES")</f>
        <v xml:space="preserve">          6243 - PAPER SUPPLIES</v>
      </c>
      <c r="C59" s="11"/>
      <c r="D59" s="8"/>
      <c r="E59" s="3"/>
      <c r="F59" s="7">
        <f t="shared" si="38"/>
        <v>0</v>
      </c>
      <c r="G59" s="3"/>
      <c r="H59" s="8">
        <v>447.26</v>
      </c>
      <c r="I59" s="3"/>
      <c r="J59" s="7">
        <f t="shared" si="39"/>
        <v>9.5820539693775332E-3</v>
      </c>
      <c r="K59" s="3"/>
      <c r="L59" s="8">
        <f t="shared" si="40"/>
        <v>-447.26</v>
      </c>
      <c r="M59" s="3"/>
      <c r="N59" s="7">
        <f t="shared" si="41"/>
        <v>-1</v>
      </c>
      <c r="O59" s="11"/>
      <c r="P59" s="8"/>
      <c r="Q59" s="3"/>
      <c r="R59" s="7">
        <f t="shared" si="42"/>
        <v>0</v>
      </c>
      <c r="S59" s="3"/>
      <c r="T59" s="8">
        <v>447.26</v>
      </c>
      <c r="U59" s="3"/>
      <c r="V59" s="7">
        <f t="shared" si="43"/>
        <v>9.5820539693775332E-3</v>
      </c>
      <c r="W59" s="3"/>
      <c r="X59" s="8">
        <f t="shared" si="44"/>
        <v>-447.26</v>
      </c>
      <c r="Y59" s="3"/>
      <c r="Z59" s="7">
        <f t="shared" si="45"/>
        <v>-1</v>
      </c>
    </row>
    <row r="60" spans="1:26" s="24" customFormat="1" hidden="1" outlineLevel="2" x14ac:dyDescent="0.25">
      <c r="A60" s="29"/>
      <c r="B60" s="11" t="str">
        <f>CONCATENATE("          ", "6248", " - ", "UNIFORMS")</f>
        <v xml:space="preserve">          6248 - UNIFORMS</v>
      </c>
      <c r="C60" s="11"/>
      <c r="D60" s="8"/>
      <c r="E60" s="3"/>
      <c r="F60" s="7">
        <f t="shared" si="38"/>
        <v>0</v>
      </c>
      <c r="G60" s="3"/>
      <c r="H60" s="8">
        <v>-8059.62</v>
      </c>
      <c r="I60" s="3"/>
      <c r="J60" s="7">
        <f t="shared" si="39"/>
        <v>-0.17266850112389787</v>
      </c>
      <c r="K60" s="3"/>
      <c r="L60" s="8">
        <f t="shared" si="40"/>
        <v>8059.62</v>
      </c>
      <c r="M60" s="3"/>
      <c r="N60" s="7">
        <f t="shared" si="41"/>
        <v>-1</v>
      </c>
      <c r="O60" s="11"/>
      <c r="P60" s="8"/>
      <c r="Q60" s="3"/>
      <c r="R60" s="7">
        <f t="shared" si="42"/>
        <v>0</v>
      </c>
      <c r="S60" s="3"/>
      <c r="T60" s="8">
        <v>-8059.62</v>
      </c>
      <c r="U60" s="3"/>
      <c r="V60" s="7">
        <f t="shared" si="43"/>
        <v>-0.17266850112389787</v>
      </c>
      <c r="W60" s="3"/>
      <c r="X60" s="8">
        <f t="shared" si="44"/>
        <v>8059.62</v>
      </c>
      <c r="Y60" s="3"/>
      <c r="Z60" s="7">
        <f t="shared" si="45"/>
        <v>-1</v>
      </c>
    </row>
    <row r="61" spans="1:26" s="27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109</v>
      </c>
      <c r="E61" s="1"/>
      <c r="F61" s="5">
        <f t="shared" ref="F61:F66" si="46">IF(D$12=0,0,D61/D$12)</f>
        <v>0</v>
      </c>
      <c r="G61" s="1"/>
      <c r="H61" s="1">
        <f>SUM(OSRRefH22_10x_0)</f>
        <v>30</v>
      </c>
      <c r="I61" s="1"/>
      <c r="J61" s="5">
        <f t="shared" ref="J61:J66" si="47">IF(H$12=0,0,H61/H$12)</f>
        <v>6.4271703054448416E-4</v>
      </c>
      <c r="K61" s="1"/>
      <c r="L61" s="1">
        <f t="shared" ref="L61:L66" si="48">+D61-H61</f>
        <v>79</v>
      </c>
      <c r="M61" s="1"/>
      <c r="N61" s="5">
        <f t="shared" ref="N61:N66" si="49">IF(H61=0,0,L61/H61)</f>
        <v>2.6333333333333333</v>
      </c>
      <c r="O61" s="14"/>
      <c r="P61" s="1">
        <f>SUM(OSRRefP22_10x_0)</f>
        <v>109</v>
      </c>
      <c r="Q61" s="1"/>
      <c r="R61" s="5">
        <f t="shared" ref="R61:R66" si="50">IF(P$12=0,0,P61/P$12)</f>
        <v>0</v>
      </c>
      <c r="S61" s="1"/>
      <c r="T61" s="1">
        <f>SUM(OSRRefT22_10x_0)</f>
        <v>30</v>
      </c>
      <c r="U61" s="1"/>
      <c r="V61" s="5">
        <f t="shared" ref="V61:V66" si="51">IF(T$12=0,0,T61/T$12)</f>
        <v>6.4271703054448416E-4</v>
      </c>
      <c r="W61" s="1"/>
      <c r="X61" s="1">
        <f t="shared" ref="X61:X66" si="52">+P61-T61</f>
        <v>79</v>
      </c>
      <c r="Y61" s="1"/>
      <c r="Z61" s="5">
        <f t="shared" ref="Z61:Z66" si="53">IF(T61=0,0,X61/T61)</f>
        <v>2.6333333333333333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8">
        <v>109</v>
      </c>
      <c r="E62" s="3"/>
      <c r="F62" s="7">
        <f t="shared" si="46"/>
        <v>0</v>
      </c>
      <c r="G62" s="3"/>
      <c r="H62" s="8">
        <v>30</v>
      </c>
      <c r="I62" s="3"/>
      <c r="J62" s="7">
        <f t="shared" si="47"/>
        <v>6.4271703054448416E-4</v>
      </c>
      <c r="K62" s="3"/>
      <c r="L62" s="8">
        <f t="shared" si="48"/>
        <v>79</v>
      </c>
      <c r="M62" s="3"/>
      <c r="N62" s="7">
        <f t="shared" si="49"/>
        <v>2.6333333333333333</v>
      </c>
      <c r="O62" s="11"/>
      <c r="P62" s="8">
        <v>109</v>
      </c>
      <c r="Q62" s="3"/>
      <c r="R62" s="7">
        <f t="shared" si="50"/>
        <v>0</v>
      </c>
      <c r="S62" s="3"/>
      <c r="T62" s="8">
        <v>30</v>
      </c>
      <c r="U62" s="3"/>
      <c r="V62" s="7">
        <f t="shared" si="51"/>
        <v>6.4271703054448416E-4</v>
      </c>
      <c r="W62" s="3"/>
      <c r="X62" s="8">
        <f t="shared" si="52"/>
        <v>79</v>
      </c>
      <c r="Y62" s="3"/>
      <c r="Z62" s="7">
        <f t="shared" si="53"/>
        <v>2.6333333333333333</v>
      </c>
    </row>
    <row r="63" spans="1:26" s="27" customFormat="1" outlineLevel="1" collapsed="1" x14ac:dyDescent="0.25">
      <c r="A63" s="28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0</v>
      </c>
      <c r="E63" s="1"/>
      <c r="F63" s="5">
        <f t="shared" si="46"/>
        <v>0</v>
      </c>
      <c r="G63" s="1"/>
      <c r="H63" s="1">
        <f>SUM(OSRRefH22_11x_0)</f>
        <v>1047.05</v>
      </c>
      <c r="I63" s="1"/>
      <c r="J63" s="5">
        <f t="shared" si="47"/>
        <v>2.2431895561053405E-2</v>
      </c>
      <c r="K63" s="1"/>
      <c r="L63" s="1">
        <f t="shared" si="48"/>
        <v>-1047.05</v>
      </c>
      <c r="M63" s="1"/>
      <c r="N63" s="5">
        <f t="shared" si="49"/>
        <v>-1</v>
      </c>
      <c r="O63" s="14"/>
      <c r="P63" s="1">
        <f>SUM(OSRRefP22_11x_0)</f>
        <v>0</v>
      </c>
      <c r="Q63" s="1"/>
      <c r="R63" s="5">
        <f t="shared" si="50"/>
        <v>0</v>
      </c>
      <c r="S63" s="1"/>
      <c r="T63" s="1">
        <f>SUM(OSRRefT22_11x_0)</f>
        <v>1047.05</v>
      </c>
      <c r="U63" s="1"/>
      <c r="V63" s="5">
        <f t="shared" si="51"/>
        <v>2.2431895561053405E-2</v>
      </c>
      <c r="W63" s="1"/>
      <c r="X63" s="1">
        <f t="shared" si="52"/>
        <v>-1047.05</v>
      </c>
      <c r="Y63" s="1"/>
      <c r="Z63" s="5">
        <f t="shared" si="53"/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8"/>
      <c r="E64" s="3"/>
      <c r="F64" s="7">
        <f t="shared" si="46"/>
        <v>0</v>
      </c>
      <c r="G64" s="3"/>
      <c r="H64" s="8">
        <v>1047.05</v>
      </c>
      <c r="I64" s="3"/>
      <c r="J64" s="7">
        <f t="shared" si="47"/>
        <v>2.2431895561053405E-2</v>
      </c>
      <c r="K64" s="3"/>
      <c r="L64" s="8">
        <f t="shared" si="48"/>
        <v>-1047.05</v>
      </c>
      <c r="M64" s="3"/>
      <c r="N64" s="7">
        <f t="shared" si="49"/>
        <v>-1</v>
      </c>
      <c r="O64" s="11"/>
      <c r="P64" s="8"/>
      <c r="Q64" s="3"/>
      <c r="R64" s="7">
        <f t="shared" si="50"/>
        <v>0</v>
      </c>
      <c r="S64" s="3"/>
      <c r="T64" s="8">
        <v>1047.05</v>
      </c>
      <c r="U64" s="3"/>
      <c r="V64" s="7">
        <f t="shared" si="51"/>
        <v>2.2431895561053405E-2</v>
      </c>
      <c r="W64" s="3"/>
      <c r="X64" s="8">
        <f t="shared" si="52"/>
        <v>-1047.05</v>
      </c>
      <c r="Y64" s="3"/>
      <c r="Z64" s="7">
        <f t="shared" si="53"/>
        <v>-1</v>
      </c>
    </row>
    <row r="65" spans="1:26" s="27" customFormat="1" outlineLevel="1" collapsed="1" x14ac:dyDescent="0.25">
      <c r="A65" s="28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0</v>
      </c>
      <c r="E65" s="1"/>
      <c r="F65" s="5">
        <f t="shared" si="46"/>
        <v>0</v>
      </c>
      <c r="G65" s="1"/>
      <c r="H65" s="1">
        <f>SUM(OSRRefH22_12x_0)</f>
        <v>79.510000000000005</v>
      </c>
      <c r="I65" s="1"/>
      <c r="J65" s="5">
        <f t="shared" si="47"/>
        <v>1.7034143699530648E-3</v>
      </c>
      <c r="K65" s="1"/>
      <c r="L65" s="1">
        <f t="shared" si="48"/>
        <v>-79.510000000000005</v>
      </c>
      <c r="M65" s="1"/>
      <c r="N65" s="5">
        <f t="shared" si="49"/>
        <v>-1</v>
      </c>
      <c r="O65" s="14"/>
      <c r="P65" s="1">
        <f>SUM(OSRRefP22_12x_0)</f>
        <v>0</v>
      </c>
      <c r="Q65" s="1"/>
      <c r="R65" s="5">
        <f t="shared" si="50"/>
        <v>0</v>
      </c>
      <c r="S65" s="1"/>
      <c r="T65" s="1">
        <f>SUM(OSRRefT22_12x_0)</f>
        <v>79.510000000000005</v>
      </c>
      <c r="U65" s="1"/>
      <c r="V65" s="5">
        <f t="shared" si="51"/>
        <v>1.7034143699530648E-3</v>
      </c>
      <c r="W65" s="1"/>
      <c r="X65" s="1">
        <f t="shared" si="52"/>
        <v>-79.510000000000005</v>
      </c>
      <c r="Y65" s="1"/>
      <c r="Z65" s="5">
        <f t="shared" si="53"/>
        <v>-1</v>
      </c>
    </row>
    <row r="66" spans="1:26" s="24" customFormat="1" hidden="1" outlineLevel="2" x14ac:dyDescent="0.25">
      <c r="A66" s="29"/>
      <c r="B66" s="11" t="str">
        <f>CONCATENATE("          ", "6292", " - ", "TRAVEL/CONFERENCE")</f>
        <v xml:space="preserve">          6292 - TRAVEL/CONFERENCE</v>
      </c>
      <c r="C66" s="11"/>
      <c r="D66" s="8"/>
      <c r="E66" s="3"/>
      <c r="F66" s="7">
        <f t="shared" si="46"/>
        <v>0</v>
      </c>
      <c r="G66" s="3"/>
      <c r="H66" s="8">
        <v>79.510000000000005</v>
      </c>
      <c r="I66" s="3"/>
      <c r="J66" s="7">
        <f t="shared" si="47"/>
        <v>1.7034143699530648E-3</v>
      </c>
      <c r="K66" s="3"/>
      <c r="L66" s="8">
        <f t="shared" si="48"/>
        <v>-79.510000000000005</v>
      </c>
      <c r="M66" s="3"/>
      <c r="N66" s="7">
        <f t="shared" si="49"/>
        <v>-1</v>
      </c>
      <c r="O66" s="11"/>
      <c r="P66" s="8"/>
      <c r="Q66" s="3"/>
      <c r="R66" s="7">
        <f t="shared" si="50"/>
        <v>0</v>
      </c>
      <c r="S66" s="3"/>
      <c r="T66" s="8">
        <v>79.510000000000005</v>
      </c>
      <c r="U66" s="3"/>
      <c r="V66" s="7">
        <f t="shared" si="51"/>
        <v>1.7034143699530648E-3</v>
      </c>
      <c r="W66" s="3"/>
      <c r="X66" s="8">
        <f t="shared" si="52"/>
        <v>-79.510000000000005</v>
      </c>
      <c r="Y66" s="3"/>
      <c r="Z66" s="7">
        <f t="shared" si="53"/>
        <v>-1</v>
      </c>
    </row>
    <row r="67" spans="1:26" s="61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O69" s="10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x14ac:dyDescent="0.25">
      <c r="A70" s="10"/>
      <c r="B70" s="26" t="s">
        <v>3</v>
      </c>
      <c r="C70" s="26"/>
      <c r="D70" s="19">
        <f>+D20-D22+D68</f>
        <v>-40360.14</v>
      </c>
      <c r="E70" s="13"/>
      <c r="F70" s="20">
        <f>IF(D$12=0,0,D70/D$12)</f>
        <v>0</v>
      </c>
      <c r="G70" s="13"/>
      <c r="H70" s="19">
        <f>+H20-H22+H68</f>
        <v>-50017.329999999994</v>
      </c>
      <c r="I70" s="13"/>
      <c r="J70" s="20">
        <f>IF(H$12=0,0,H70/H$12)</f>
        <v>-1.0715663271121181</v>
      </c>
      <c r="K70" s="16"/>
      <c r="L70" s="19">
        <f>+D70-H70</f>
        <v>9657.1899999999951</v>
      </c>
      <c r="M70" s="16"/>
      <c r="N70" s="20">
        <f>IF(H70=0,0,L70/H70)</f>
        <v>-0.19307687955354666</v>
      </c>
      <c r="O70" s="25"/>
      <c r="P70" s="19">
        <f>+P20-P22+P68</f>
        <v>-40360.14</v>
      </c>
      <c r="Q70" s="13"/>
      <c r="R70" s="20">
        <f>IF(P$12=0,0,P70/P$12)</f>
        <v>0</v>
      </c>
      <c r="S70" s="13"/>
      <c r="T70" s="19">
        <f>+T20-T22+T68</f>
        <v>-50017.329999999994</v>
      </c>
      <c r="U70" s="13"/>
      <c r="V70" s="20">
        <f>IF(T$12=0,0,T70/T$12)</f>
        <v>-1.0715663271121181</v>
      </c>
      <c r="W70" s="16"/>
      <c r="X70" s="19">
        <f>+P70-T70</f>
        <v>9657.1899999999951</v>
      </c>
      <c r="Y70" s="16"/>
      <c r="Z70" s="20">
        <f>IF(T70=0,0,X70/T70)</f>
        <v>-0.19307687955354666</v>
      </c>
    </row>
    <row r="71" spans="1:26" x14ac:dyDescent="0.25">
      <c r="A71" s="9"/>
      <c r="B71" s="10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>
        <v>9705.49</v>
      </c>
      <c r="I72" s="4"/>
      <c r="J72" s="12">
        <f>IF(H$12=0,0,H72/H$12)</f>
        <v>0.20792945709263952</v>
      </c>
      <c r="K72" s="4"/>
      <c r="L72" s="4">
        <f>+D72-H72</f>
        <v>-9705.49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9705.49</v>
      </c>
      <c r="U72" s="4"/>
      <c r="V72" s="12">
        <f>IF(T$12=0,0,T72/T$12)</f>
        <v>0.20792945709263952</v>
      </c>
      <c r="W72" s="4"/>
      <c r="X72" s="4">
        <f>+P72-T72</f>
        <v>-9705.49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10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ht="15.75" thickBot="1" x14ac:dyDescent="0.3">
      <c r="A74" s="10"/>
      <c r="B74" s="26" t="s">
        <v>4</v>
      </c>
      <c r="C74" s="26"/>
      <c r="D74" s="35">
        <f>+D70-D72</f>
        <v>-40360.14</v>
      </c>
      <c r="E74" s="13"/>
      <c r="F74" s="30">
        <f>IF(D$12=0,0,D74/D$12)</f>
        <v>0</v>
      </c>
      <c r="G74" s="13"/>
      <c r="H74" s="35">
        <f>+H70-H72</f>
        <v>-59722.819999999992</v>
      </c>
      <c r="I74" s="13"/>
      <c r="J74" s="30">
        <f>IF(H$12=0,0,H74/H$12)</f>
        <v>-1.2794957842047576</v>
      </c>
      <c r="K74" s="16"/>
      <c r="L74" s="35">
        <f>D74-H74</f>
        <v>19362.679999999993</v>
      </c>
      <c r="M74" s="16"/>
      <c r="N74" s="30">
        <f>IF(H74=0,0,L74/H74)</f>
        <v>-0.32420907117245962</v>
      </c>
      <c r="O74" s="25"/>
      <c r="P74" s="35">
        <f>+P70-P72</f>
        <v>-40360.14</v>
      </c>
      <c r="Q74" s="13"/>
      <c r="R74" s="30">
        <f>IF(P$12=0,0,P74/P$12)</f>
        <v>0</v>
      </c>
      <c r="S74" s="13"/>
      <c r="T74" s="35">
        <f>+T70-T72</f>
        <v>-59722.819999999992</v>
      </c>
      <c r="U74" s="13"/>
      <c r="V74" s="30">
        <f>IF(T$12=0,0,T74/T$12)</f>
        <v>-1.2794957842047576</v>
      </c>
      <c r="W74" s="16"/>
      <c r="X74" s="35">
        <f>P74-T74</f>
        <v>19362.679999999993</v>
      </c>
      <c r="Y74" s="16"/>
      <c r="Z74" s="30">
        <f>IF(T74=0,0,X74/T74)</f>
        <v>-0.32420907117245962</v>
      </c>
    </row>
    <row r="75" spans="1:26" ht="15.75" thickTop="1" x14ac:dyDescent="0.25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x14ac:dyDescent="0.25">
      <c r="A76" s="9"/>
      <c r="B76" s="9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ht="15.75" thickBot="1" x14ac:dyDescent="0.3">
      <c r="A77" s="10"/>
      <c r="B77" s="26" t="s">
        <v>5</v>
      </c>
      <c r="C77" s="26"/>
      <c r="D77" s="31">
        <f>SUM(D74:D76)</f>
        <v>-40360.14</v>
      </c>
      <c r="E77" s="13"/>
      <c r="F77" s="32">
        <f>IF(D$12=0,0,D77/D$12)</f>
        <v>0</v>
      </c>
      <c r="G77" s="13"/>
      <c r="H77" s="31">
        <f>SUM(H74:H76)</f>
        <v>-59722.819999999992</v>
      </c>
      <c r="I77" s="13"/>
      <c r="J77" s="32">
        <f>IF(H$12=0,0,H77/H$12)</f>
        <v>-1.2794957842047576</v>
      </c>
      <c r="K77" s="16"/>
      <c r="L77" s="31">
        <f>+D77-H77</f>
        <v>19362.679999999993</v>
      </c>
      <c r="M77" s="16"/>
      <c r="N77" s="32">
        <f>IF(H77=0,0,L77/H77)</f>
        <v>-0.32420907117245962</v>
      </c>
      <c r="O77" s="25"/>
      <c r="P77" s="31">
        <f>SUM(P74:P76)</f>
        <v>-40360.14</v>
      </c>
      <c r="Q77" s="13"/>
      <c r="R77" s="32">
        <f>IF(P$12=0,0,P77/P$12)</f>
        <v>0</v>
      </c>
      <c r="S77" s="13"/>
      <c r="T77" s="31">
        <f>SUM(T74:T76)</f>
        <v>-59722.819999999992</v>
      </c>
      <c r="U77" s="13"/>
      <c r="V77" s="32">
        <f>IF(T$12=0,0,T77/T$12)</f>
        <v>-1.2794957842047576</v>
      </c>
      <c r="W77" s="16"/>
      <c r="X77" s="31">
        <f>+P77-T77</f>
        <v>19362.679999999993</v>
      </c>
      <c r="Y77" s="16"/>
      <c r="Z77" s="32">
        <f>IF(T77=0,0,X77/T77)</f>
        <v>-0.32420907117245962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9">
        <v>44109.41489803241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2" t="s">
        <v>313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6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">
        <v>296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20971</v>
      </c>
      <c r="E12" s="4"/>
      <c r="F12" s="12"/>
      <c r="G12" s="4"/>
      <c r="H12" s="4">
        <f>SUM(OSRRefH13x_0)</f>
        <v>36911</v>
      </c>
      <c r="I12" s="4"/>
      <c r="J12" s="12"/>
      <c r="K12" s="4"/>
      <c r="L12" s="4">
        <f t="shared" ref="L12:L13" si="0">+D12-H12</f>
        <v>-15940</v>
      </c>
      <c r="M12" s="4"/>
      <c r="N12" s="12">
        <f t="shared" ref="N12:N13" si="1">IF(H12=0,0,L12/H12)</f>
        <v>-0.43184958413481078</v>
      </c>
      <c r="O12" s="10"/>
      <c r="P12" s="4">
        <f>SUM(OSRRefP13x_0)</f>
        <v>20971</v>
      </c>
      <c r="Q12" s="4"/>
      <c r="R12" s="12"/>
      <c r="S12" s="4"/>
      <c r="T12" s="4">
        <f>SUM(OSRRefT13x_0)</f>
        <v>36911</v>
      </c>
      <c r="U12" s="4"/>
      <c r="V12" s="12"/>
      <c r="W12" s="4"/>
      <c r="X12" s="4">
        <f t="shared" ref="X12:X13" si="2">+P12-T12</f>
        <v>-15940</v>
      </c>
      <c r="Y12" s="4"/>
      <c r="Z12" s="12">
        <f t="shared" ref="Z12:Z13" si="3">IF(T12=0,0,X12/T12)</f>
        <v>-0.43184958413481078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3">
        <f>--20971</f>
        <v>20971</v>
      </c>
      <c r="E13" s="3"/>
      <c r="F13" s="22"/>
      <c r="G13" s="3"/>
      <c r="H13" s="3">
        <f>--36911</f>
        <v>36911</v>
      </c>
      <c r="I13" s="3"/>
      <c r="J13" s="22"/>
      <c r="K13" s="3"/>
      <c r="L13" s="3">
        <f t="shared" si="0"/>
        <v>-15940</v>
      </c>
      <c r="M13" s="3"/>
      <c r="N13" s="22">
        <f t="shared" si="1"/>
        <v>-0.43184958413481078</v>
      </c>
      <c r="O13" s="11"/>
      <c r="P13" s="3">
        <f>--20971</f>
        <v>20971</v>
      </c>
      <c r="Q13" s="3"/>
      <c r="R13" s="22"/>
      <c r="S13" s="3"/>
      <c r="T13" s="3">
        <f>--36911</f>
        <v>36911</v>
      </c>
      <c r="U13" s="3"/>
      <c r="V13" s="22"/>
      <c r="W13" s="3"/>
      <c r="X13" s="3">
        <f t="shared" si="2"/>
        <v>-15940</v>
      </c>
      <c r="Y13" s="3"/>
      <c r="Z13" s="22">
        <f t="shared" si="3"/>
        <v>-0.43184958413481078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25">
      <c r="A17" s="10"/>
      <c r="B17" s="26" t="s">
        <v>6</v>
      </c>
      <c r="C17" s="26"/>
      <c r="D17" s="19">
        <f>D12-D15</f>
        <v>20971</v>
      </c>
      <c r="E17" s="13"/>
      <c r="F17" s="20">
        <f>IF(D$12=0,0,D17/D$12)</f>
        <v>1</v>
      </c>
      <c r="G17" s="13"/>
      <c r="H17" s="19">
        <f>H12-H15</f>
        <v>36911</v>
      </c>
      <c r="I17" s="13"/>
      <c r="J17" s="20">
        <f>IF(H$12=0,0,H17/H$12)</f>
        <v>1</v>
      </c>
      <c r="K17" s="16"/>
      <c r="L17" s="19">
        <f>+D17-H17</f>
        <v>-15940</v>
      </c>
      <c r="M17" s="16"/>
      <c r="N17" s="20">
        <f>IF(H17=0,0,L17/H17)</f>
        <v>-0.43184958413481078</v>
      </c>
      <c r="O17" s="25"/>
      <c r="P17" s="19">
        <f>P12-P15</f>
        <v>20971</v>
      </c>
      <c r="Q17" s="13"/>
      <c r="R17" s="20">
        <f>IF(P$12=0,0,P17/P$12)</f>
        <v>1</v>
      </c>
      <c r="S17" s="13"/>
      <c r="T17" s="19">
        <f>T12-T15</f>
        <v>36911</v>
      </c>
      <c r="U17" s="13"/>
      <c r="V17" s="20">
        <f>IF(T$12=0,0,T17/T$12)</f>
        <v>1</v>
      </c>
      <c r="W17" s="16"/>
      <c r="X17" s="19">
        <f>+P17-T17</f>
        <v>-15940</v>
      </c>
      <c r="Y17" s="16"/>
      <c r="Z17" s="20">
        <f>IF(T17=0,0,X17/T17)</f>
        <v>-0.43184958413481078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21135.86</v>
      </c>
      <c r="E19" s="21"/>
      <c r="F19" s="34">
        <f t="shared" ref="F19:F29" si="4">IF(D$12=0,0,D19/D$12)</f>
        <v>1.0078613323160555</v>
      </c>
      <c r="G19" s="21"/>
      <c r="H19" s="21">
        <f>SUM(OSRRefH22x_0)</f>
        <v>37761.609999999993</v>
      </c>
      <c r="I19" s="21"/>
      <c r="J19" s="34">
        <f t="shared" ref="J19:J29" si="5">IF(H$12=0,0,H19/H$12)</f>
        <v>1.0230448917666819</v>
      </c>
      <c r="K19" s="4"/>
      <c r="L19" s="21">
        <f t="shared" ref="L19:L29" si="6">+D19-H19</f>
        <v>-16625.749999999993</v>
      </c>
      <c r="M19" s="4"/>
      <c r="N19" s="34">
        <f t="shared" ref="N19:N29" si="7">IF(H19=0,0,L19/H19)</f>
        <v>-0.44028181001816385</v>
      </c>
      <c r="O19" s="10"/>
      <c r="P19" s="21">
        <f>SUM(OSRRefP22x_0)</f>
        <v>21135.86</v>
      </c>
      <c r="Q19" s="21"/>
      <c r="R19" s="34">
        <f t="shared" ref="R19:R29" si="8">IF(P$12=0,0,P19/P$12)</f>
        <v>1.0078613323160555</v>
      </c>
      <c r="S19" s="21"/>
      <c r="T19" s="21">
        <f>SUM(OSRRefT22x_0)</f>
        <v>37761.609999999993</v>
      </c>
      <c r="U19" s="21"/>
      <c r="V19" s="34">
        <f t="shared" ref="V19:V29" si="9">IF(T$12=0,0,T19/T$12)</f>
        <v>1.0230448917666819</v>
      </c>
      <c r="W19" s="4"/>
      <c r="X19" s="21">
        <f t="shared" ref="X19:X29" si="10">+P19-T19</f>
        <v>-16625.749999999993</v>
      </c>
      <c r="Y19" s="4"/>
      <c r="Z19" s="34">
        <f t="shared" ref="Z19:Z29" si="11">IF(T19=0,0,X19/T19)</f>
        <v>-0.44028181001816385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4207.82</v>
      </c>
      <c r="E20" s="1"/>
      <c r="F20" s="5">
        <f t="shared" si="4"/>
        <v>0.20064946831338515</v>
      </c>
      <c r="G20" s="1"/>
      <c r="H20" s="1">
        <f>SUM(OSRRefH22_0x_0)</f>
        <v>4399.3499999999995</v>
      </c>
      <c r="I20" s="1"/>
      <c r="J20" s="5">
        <f t="shared" si="5"/>
        <v>0.11918804692368128</v>
      </c>
      <c r="K20" s="1"/>
      <c r="L20" s="1">
        <f t="shared" si="6"/>
        <v>-191.52999999999975</v>
      </c>
      <c r="M20" s="1"/>
      <c r="N20" s="5">
        <f t="shared" si="7"/>
        <v>-4.3535976905679195E-2</v>
      </c>
      <c r="O20" s="14"/>
      <c r="P20" s="1">
        <f>SUM(OSRRefP22_0x_0)</f>
        <v>4207.82</v>
      </c>
      <c r="Q20" s="1"/>
      <c r="R20" s="5">
        <f t="shared" si="8"/>
        <v>0.20064946831338515</v>
      </c>
      <c r="S20" s="1"/>
      <c r="T20" s="1">
        <f>SUM(OSRRefT22_0x_0)</f>
        <v>4399.3499999999995</v>
      </c>
      <c r="U20" s="1"/>
      <c r="V20" s="5">
        <f t="shared" si="9"/>
        <v>0.11918804692368128</v>
      </c>
      <c r="W20" s="1"/>
      <c r="X20" s="1">
        <f t="shared" si="10"/>
        <v>-191.52999999999975</v>
      </c>
      <c r="Y20" s="1"/>
      <c r="Z20" s="5">
        <f t="shared" si="11"/>
        <v>-4.3535976905679195E-2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8">
        <v>1006.58</v>
      </c>
      <c r="E21" s="3"/>
      <c r="F21" s="7">
        <f t="shared" si="4"/>
        <v>4.7998664822850604E-2</v>
      </c>
      <c r="G21" s="3"/>
      <c r="H21" s="8">
        <v>1065.93</v>
      </c>
      <c r="I21" s="3"/>
      <c r="J21" s="7">
        <f t="shared" si="5"/>
        <v>2.8878383137817997E-2</v>
      </c>
      <c r="K21" s="3"/>
      <c r="L21" s="8">
        <f t="shared" si="6"/>
        <v>-59.350000000000023</v>
      </c>
      <c r="M21" s="3"/>
      <c r="N21" s="7">
        <f t="shared" si="7"/>
        <v>-5.5679078363494804E-2</v>
      </c>
      <c r="O21" s="11"/>
      <c r="P21" s="8">
        <v>1006.58</v>
      </c>
      <c r="Q21" s="3"/>
      <c r="R21" s="7">
        <f t="shared" si="8"/>
        <v>4.7998664822850604E-2</v>
      </c>
      <c r="S21" s="3"/>
      <c r="T21" s="8">
        <v>1065.93</v>
      </c>
      <c r="U21" s="3"/>
      <c r="V21" s="7">
        <f t="shared" si="9"/>
        <v>2.8878383137817997E-2</v>
      </c>
      <c r="W21" s="3"/>
      <c r="X21" s="8">
        <f t="shared" si="10"/>
        <v>-59.350000000000023</v>
      </c>
      <c r="Y21" s="3"/>
      <c r="Z21" s="7">
        <f t="shared" si="11"/>
        <v>-5.5679078363494804E-2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8">
        <v>77.87</v>
      </c>
      <c r="E22" s="3"/>
      <c r="F22" s="7">
        <f t="shared" si="4"/>
        <v>3.7132230222688477E-3</v>
      </c>
      <c r="G22" s="3"/>
      <c r="H22" s="8">
        <v>49</v>
      </c>
      <c r="I22" s="3"/>
      <c r="J22" s="7">
        <f t="shared" si="5"/>
        <v>1.3275175421960932E-3</v>
      </c>
      <c r="K22" s="3"/>
      <c r="L22" s="8">
        <f t="shared" si="6"/>
        <v>28.870000000000005</v>
      </c>
      <c r="M22" s="3"/>
      <c r="N22" s="7">
        <f t="shared" si="7"/>
        <v>0.58918367346938783</v>
      </c>
      <c r="O22" s="11"/>
      <c r="P22" s="8">
        <v>77.87</v>
      </c>
      <c r="Q22" s="3"/>
      <c r="R22" s="7">
        <f t="shared" si="8"/>
        <v>3.7132230222688477E-3</v>
      </c>
      <c r="S22" s="3"/>
      <c r="T22" s="8">
        <v>49</v>
      </c>
      <c r="U22" s="3"/>
      <c r="V22" s="7">
        <f t="shared" si="9"/>
        <v>1.3275175421960932E-3</v>
      </c>
      <c r="W22" s="3"/>
      <c r="X22" s="8">
        <f t="shared" si="10"/>
        <v>28.870000000000005</v>
      </c>
      <c r="Y22" s="3"/>
      <c r="Z22" s="7">
        <f t="shared" si="11"/>
        <v>0.58918367346938783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8">
        <v>1230.45</v>
      </c>
      <c r="E23" s="3"/>
      <c r="F23" s="7">
        <f t="shared" si="4"/>
        <v>5.8673882981259834E-2</v>
      </c>
      <c r="G23" s="3"/>
      <c r="H23" s="8">
        <v>1243.31</v>
      </c>
      <c r="I23" s="3"/>
      <c r="J23" s="7">
        <f t="shared" si="5"/>
        <v>3.368399664056785E-2</v>
      </c>
      <c r="K23" s="3"/>
      <c r="L23" s="8">
        <f t="shared" si="6"/>
        <v>-12.8599999999999</v>
      </c>
      <c r="M23" s="3"/>
      <c r="N23" s="7">
        <f t="shared" si="7"/>
        <v>-1.0343357650143489E-2</v>
      </c>
      <c r="O23" s="11"/>
      <c r="P23" s="8">
        <v>1230.45</v>
      </c>
      <c r="Q23" s="3"/>
      <c r="R23" s="7">
        <f t="shared" si="8"/>
        <v>5.8673882981259834E-2</v>
      </c>
      <c r="S23" s="3"/>
      <c r="T23" s="8">
        <v>1243.31</v>
      </c>
      <c r="U23" s="3"/>
      <c r="V23" s="7">
        <f t="shared" si="9"/>
        <v>3.368399664056785E-2</v>
      </c>
      <c r="W23" s="3"/>
      <c r="X23" s="8">
        <f t="shared" si="10"/>
        <v>-12.8599999999999</v>
      </c>
      <c r="Y23" s="3"/>
      <c r="Z23" s="7">
        <f t="shared" si="11"/>
        <v>-1.0343357650143489E-2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8">
        <v>34.200000000000003</v>
      </c>
      <c r="E24" s="3"/>
      <c r="F24" s="7">
        <f t="shared" si="4"/>
        <v>1.6308235181917887E-3</v>
      </c>
      <c r="G24" s="3"/>
      <c r="H24" s="8">
        <v>37.47</v>
      </c>
      <c r="I24" s="3"/>
      <c r="J24" s="7">
        <f t="shared" si="5"/>
        <v>1.015144536858931E-3</v>
      </c>
      <c r="K24" s="3"/>
      <c r="L24" s="8">
        <f t="shared" si="6"/>
        <v>-3.269999999999996</v>
      </c>
      <c r="M24" s="3"/>
      <c r="N24" s="7">
        <f t="shared" si="7"/>
        <v>-8.7269815852682037E-2</v>
      </c>
      <c r="O24" s="11"/>
      <c r="P24" s="8">
        <v>34.200000000000003</v>
      </c>
      <c r="Q24" s="3"/>
      <c r="R24" s="7">
        <f t="shared" si="8"/>
        <v>1.6308235181917887E-3</v>
      </c>
      <c r="S24" s="3"/>
      <c r="T24" s="8">
        <v>37.47</v>
      </c>
      <c r="U24" s="3"/>
      <c r="V24" s="7">
        <f t="shared" si="9"/>
        <v>1.015144536858931E-3</v>
      </c>
      <c r="W24" s="3"/>
      <c r="X24" s="8">
        <f t="shared" si="10"/>
        <v>-3.269999999999996</v>
      </c>
      <c r="Y24" s="3"/>
      <c r="Z24" s="7">
        <f t="shared" si="11"/>
        <v>-8.7269815852682037E-2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8">
        <v>939.44</v>
      </c>
      <c r="E25" s="3"/>
      <c r="F25" s="7">
        <f t="shared" si="4"/>
        <v>4.4797100758189885E-2</v>
      </c>
      <c r="G25" s="3"/>
      <c r="H25" s="8">
        <v>609.02</v>
      </c>
      <c r="I25" s="3"/>
      <c r="J25" s="7">
        <f t="shared" si="5"/>
        <v>1.6499688439760504E-2</v>
      </c>
      <c r="K25" s="3"/>
      <c r="L25" s="8">
        <f t="shared" si="6"/>
        <v>330.42000000000007</v>
      </c>
      <c r="M25" s="3"/>
      <c r="N25" s="7">
        <f t="shared" si="7"/>
        <v>0.54254375882565442</v>
      </c>
      <c r="O25" s="11"/>
      <c r="P25" s="8">
        <v>939.44</v>
      </c>
      <c r="Q25" s="3"/>
      <c r="R25" s="7">
        <f t="shared" si="8"/>
        <v>4.4797100758189885E-2</v>
      </c>
      <c r="S25" s="3"/>
      <c r="T25" s="8">
        <v>609.02</v>
      </c>
      <c r="U25" s="3"/>
      <c r="V25" s="7">
        <f t="shared" si="9"/>
        <v>1.6499688439760504E-2</v>
      </c>
      <c r="W25" s="3"/>
      <c r="X25" s="8">
        <f t="shared" si="10"/>
        <v>330.42000000000007</v>
      </c>
      <c r="Y25" s="3"/>
      <c r="Z25" s="7">
        <f t="shared" si="11"/>
        <v>0.54254375882565442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100</v>
      </c>
      <c r="E26" s="3"/>
      <c r="F26" s="7">
        <f t="shared" si="4"/>
        <v>4.768489819274236E-3</v>
      </c>
      <c r="G26" s="3"/>
      <c r="H26" s="8"/>
      <c r="I26" s="3"/>
      <c r="J26" s="7">
        <f t="shared" si="5"/>
        <v>0</v>
      </c>
      <c r="K26" s="3"/>
      <c r="L26" s="8">
        <f t="shared" si="6"/>
        <v>100</v>
      </c>
      <c r="M26" s="3"/>
      <c r="N26" s="7">
        <f t="shared" si="7"/>
        <v>0</v>
      </c>
      <c r="O26" s="11"/>
      <c r="P26" s="8">
        <v>100</v>
      </c>
      <c r="Q26" s="3"/>
      <c r="R26" s="7">
        <f t="shared" si="8"/>
        <v>4.768489819274236E-3</v>
      </c>
      <c r="S26" s="3"/>
      <c r="T26" s="8"/>
      <c r="U26" s="3"/>
      <c r="V26" s="7">
        <f t="shared" si="9"/>
        <v>0</v>
      </c>
      <c r="W26" s="3"/>
      <c r="X26" s="8">
        <f t="shared" si="10"/>
        <v>100</v>
      </c>
      <c r="Y26" s="3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8">
        <v>520.02</v>
      </c>
      <c r="E27" s="3"/>
      <c r="F27" s="7">
        <f t="shared" si="4"/>
        <v>2.4797100758189881E-2</v>
      </c>
      <c r="G27" s="3"/>
      <c r="H27" s="8">
        <v>843.36</v>
      </c>
      <c r="I27" s="3"/>
      <c r="J27" s="7">
        <f t="shared" si="5"/>
        <v>2.2848473354826475E-2</v>
      </c>
      <c r="K27" s="3"/>
      <c r="L27" s="8">
        <f t="shared" si="6"/>
        <v>-323.34000000000003</v>
      </c>
      <c r="M27" s="3"/>
      <c r="N27" s="7">
        <f t="shared" si="7"/>
        <v>-0.3833949914627206</v>
      </c>
      <c r="O27" s="11"/>
      <c r="P27" s="8">
        <v>520.02</v>
      </c>
      <c r="Q27" s="3"/>
      <c r="R27" s="7">
        <f t="shared" si="8"/>
        <v>2.4797100758189881E-2</v>
      </c>
      <c r="S27" s="3"/>
      <c r="T27" s="8">
        <v>843.36</v>
      </c>
      <c r="U27" s="3"/>
      <c r="V27" s="7">
        <f t="shared" si="9"/>
        <v>2.2848473354826475E-2</v>
      </c>
      <c r="W27" s="3"/>
      <c r="X27" s="8">
        <f t="shared" si="10"/>
        <v>-323.34000000000003</v>
      </c>
      <c r="Y27" s="3"/>
      <c r="Z27" s="7">
        <f t="shared" si="11"/>
        <v>-0.3833949914627206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8">
        <v>299.26</v>
      </c>
      <c r="E28" s="3"/>
      <c r="F28" s="7">
        <f t="shared" si="4"/>
        <v>1.4270182633160077E-2</v>
      </c>
      <c r="G28" s="3"/>
      <c r="H28" s="8">
        <v>418.38</v>
      </c>
      <c r="I28" s="3"/>
      <c r="J28" s="7">
        <f t="shared" si="5"/>
        <v>1.1334832434775542E-2</v>
      </c>
      <c r="K28" s="3"/>
      <c r="L28" s="8">
        <f t="shared" si="6"/>
        <v>-119.12</v>
      </c>
      <c r="M28" s="3"/>
      <c r="N28" s="7">
        <f t="shared" si="7"/>
        <v>-0.28471724269802573</v>
      </c>
      <c r="O28" s="11"/>
      <c r="P28" s="8">
        <v>299.26</v>
      </c>
      <c r="Q28" s="3"/>
      <c r="R28" s="7">
        <f t="shared" si="8"/>
        <v>1.4270182633160077E-2</v>
      </c>
      <c r="S28" s="3"/>
      <c r="T28" s="8">
        <v>418.38</v>
      </c>
      <c r="U28" s="3"/>
      <c r="V28" s="7">
        <f t="shared" si="9"/>
        <v>1.1334832434775542E-2</v>
      </c>
      <c r="W28" s="3"/>
      <c r="X28" s="8">
        <f t="shared" si="10"/>
        <v>-119.12</v>
      </c>
      <c r="Y28" s="3"/>
      <c r="Z28" s="7">
        <f t="shared" si="11"/>
        <v>-0.28471724269802573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8"/>
      <c r="E29" s="3"/>
      <c r="F29" s="7">
        <f t="shared" si="4"/>
        <v>0</v>
      </c>
      <c r="G29" s="3"/>
      <c r="H29" s="8">
        <v>132.88</v>
      </c>
      <c r="I29" s="3"/>
      <c r="J29" s="7">
        <f t="shared" si="5"/>
        <v>3.6000108368778954E-3</v>
      </c>
      <c r="K29" s="3"/>
      <c r="L29" s="8">
        <f t="shared" si="6"/>
        <v>-132.88</v>
      </c>
      <c r="M29" s="3"/>
      <c r="N29" s="7">
        <f t="shared" si="7"/>
        <v>-1</v>
      </c>
      <c r="O29" s="11"/>
      <c r="P29" s="8"/>
      <c r="Q29" s="3"/>
      <c r="R29" s="7">
        <f t="shared" si="8"/>
        <v>0</v>
      </c>
      <c r="S29" s="3"/>
      <c r="T29" s="8">
        <v>132.88</v>
      </c>
      <c r="U29" s="3"/>
      <c r="V29" s="7">
        <f t="shared" si="9"/>
        <v>3.6000108368778954E-3</v>
      </c>
      <c r="W29" s="3"/>
      <c r="X29" s="8">
        <f t="shared" si="10"/>
        <v>-132.88</v>
      </c>
      <c r="Y29" s="3"/>
      <c r="Z29" s="7">
        <f t="shared" si="11"/>
        <v>-1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15605.18</v>
      </c>
      <c r="E30" s="1"/>
      <c r="F30" s="5">
        <f t="shared" ref="F30:F35" si="12">IF(D$12=0,0,D30/D$12)</f>
        <v>0.7441314195794192</v>
      </c>
      <c r="G30" s="1"/>
      <c r="H30" s="1">
        <f>SUM(OSRRefH22_1x_0)</f>
        <v>17820.689999999999</v>
      </c>
      <c r="I30" s="1"/>
      <c r="J30" s="5">
        <f t="shared" ref="J30:J35" si="13">IF(H$12=0,0,H30/H$12)</f>
        <v>0.48280160385792847</v>
      </c>
      <c r="K30" s="1"/>
      <c r="L30" s="1">
        <f t="shared" ref="L30:L35" si="14">+D30-H30</f>
        <v>-2215.5099999999984</v>
      </c>
      <c r="M30" s="1"/>
      <c r="N30" s="5">
        <f t="shared" ref="N30:N35" si="15">IF(H30=0,0,L30/H30)</f>
        <v>-0.12432234666558918</v>
      </c>
      <c r="O30" s="14"/>
      <c r="P30" s="1">
        <f>SUM(OSRRefP22_1x_0)</f>
        <v>15605.18</v>
      </c>
      <c r="Q30" s="1"/>
      <c r="R30" s="5">
        <f t="shared" ref="R30:R35" si="16">IF(P$12=0,0,P30/P$12)</f>
        <v>0.7441314195794192</v>
      </c>
      <c r="S30" s="1"/>
      <c r="T30" s="1">
        <f>SUM(OSRRefT22_1x_0)</f>
        <v>17820.689999999999</v>
      </c>
      <c r="U30" s="1"/>
      <c r="V30" s="5">
        <f t="shared" ref="V30:V35" si="17">IF(T$12=0,0,T30/T$12)</f>
        <v>0.48280160385792847</v>
      </c>
      <c r="W30" s="1"/>
      <c r="X30" s="1">
        <f t="shared" ref="X30:X35" si="18">+P30-T30</f>
        <v>-2215.5099999999984</v>
      </c>
      <c r="Y30" s="1"/>
      <c r="Z30" s="5">
        <f t="shared" ref="Z30:Z35" si="19">IF(T30=0,0,X30/T30)</f>
        <v>-0.12432234666558918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5257.72</v>
      </c>
      <c r="E31" s="3"/>
      <c r="F31" s="7">
        <f t="shared" si="12"/>
        <v>0.25071384292594534</v>
      </c>
      <c r="G31" s="3"/>
      <c r="H31" s="8"/>
      <c r="I31" s="3"/>
      <c r="J31" s="7">
        <f t="shared" si="13"/>
        <v>0</v>
      </c>
      <c r="K31" s="3"/>
      <c r="L31" s="8">
        <f t="shared" si="14"/>
        <v>5257.72</v>
      </c>
      <c r="M31" s="3"/>
      <c r="N31" s="7">
        <f t="shared" si="15"/>
        <v>0</v>
      </c>
      <c r="O31" s="11"/>
      <c r="P31" s="8">
        <v>5257.72</v>
      </c>
      <c r="Q31" s="3"/>
      <c r="R31" s="7">
        <f t="shared" si="16"/>
        <v>0.25071384292594534</v>
      </c>
      <c r="S31" s="3"/>
      <c r="T31" s="8"/>
      <c r="U31" s="3"/>
      <c r="V31" s="7">
        <f t="shared" si="17"/>
        <v>0</v>
      </c>
      <c r="W31" s="3"/>
      <c r="X31" s="8">
        <f t="shared" si="18"/>
        <v>5257.72</v>
      </c>
      <c r="Y31" s="3"/>
      <c r="Z31" s="7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8">
        <v>2054.0700000000002</v>
      </c>
      <c r="E32" s="3"/>
      <c r="F32" s="7">
        <f t="shared" si="12"/>
        <v>9.7948118830766304E-2</v>
      </c>
      <c r="G32" s="3"/>
      <c r="H32" s="8">
        <v>6554.73</v>
      </c>
      <c r="I32" s="3"/>
      <c r="J32" s="7">
        <f t="shared" si="13"/>
        <v>0.1775820216195714</v>
      </c>
      <c r="K32" s="3"/>
      <c r="L32" s="8">
        <f t="shared" si="14"/>
        <v>-4500.66</v>
      </c>
      <c r="M32" s="3"/>
      <c r="N32" s="7">
        <f t="shared" si="15"/>
        <v>-0.68662782448704984</v>
      </c>
      <c r="O32" s="11"/>
      <c r="P32" s="8">
        <v>2054.0700000000002</v>
      </c>
      <c r="Q32" s="3"/>
      <c r="R32" s="7">
        <f t="shared" si="16"/>
        <v>9.7948118830766304E-2</v>
      </c>
      <c r="S32" s="3"/>
      <c r="T32" s="8">
        <v>6554.73</v>
      </c>
      <c r="U32" s="3"/>
      <c r="V32" s="7">
        <f t="shared" si="17"/>
        <v>0.1775820216195714</v>
      </c>
      <c r="W32" s="3"/>
      <c r="X32" s="8">
        <f t="shared" si="18"/>
        <v>-4500.66</v>
      </c>
      <c r="Y32" s="3"/>
      <c r="Z32" s="7">
        <f t="shared" si="19"/>
        <v>-0.68662782448704984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8">
        <v>6737.39</v>
      </c>
      <c r="E33" s="3"/>
      <c r="F33" s="7">
        <f t="shared" si="12"/>
        <v>0.32127175623480048</v>
      </c>
      <c r="G33" s="3"/>
      <c r="H33" s="8">
        <v>5355.94</v>
      </c>
      <c r="I33" s="3"/>
      <c r="J33" s="7">
        <f t="shared" si="13"/>
        <v>0.14510416948877028</v>
      </c>
      <c r="K33" s="3"/>
      <c r="L33" s="8">
        <f t="shared" si="14"/>
        <v>1381.4500000000007</v>
      </c>
      <c r="M33" s="3"/>
      <c r="N33" s="7">
        <f t="shared" si="15"/>
        <v>0.25792858023054793</v>
      </c>
      <c r="O33" s="11"/>
      <c r="P33" s="8">
        <v>6737.39</v>
      </c>
      <c r="Q33" s="3"/>
      <c r="R33" s="7">
        <f t="shared" si="16"/>
        <v>0.32127175623480048</v>
      </c>
      <c r="S33" s="3"/>
      <c r="T33" s="8">
        <v>5355.94</v>
      </c>
      <c r="U33" s="3"/>
      <c r="V33" s="7">
        <f t="shared" si="17"/>
        <v>0.14510416948877028</v>
      </c>
      <c r="W33" s="3"/>
      <c r="X33" s="8">
        <f t="shared" si="18"/>
        <v>1381.4500000000007</v>
      </c>
      <c r="Y33" s="3"/>
      <c r="Z33" s="7">
        <f t="shared" si="19"/>
        <v>0.25792858023054793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8">
        <v>1556</v>
      </c>
      <c r="E34" s="3"/>
      <c r="F34" s="7">
        <f t="shared" si="12"/>
        <v>7.4197701587907117E-2</v>
      </c>
      <c r="G34" s="3"/>
      <c r="H34" s="8">
        <v>5428.71</v>
      </c>
      <c r="I34" s="3"/>
      <c r="J34" s="7">
        <f t="shared" si="13"/>
        <v>0.14707566849990517</v>
      </c>
      <c r="K34" s="3"/>
      <c r="L34" s="8">
        <f t="shared" si="14"/>
        <v>-3872.71</v>
      </c>
      <c r="M34" s="3"/>
      <c r="N34" s="7">
        <f t="shared" si="15"/>
        <v>-0.71337573751406869</v>
      </c>
      <c r="O34" s="11"/>
      <c r="P34" s="8">
        <v>1556</v>
      </c>
      <c r="Q34" s="3"/>
      <c r="R34" s="7">
        <f t="shared" si="16"/>
        <v>7.4197701587907117E-2</v>
      </c>
      <c r="S34" s="3"/>
      <c r="T34" s="8">
        <v>5428.71</v>
      </c>
      <c r="U34" s="3"/>
      <c r="V34" s="7">
        <f t="shared" si="17"/>
        <v>0.14707566849990517</v>
      </c>
      <c r="W34" s="3"/>
      <c r="X34" s="8">
        <f t="shared" si="18"/>
        <v>-3872.71</v>
      </c>
      <c r="Y34" s="3"/>
      <c r="Z34" s="7">
        <f t="shared" si="19"/>
        <v>-0.71337573751406869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8"/>
      <c r="E35" s="3"/>
      <c r="F35" s="7">
        <f t="shared" si="12"/>
        <v>0</v>
      </c>
      <c r="G35" s="3"/>
      <c r="H35" s="8">
        <v>481.31</v>
      </c>
      <c r="I35" s="3"/>
      <c r="J35" s="7">
        <f t="shared" si="13"/>
        <v>1.3039744249681667E-2</v>
      </c>
      <c r="K35" s="3"/>
      <c r="L35" s="8">
        <f t="shared" si="14"/>
        <v>-481.31</v>
      </c>
      <c r="M35" s="3"/>
      <c r="N35" s="7">
        <f t="shared" si="15"/>
        <v>-1</v>
      </c>
      <c r="O35" s="11"/>
      <c r="P35" s="8"/>
      <c r="Q35" s="3"/>
      <c r="R35" s="7">
        <f t="shared" si="16"/>
        <v>0</v>
      </c>
      <c r="S35" s="3"/>
      <c r="T35" s="8">
        <v>481.31</v>
      </c>
      <c r="U35" s="3"/>
      <c r="V35" s="7">
        <f t="shared" si="17"/>
        <v>1.3039744249681667E-2</v>
      </c>
      <c r="W35" s="3"/>
      <c r="X35" s="8">
        <f t="shared" si="18"/>
        <v>-481.31</v>
      </c>
      <c r="Y35" s="3"/>
      <c r="Z35" s="7">
        <f t="shared" si="19"/>
        <v>-1</v>
      </c>
    </row>
    <row r="36" spans="1:26" s="27" customFormat="1" outlineLevel="1" collapsed="1" x14ac:dyDescent="0.25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SUM(OSRRefD22_2x_0)</f>
        <v>246.33</v>
      </c>
      <c r="E36" s="1"/>
      <c r="F36" s="5">
        <f t="shared" ref="F36:F45" si="20">IF(D$12=0,0,D36/D$12)</f>
        <v>1.1746220971818227E-2</v>
      </c>
      <c r="G36" s="1"/>
      <c r="H36" s="1">
        <f>SUM(OSRRefH22_2x_0)</f>
        <v>319.7</v>
      </c>
      <c r="I36" s="1"/>
      <c r="J36" s="5">
        <f t="shared" ref="J36:J45" si="21">IF(H$12=0,0,H36/H$12)</f>
        <v>8.661374657961041E-3</v>
      </c>
      <c r="K36" s="1"/>
      <c r="L36" s="1">
        <f t="shared" ref="L36:L45" si="22">+D36-H36</f>
        <v>-73.369999999999976</v>
      </c>
      <c r="M36" s="1"/>
      <c r="N36" s="5">
        <f t="shared" ref="N36:N45" si="23">IF(H36=0,0,L36/H36)</f>
        <v>-0.22949640287769776</v>
      </c>
      <c r="O36" s="14"/>
      <c r="P36" s="1">
        <f>SUM(OSRRefP22_2x_0)</f>
        <v>246.33</v>
      </c>
      <c r="Q36" s="1"/>
      <c r="R36" s="5">
        <f t="shared" ref="R36:R45" si="24">IF(P$12=0,0,P36/P$12)</f>
        <v>1.1746220971818227E-2</v>
      </c>
      <c r="S36" s="1"/>
      <c r="T36" s="1">
        <f>SUM(OSRRefT22_2x_0)</f>
        <v>319.7</v>
      </c>
      <c r="U36" s="1"/>
      <c r="V36" s="5">
        <f t="shared" ref="V36:V45" si="25">IF(T$12=0,0,T36/T$12)</f>
        <v>8.661374657961041E-3</v>
      </c>
      <c r="W36" s="1"/>
      <c r="X36" s="1">
        <f t="shared" ref="X36:X45" si="26">+P36-T36</f>
        <v>-73.369999999999976</v>
      </c>
      <c r="Y36" s="1"/>
      <c r="Z36" s="5">
        <f t="shared" ref="Z36:Z45" si="27">IF(T36=0,0,X36/T36)</f>
        <v>-0.22949640287769776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8">
        <v>246.33</v>
      </c>
      <c r="E37" s="3"/>
      <c r="F37" s="7">
        <f t="shared" si="20"/>
        <v>1.1746220971818227E-2</v>
      </c>
      <c r="G37" s="3"/>
      <c r="H37" s="8">
        <v>319.7</v>
      </c>
      <c r="I37" s="3"/>
      <c r="J37" s="7">
        <f t="shared" si="21"/>
        <v>8.661374657961041E-3</v>
      </c>
      <c r="K37" s="3"/>
      <c r="L37" s="8">
        <f t="shared" si="22"/>
        <v>-73.369999999999976</v>
      </c>
      <c r="M37" s="3"/>
      <c r="N37" s="7">
        <f t="shared" si="23"/>
        <v>-0.22949640287769776</v>
      </c>
      <c r="O37" s="11"/>
      <c r="P37" s="8">
        <v>246.33</v>
      </c>
      <c r="Q37" s="3"/>
      <c r="R37" s="7">
        <f t="shared" si="24"/>
        <v>1.1746220971818227E-2</v>
      </c>
      <c r="S37" s="3"/>
      <c r="T37" s="8">
        <v>319.7</v>
      </c>
      <c r="U37" s="3"/>
      <c r="V37" s="7">
        <f t="shared" si="25"/>
        <v>8.661374657961041E-3</v>
      </c>
      <c r="W37" s="3"/>
      <c r="X37" s="8">
        <f t="shared" si="26"/>
        <v>-73.369999999999976</v>
      </c>
      <c r="Y37" s="3"/>
      <c r="Z37" s="7">
        <f t="shared" si="27"/>
        <v>-0.22949640287769776</v>
      </c>
    </row>
    <row r="38" spans="1:26" s="27" customFormat="1" outlineLevel="1" collapsed="1" x14ac:dyDescent="0.25">
      <c r="A38" s="28"/>
      <c r="B38" s="14" t="str">
        <f>CONCATENATE("     ","Insurance                                         ")</f>
        <v xml:space="preserve">     Insurance                                         </v>
      </c>
      <c r="C38" s="14"/>
      <c r="D38" s="1">
        <f>SUM(OSRRefD22_3x_0)</f>
        <v>29.01</v>
      </c>
      <c r="E38" s="1"/>
      <c r="F38" s="5">
        <f t="shared" si="20"/>
        <v>1.383338896571456E-3</v>
      </c>
      <c r="G38" s="1"/>
      <c r="H38" s="1">
        <f>SUM(OSRRefH22_3x_0)</f>
        <v>29.01</v>
      </c>
      <c r="I38" s="1"/>
      <c r="J38" s="5">
        <f t="shared" si="21"/>
        <v>7.8594456936956463E-4</v>
      </c>
      <c r="K38" s="1"/>
      <c r="L38" s="1">
        <f t="shared" si="22"/>
        <v>0</v>
      </c>
      <c r="M38" s="1"/>
      <c r="N38" s="5">
        <f t="shared" si="23"/>
        <v>0</v>
      </c>
      <c r="O38" s="14"/>
      <c r="P38" s="1">
        <f>SUM(OSRRefP22_3x_0)</f>
        <v>29.01</v>
      </c>
      <c r="Q38" s="1"/>
      <c r="R38" s="5">
        <f t="shared" si="24"/>
        <v>1.383338896571456E-3</v>
      </c>
      <c r="S38" s="1"/>
      <c r="T38" s="1">
        <f>SUM(OSRRefT22_3x_0)</f>
        <v>29.01</v>
      </c>
      <c r="U38" s="1"/>
      <c r="V38" s="5">
        <f t="shared" si="25"/>
        <v>7.8594456936956463E-4</v>
      </c>
      <c r="W38" s="1"/>
      <c r="X38" s="1">
        <f t="shared" si="26"/>
        <v>0</v>
      </c>
      <c r="Y38" s="1"/>
      <c r="Z38" s="5">
        <f t="shared" si="27"/>
        <v>0</v>
      </c>
    </row>
    <row r="39" spans="1:26" s="24" customFormat="1" hidden="1" outlineLevel="2" x14ac:dyDescent="0.25">
      <c r="A39" s="29"/>
      <c r="B39" s="11" t="str">
        <f>CONCATENATE("          ", "6314", " - ", "LIABILITY INSURANCE")</f>
        <v xml:space="preserve">          6314 - LIABILITY INSURANCE</v>
      </c>
      <c r="C39" s="11"/>
      <c r="D39" s="8">
        <v>29.01</v>
      </c>
      <c r="E39" s="3"/>
      <c r="F39" s="7">
        <f t="shared" si="20"/>
        <v>1.383338896571456E-3</v>
      </c>
      <c r="G39" s="3"/>
      <c r="H39" s="8">
        <v>29.01</v>
      </c>
      <c r="I39" s="3"/>
      <c r="J39" s="7">
        <f t="shared" si="21"/>
        <v>7.8594456936956463E-4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>
        <v>29.01</v>
      </c>
      <c r="Q39" s="3"/>
      <c r="R39" s="7">
        <f t="shared" si="24"/>
        <v>1.383338896571456E-3</v>
      </c>
      <c r="S39" s="3"/>
      <c r="T39" s="8">
        <v>29.01</v>
      </c>
      <c r="U39" s="3"/>
      <c r="V39" s="7">
        <f t="shared" si="25"/>
        <v>7.8594456936956463E-4</v>
      </c>
      <c r="W39" s="3"/>
      <c r="X39" s="8">
        <f t="shared" si="26"/>
        <v>0</v>
      </c>
      <c r="Y39" s="3"/>
      <c r="Z39" s="7">
        <f t="shared" si="27"/>
        <v>0</v>
      </c>
    </row>
    <row r="40" spans="1:26" s="27" customFormat="1" outlineLevel="1" collapsed="1" x14ac:dyDescent="0.25">
      <c r="A40" s="28"/>
      <c r="B40" s="14" t="str">
        <f>CONCATENATE("     ","Rent                                              ")</f>
        <v xml:space="preserve">     Rent                                              </v>
      </c>
      <c r="C40" s="14"/>
      <c r="D40" s="1">
        <f>SUM(OSRRefD22_4x_0)</f>
        <v>800</v>
      </c>
      <c r="E40" s="1"/>
      <c r="F40" s="5">
        <f t="shared" si="20"/>
        <v>3.8147918554193888E-2</v>
      </c>
      <c r="G40" s="1"/>
      <c r="H40" s="1">
        <f>SUM(OSRRefH22_4x_0)</f>
        <v>800</v>
      </c>
      <c r="I40" s="1"/>
      <c r="J40" s="5">
        <f t="shared" si="21"/>
        <v>2.1673755790956626E-2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800</v>
      </c>
      <c r="Q40" s="1"/>
      <c r="R40" s="5">
        <f t="shared" si="24"/>
        <v>3.8147918554193888E-2</v>
      </c>
      <c r="S40" s="1"/>
      <c r="T40" s="1">
        <f>SUM(OSRRefT22_4x_0)</f>
        <v>800</v>
      </c>
      <c r="U40" s="1"/>
      <c r="V40" s="5">
        <f t="shared" si="25"/>
        <v>2.1673755790956626E-2</v>
      </c>
      <c r="W40" s="1"/>
      <c r="X40" s="1">
        <f t="shared" si="26"/>
        <v>0</v>
      </c>
      <c r="Y40" s="1"/>
      <c r="Z40" s="5">
        <f t="shared" si="27"/>
        <v>0</v>
      </c>
    </row>
    <row r="41" spans="1:26" s="24" customFormat="1" hidden="1" outlineLevel="2" x14ac:dyDescent="0.25">
      <c r="A41" s="29"/>
      <c r="B41" s="11" t="str">
        <f>CONCATENATE("          ", "6273", " - ", "RENT")</f>
        <v xml:space="preserve">          6273 - RENT</v>
      </c>
      <c r="C41" s="11"/>
      <c r="D41" s="8">
        <v>800</v>
      </c>
      <c r="E41" s="3"/>
      <c r="F41" s="7">
        <f t="shared" si="20"/>
        <v>3.8147918554193888E-2</v>
      </c>
      <c r="G41" s="3"/>
      <c r="H41" s="8">
        <v>800</v>
      </c>
      <c r="I41" s="3"/>
      <c r="J41" s="7">
        <f t="shared" si="21"/>
        <v>2.1673755790956626E-2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>
        <v>800</v>
      </c>
      <c r="Q41" s="3"/>
      <c r="R41" s="7">
        <f t="shared" si="24"/>
        <v>3.8147918554193888E-2</v>
      </c>
      <c r="S41" s="3"/>
      <c r="T41" s="8">
        <v>800</v>
      </c>
      <c r="U41" s="3"/>
      <c r="V41" s="7">
        <f t="shared" si="25"/>
        <v>2.1673755790956626E-2</v>
      </c>
      <c r="W41" s="3"/>
      <c r="X41" s="8">
        <f t="shared" si="26"/>
        <v>0</v>
      </c>
      <c r="Y41" s="3"/>
      <c r="Z41" s="7">
        <f t="shared" si="27"/>
        <v>0</v>
      </c>
    </row>
    <row r="42" spans="1:26" s="27" customFormat="1" outlineLevel="1" collapsed="1" x14ac:dyDescent="0.25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SUM(OSRRefD22_5x_0)</f>
        <v>92.59</v>
      </c>
      <c r="E42" s="1"/>
      <c r="F42" s="5">
        <f t="shared" si="20"/>
        <v>4.4151447236660153E-3</v>
      </c>
      <c r="G42" s="1"/>
      <c r="H42" s="1">
        <f>SUM(OSRRefH22_5x_0)</f>
        <v>14416.21</v>
      </c>
      <c r="I42" s="1"/>
      <c r="J42" s="5">
        <f t="shared" si="21"/>
        <v>0.39056676871393348</v>
      </c>
      <c r="K42" s="1"/>
      <c r="L42" s="1">
        <f t="shared" si="22"/>
        <v>-14323.619999999999</v>
      </c>
      <c r="M42" s="1"/>
      <c r="N42" s="5">
        <f t="shared" si="23"/>
        <v>-0.99357736880913916</v>
      </c>
      <c r="O42" s="14"/>
      <c r="P42" s="1">
        <f>SUM(OSRRefP22_5x_0)</f>
        <v>92.59</v>
      </c>
      <c r="Q42" s="1"/>
      <c r="R42" s="5">
        <f t="shared" si="24"/>
        <v>4.4151447236660153E-3</v>
      </c>
      <c r="S42" s="1"/>
      <c r="T42" s="1">
        <f>SUM(OSRRefT22_5x_0)</f>
        <v>14416.21</v>
      </c>
      <c r="U42" s="1"/>
      <c r="V42" s="5">
        <f t="shared" si="25"/>
        <v>0.39056676871393348</v>
      </c>
      <c r="W42" s="1"/>
      <c r="X42" s="1">
        <f t="shared" si="26"/>
        <v>-14323.619999999999</v>
      </c>
      <c r="Y42" s="1"/>
      <c r="Z42" s="5">
        <f t="shared" si="27"/>
        <v>-0.99357736880913916</v>
      </c>
    </row>
    <row r="43" spans="1:26" s="24" customFormat="1" hidden="1" outlineLevel="2" x14ac:dyDescent="0.25">
      <c r="A43" s="29"/>
      <c r="B43" s="11" t="str">
        <f>CONCATENATE("          ", "6241", " - ", "OFFICE EXPENSE")</f>
        <v xml:space="preserve">          6241 - OFFICE EXPENSE</v>
      </c>
      <c r="C43" s="11"/>
      <c r="D43" s="8">
        <v>92.59</v>
      </c>
      <c r="E43" s="3"/>
      <c r="F43" s="7">
        <f t="shared" si="20"/>
        <v>4.4151447236660153E-3</v>
      </c>
      <c r="G43" s="3"/>
      <c r="H43" s="8">
        <v>14416.21</v>
      </c>
      <c r="I43" s="3"/>
      <c r="J43" s="7">
        <f t="shared" si="21"/>
        <v>0.39056676871393348</v>
      </c>
      <c r="K43" s="3"/>
      <c r="L43" s="8">
        <f t="shared" si="22"/>
        <v>-14323.619999999999</v>
      </c>
      <c r="M43" s="3"/>
      <c r="N43" s="7">
        <f t="shared" si="23"/>
        <v>-0.99357736880913916</v>
      </c>
      <c r="O43" s="11"/>
      <c r="P43" s="8">
        <v>92.59</v>
      </c>
      <c r="Q43" s="3"/>
      <c r="R43" s="7">
        <f t="shared" si="24"/>
        <v>4.4151447236660153E-3</v>
      </c>
      <c r="S43" s="3"/>
      <c r="T43" s="8">
        <v>14416.21</v>
      </c>
      <c r="U43" s="3"/>
      <c r="V43" s="7">
        <f t="shared" si="25"/>
        <v>0.39056676871393348</v>
      </c>
      <c r="W43" s="3"/>
      <c r="X43" s="8">
        <f t="shared" si="26"/>
        <v>-14323.619999999999</v>
      </c>
      <c r="Y43" s="3"/>
      <c r="Z43" s="7">
        <f t="shared" si="27"/>
        <v>-0.99357736880913916</v>
      </c>
    </row>
    <row r="44" spans="1:26" s="27" customFormat="1" outlineLevel="1" collapsed="1" x14ac:dyDescent="0.25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SUM(OSRRefD22_6x_0)</f>
        <v>154.93</v>
      </c>
      <c r="E44" s="1"/>
      <c r="F44" s="5">
        <f t="shared" si="20"/>
        <v>7.3878212770015737E-3</v>
      </c>
      <c r="G44" s="1"/>
      <c r="H44" s="1">
        <f>SUM(OSRRefH22_6x_0)</f>
        <v>-23.35</v>
      </c>
      <c r="I44" s="1"/>
      <c r="J44" s="5">
        <f t="shared" si="21"/>
        <v>-6.3260274714854649E-4</v>
      </c>
      <c r="K44" s="1"/>
      <c r="L44" s="1">
        <f t="shared" si="22"/>
        <v>178.28</v>
      </c>
      <c r="M44" s="1"/>
      <c r="N44" s="5">
        <f t="shared" si="23"/>
        <v>-7.6351177730192719</v>
      </c>
      <c r="O44" s="14"/>
      <c r="P44" s="1">
        <f>SUM(OSRRefP22_6x_0)</f>
        <v>154.93</v>
      </c>
      <c r="Q44" s="1"/>
      <c r="R44" s="5">
        <f t="shared" si="24"/>
        <v>7.3878212770015737E-3</v>
      </c>
      <c r="S44" s="1"/>
      <c r="T44" s="1">
        <f>SUM(OSRRefT22_6x_0)</f>
        <v>-23.35</v>
      </c>
      <c r="U44" s="1"/>
      <c r="V44" s="5">
        <f t="shared" si="25"/>
        <v>-6.3260274714854649E-4</v>
      </c>
      <c r="W44" s="1"/>
      <c r="X44" s="1">
        <f t="shared" si="26"/>
        <v>178.28</v>
      </c>
      <c r="Y44" s="1"/>
      <c r="Z44" s="5">
        <f t="shared" si="27"/>
        <v>-7.6351177730192719</v>
      </c>
    </row>
    <row r="45" spans="1:26" s="24" customFormat="1" hidden="1" outlineLevel="2" x14ac:dyDescent="0.25">
      <c r="A45" s="29"/>
      <c r="B45" s="11" t="str">
        <f>CONCATENATE("          ", "6309", " - ", "TELEPHONE")</f>
        <v xml:space="preserve">          6309 - TELEPHONE</v>
      </c>
      <c r="C45" s="11"/>
      <c r="D45" s="8">
        <v>154.93</v>
      </c>
      <c r="E45" s="3"/>
      <c r="F45" s="7">
        <f t="shared" si="20"/>
        <v>7.3878212770015737E-3</v>
      </c>
      <c r="G45" s="3"/>
      <c r="H45" s="8">
        <v>-23.35</v>
      </c>
      <c r="I45" s="3"/>
      <c r="J45" s="7">
        <f t="shared" si="21"/>
        <v>-6.3260274714854649E-4</v>
      </c>
      <c r="K45" s="3"/>
      <c r="L45" s="8">
        <f t="shared" si="22"/>
        <v>178.28</v>
      </c>
      <c r="M45" s="3"/>
      <c r="N45" s="7">
        <f t="shared" si="23"/>
        <v>-7.6351177730192719</v>
      </c>
      <c r="O45" s="11"/>
      <c r="P45" s="8">
        <v>154.93</v>
      </c>
      <c r="Q45" s="3"/>
      <c r="R45" s="7">
        <f t="shared" si="24"/>
        <v>7.3878212770015737E-3</v>
      </c>
      <c r="S45" s="3"/>
      <c r="T45" s="8">
        <v>-23.35</v>
      </c>
      <c r="U45" s="3"/>
      <c r="V45" s="7">
        <f t="shared" si="25"/>
        <v>-6.3260274714854649E-4</v>
      </c>
      <c r="W45" s="3"/>
      <c r="X45" s="8">
        <f t="shared" si="26"/>
        <v>178.28</v>
      </c>
      <c r="Y45" s="3"/>
      <c r="Z45" s="7">
        <f t="shared" si="27"/>
        <v>-7.6351177730192719</v>
      </c>
    </row>
    <row r="46" spans="1:26" s="61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collapsed="1" x14ac:dyDescent="0.25">
      <c r="A47" s="10"/>
      <c r="B47" s="25" t="s">
        <v>0</v>
      </c>
      <c r="C47" s="10"/>
      <c r="D47" s="4">
        <f>SUM(OSRRefD25x_0)</f>
        <v>165</v>
      </c>
      <c r="E47" s="4"/>
      <c r="F47" s="12">
        <f t="shared" ref="F47:F48" si="28">IF(D$12=0,0,D47/D$12)</f>
        <v>7.8680082018024889E-3</v>
      </c>
      <c r="G47" s="4"/>
      <c r="H47" s="4">
        <f>SUM(OSRRefH25x_0)</f>
        <v>851.09</v>
      </c>
      <c r="I47" s="4"/>
      <c r="J47" s="12">
        <f t="shared" ref="J47:J48" si="29">IF(H$12=0,0,H47/H$12)</f>
        <v>2.3057896020156593E-2</v>
      </c>
      <c r="K47" s="4"/>
      <c r="L47" s="4">
        <f t="shared" ref="L47:L48" si="30">+D47-H47</f>
        <v>-686.09</v>
      </c>
      <c r="M47" s="4"/>
      <c r="N47" s="12">
        <f t="shared" ref="N47:N48" si="31">IF(H47=0,0,L47/H47)</f>
        <v>-0.80613096147293473</v>
      </c>
      <c r="O47" s="10"/>
      <c r="P47" s="4">
        <f>SUM(OSRRefP25x_0)</f>
        <v>165</v>
      </c>
      <c r="Q47" s="4"/>
      <c r="R47" s="12">
        <f t="shared" ref="R47:R48" si="32">IF(P$12=0,0,P47/P$12)</f>
        <v>7.8680082018024889E-3</v>
      </c>
      <c r="S47" s="4"/>
      <c r="T47" s="4">
        <f>SUM(OSRRefT25x_0)</f>
        <v>851.09</v>
      </c>
      <c r="U47" s="4"/>
      <c r="V47" s="12">
        <f t="shared" ref="V47:V48" si="33">IF(T$12=0,0,T47/T$12)</f>
        <v>2.3057896020156593E-2</v>
      </c>
      <c r="W47" s="4"/>
      <c r="X47" s="4">
        <f t="shared" ref="X47:X48" si="34">+P47-T47</f>
        <v>-686.09</v>
      </c>
      <c r="Y47" s="4"/>
      <c r="Z47" s="12">
        <f t="shared" ref="Z47:Z48" si="35">IF(T47=0,0,X47/T47)</f>
        <v>-0.80613096147293473</v>
      </c>
    </row>
    <row r="48" spans="1:26" s="24" customFormat="1" hidden="1" outlineLevel="1" x14ac:dyDescent="0.25">
      <c r="A48" s="50"/>
      <c r="B48" s="11" t="str">
        <f>CONCATENATE("          ", "9150", " - ", "MISC. INCOME")</f>
        <v xml:space="preserve">          9150 - MISC. INCOME</v>
      </c>
      <c r="C48" s="11"/>
      <c r="D48" s="3">
        <f>--165</f>
        <v>165</v>
      </c>
      <c r="E48" s="3"/>
      <c r="F48" s="22">
        <f t="shared" si="28"/>
        <v>7.8680082018024889E-3</v>
      </c>
      <c r="G48" s="3"/>
      <c r="H48" s="3">
        <f>--851.09</f>
        <v>851.09</v>
      </c>
      <c r="I48" s="3"/>
      <c r="J48" s="22">
        <f t="shared" si="29"/>
        <v>2.3057896020156593E-2</v>
      </c>
      <c r="K48" s="3"/>
      <c r="L48" s="3">
        <f t="shared" si="30"/>
        <v>-686.09</v>
      </c>
      <c r="M48" s="3"/>
      <c r="N48" s="22">
        <f t="shared" si="31"/>
        <v>-0.80613096147293473</v>
      </c>
      <c r="O48" s="11"/>
      <c r="P48" s="3">
        <f>--165</f>
        <v>165</v>
      </c>
      <c r="Q48" s="3"/>
      <c r="R48" s="22">
        <f t="shared" si="32"/>
        <v>7.8680082018024889E-3</v>
      </c>
      <c r="S48" s="3"/>
      <c r="T48" s="3">
        <f>--851.09</f>
        <v>851.09</v>
      </c>
      <c r="U48" s="3"/>
      <c r="V48" s="22">
        <f t="shared" si="33"/>
        <v>2.3057896020156593E-2</v>
      </c>
      <c r="W48" s="3"/>
      <c r="X48" s="3">
        <f t="shared" si="34"/>
        <v>-686.09</v>
      </c>
      <c r="Y48" s="3"/>
      <c r="Z48" s="22">
        <f t="shared" si="35"/>
        <v>-0.80613096147293473</v>
      </c>
    </row>
    <row r="49" spans="1:26" x14ac:dyDescent="0.25">
      <c r="A49" s="9"/>
      <c r="B49" s="10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10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25">
      <c r="A50" s="10"/>
      <c r="B50" s="26" t="s">
        <v>3</v>
      </c>
      <c r="C50" s="26"/>
      <c r="D50" s="19">
        <f>+D17-D19+D47</f>
        <v>0.13999999999941792</v>
      </c>
      <c r="E50" s="13"/>
      <c r="F50" s="20">
        <f>IF(D$12=0,0,D50/D$12)</f>
        <v>6.6758857469561736E-6</v>
      </c>
      <c r="G50" s="13"/>
      <c r="H50" s="19">
        <f>+H17-H19+H47</f>
        <v>0.48000000000672571</v>
      </c>
      <c r="I50" s="13"/>
      <c r="J50" s="20">
        <f>IF(H$12=0,0,H50/H$12)</f>
        <v>1.300425347475619E-5</v>
      </c>
      <c r="K50" s="16"/>
      <c r="L50" s="19">
        <f>+D50-H50</f>
        <v>-0.34000000000730779</v>
      </c>
      <c r="M50" s="16"/>
      <c r="N50" s="20">
        <f>IF(H50=0,0,L50/H50)</f>
        <v>-0.7083333333386328</v>
      </c>
      <c r="O50" s="25"/>
      <c r="P50" s="19">
        <f>+P17-P19+P47</f>
        <v>0.13999999999941792</v>
      </c>
      <c r="Q50" s="13"/>
      <c r="R50" s="20">
        <f>IF(P$12=0,0,P50/P$12)</f>
        <v>6.6758857469561736E-6</v>
      </c>
      <c r="S50" s="13"/>
      <c r="T50" s="19">
        <f>+T17-T19+T47</f>
        <v>0.48000000000672571</v>
      </c>
      <c r="U50" s="13"/>
      <c r="V50" s="20">
        <f>IF(T$12=0,0,T50/T$12)</f>
        <v>1.300425347475619E-5</v>
      </c>
      <c r="W50" s="16"/>
      <c r="X50" s="19">
        <f>+P50-T50</f>
        <v>-0.34000000000730779</v>
      </c>
      <c r="Y50" s="16"/>
      <c r="Z50" s="20">
        <f>IF(T50=0,0,X50/T50)</f>
        <v>-0.7083333333386328</v>
      </c>
    </row>
    <row r="51" spans="1:26" x14ac:dyDescent="0.25">
      <c r="A51" s="9"/>
      <c r="B51" s="10"/>
      <c r="C51" s="9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x14ac:dyDescent="0.25">
      <c r="A52" s="51"/>
      <c r="B52" s="10" t="s">
        <v>13</v>
      </c>
      <c r="C52" s="10"/>
      <c r="D52" s="4">
        <v>10085.93</v>
      </c>
      <c r="E52" s="4"/>
      <c r="F52" s="12">
        <f>IF(D$12=0,0,D52/D$12)</f>
        <v>0.48094654522912594</v>
      </c>
      <c r="G52" s="4"/>
      <c r="H52" s="4">
        <v>7674.88</v>
      </c>
      <c r="I52" s="4"/>
      <c r="J52" s="12">
        <f>IF(H$12=0,0,H52/H$12)</f>
        <v>0.20792934355612147</v>
      </c>
      <c r="K52" s="4"/>
      <c r="L52" s="4">
        <f>+D52-H52</f>
        <v>2411.0500000000002</v>
      </c>
      <c r="M52" s="4"/>
      <c r="N52" s="12">
        <f>IF(H52=0,0,L52/H52)</f>
        <v>0.31414823423949301</v>
      </c>
      <c r="O52" s="10"/>
      <c r="P52" s="4">
        <v>10085.93</v>
      </c>
      <c r="Q52" s="4"/>
      <c r="R52" s="12">
        <f>IF(P$12=0,0,P52/P$12)</f>
        <v>0.48094654522912594</v>
      </c>
      <c r="S52" s="4"/>
      <c r="T52" s="4">
        <v>7674.88</v>
      </c>
      <c r="U52" s="4"/>
      <c r="V52" s="12">
        <f>IF(T$12=0,0,T52/T$12)</f>
        <v>0.20792934355612147</v>
      </c>
      <c r="W52" s="4"/>
      <c r="X52" s="4">
        <f>+P52-T52</f>
        <v>2411.0500000000002</v>
      </c>
      <c r="Y52" s="4"/>
      <c r="Z52" s="12">
        <f>IF(T52=0,0,X52/T52)</f>
        <v>0.31414823423949301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ht="15.75" thickBot="1" x14ac:dyDescent="0.3">
      <c r="A54" s="10"/>
      <c r="B54" s="26" t="s">
        <v>4</v>
      </c>
      <c r="C54" s="26"/>
      <c r="D54" s="35">
        <f>+D50-D52</f>
        <v>-10085.790000000001</v>
      </c>
      <c r="E54" s="13"/>
      <c r="F54" s="30">
        <f>IF(D$12=0,0,D54/D$12)</f>
        <v>-0.48093986934337901</v>
      </c>
      <c r="G54" s="13"/>
      <c r="H54" s="35">
        <f>+H50-H52</f>
        <v>-7674.3999999999933</v>
      </c>
      <c r="I54" s="13"/>
      <c r="J54" s="30">
        <f>IF(H$12=0,0,H54/H$12)</f>
        <v>-0.20791633930264672</v>
      </c>
      <c r="K54" s="16"/>
      <c r="L54" s="35">
        <f>D54-H54</f>
        <v>-2411.3900000000076</v>
      </c>
      <c r="M54" s="16"/>
      <c r="N54" s="30">
        <f>IF(H54=0,0,L54/H54)</f>
        <v>0.31421218596893696</v>
      </c>
      <c r="O54" s="25"/>
      <c r="P54" s="35">
        <f>+P50-P52</f>
        <v>-10085.790000000001</v>
      </c>
      <c r="Q54" s="13"/>
      <c r="R54" s="30">
        <f>IF(P$12=0,0,P54/P$12)</f>
        <v>-0.48093986934337901</v>
      </c>
      <c r="S54" s="13"/>
      <c r="T54" s="35">
        <f>+T50-T52</f>
        <v>-7674.3999999999933</v>
      </c>
      <c r="U54" s="13"/>
      <c r="V54" s="30">
        <f>IF(T$12=0,0,T54/T$12)</f>
        <v>-0.20791633930264672</v>
      </c>
      <c r="W54" s="16"/>
      <c r="X54" s="35">
        <f>P54-T54</f>
        <v>-2411.3900000000076</v>
      </c>
      <c r="Y54" s="16"/>
      <c r="Z54" s="30">
        <f>IF(T54=0,0,X54/T54)</f>
        <v>0.31421218596893696</v>
      </c>
    </row>
    <row r="55" spans="1:26" ht="15.75" thickTop="1" x14ac:dyDescent="0.25">
      <c r="A55" s="9"/>
      <c r="B55" s="9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x14ac:dyDescent="0.25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.75" thickBot="1" x14ac:dyDescent="0.3">
      <c r="A57" s="10"/>
      <c r="B57" s="26" t="s">
        <v>5</v>
      </c>
      <c r="C57" s="26"/>
      <c r="D57" s="31">
        <f>SUM(D54:D56)</f>
        <v>-10085.790000000001</v>
      </c>
      <c r="E57" s="13"/>
      <c r="F57" s="32">
        <f>IF(D$12=0,0,D57/D$12)</f>
        <v>-0.48093986934337901</v>
      </c>
      <c r="G57" s="13"/>
      <c r="H57" s="31">
        <f>SUM(H54:H56)</f>
        <v>-7674.3999999999933</v>
      </c>
      <c r="I57" s="13"/>
      <c r="J57" s="32">
        <f>IF(H$12=0,0,H57/H$12)</f>
        <v>-0.20791633930264672</v>
      </c>
      <c r="K57" s="16"/>
      <c r="L57" s="31">
        <f>+D57-H57</f>
        <v>-2411.3900000000076</v>
      </c>
      <c r="M57" s="16"/>
      <c r="N57" s="32">
        <f>IF(H57=0,0,L57/H57)</f>
        <v>0.31421218596893696</v>
      </c>
      <c r="O57" s="25"/>
      <c r="P57" s="31">
        <f>SUM(P54:P56)</f>
        <v>-10085.790000000001</v>
      </c>
      <c r="Q57" s="13"/>
      <c r="R57" s="32">
        <f>IF(P$12=0,0,P57/P$12)</f>
        <v>-0.48093986934337901</v>
      </c>
      <c r="S57" s="13"/>
      <c r="T57" s="31">
        <f>SUM(T54:T56)</f>
        <v>-7674.3999999999933</v>
      </c>
      <c r="U57" s="13"/>
      <c r="V57" s="32">
        <f>IF(T$12=0,0,T57/T$12)</f>
        <v>-0.20791633930264672</v>
      </c>
      <c r="W57" s="16"/>
      <c r="X57" s="31">
        <f>+P57-T57</f>
        <v>-2411.3900000000076</v>
      </c>
      <c r="Y57" s="16"/>
      <c r="Z57" s="32">
        <f>IF(T57=0,0,X57/T57)</f>
        <v>0.31421218596893696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9">
        <v>44109.413863310183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2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6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",RIGHT(202101,2),", ",2021)</f>
        <v>Period 01, 2021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44044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20971</v>
      </c>
      <c r="E12" s="4"/>
      <c r="F12" s="12"/>
      <c r="G12" s="4"/>
      <c r="H12" s="4">
        <f>SUM(OSRRefH13x_0)</f>
        <v>36911</v>
      </c>
      <c r="I12" s="4"/>
      <c r="J12" s="12"/>
      <c r="K12" s="4"/>
      <c r="L12" s="4">
        <f t="shared" ref="L12:L13" si="0">+D12-H12</f>
        <v>-15940</v>
      </c>
      <c r="M12" s="4"/>
      <c r="N12" s="12">
        <f t="shared" ref="N12:N13" si="1">IF(H12=0,0,L12/H12)</f>
        <v>-0.43184958413481078</v>
      </c>
      <c r="O12" s="10"/>
      <c r="P12" s="4">
        <f>SUM(OSRRefP13x_0)</f>
        <v>20971</v>
      </c>
      <c r="Q12" s="4"/>
      <c r="R12" s="12"/>
      <c r="S12" s="4"/>
      <c r="T12" s="4">
        <f>SUM(OSRRefT13x_0)</f>
        <v>36911</v>
      </c>
      <c r="U12" s="4"/>
      <c r="V12" s="12"/>
      <c r="W12" s="4"/>
      <c r="X12" s="4">
        <f t="shared" ref="X12:X13" si="2">+P12-T12</f>
        <v>-15940</v>
      </c>
      <c r="Y12" s="4"/>
      <c r="Z12" s="12">
        <f t="shared" ref="Z12:Z13" si="3">IF(T12=0,0,X12/T12)</f>
        <v>-0.43184958413481078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3">
        <f>--20971</f>
        <v>20971</v>
      </c>
      <c r="E13" s="3"/>
      <c r="F13" s="22"/>
      <c r="G13" s="3"/>
      <c r="H13" s="3">
        <f>--36911</f>
        <v>36911</v>
      </c>
      <c r="I13" s="3"/>
      <c r="J13" s="22"/>
      <c r="K13" s="3"/>
      <c r="L13" s="3">
        <f t="shared" si="0"/>
        <v>-15940</v>
      </c>
      <c r="M13" s="3"/>
      <c r="N13" s="22">
        <f t="shared" si="1"/>
        <v>-0.43184958413481078</v>
      </c>
      <c r="O13" s="11"/>
      <c r="P13" s="3">
        <f>--20971</f>
        <v>20971</v>
      </c>
      <c r="Q13" s="3"/>
      <c r="R13" s="22"/>
      <c r="S13" s="3"/>
      <c r="T13" s="3">
        <f>--36911</f>
        <v>36911</v>
      </c>
      <c r="U13" s="3"/>
      <c r="V13" s="22"/>
      <c r="W13" s="3"/>
      <c r="X13" s="3">
        <f t="shared" si="2"/>
        <v>-15940</v>
      </c>
      <c r="Y13" s="3"/>
      <c r="Z13" s="22">
        <f t="shared" si="3"/>
        <v>-0.43184958413481078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25">
      <c r="A17" s="10"/>
      <c r="B17" s="26" t="s">
        <v>6</v>
      </c>
      <c r="C17" s="26"/>
      <c r="D17" s="19">
        <f>D12-D15</f>
        <v>20971</v>
      </c>
      <c r="E17" s="13"/>
      <c r="F17" s="20">
        <f>IF(D$12=0,0,D17/D$12)</f>
        <v>1</v>
      </c>
      <c r="G17" s="13"/>
      <c r="H17" s="19">
        <f>H12-H15</f>
        <v>36911</v>
      </c>
      <c r="I17" s="13"/>
      <c r="J17" s="20">
        <f>IF(H$12=0,0,H17/H$12)</f>
        <v>1</v>
      </c>
      <c r="K17" s="16"/>
      <c r="L17" s="19">
        <f>+D17-H17</f>
        <v>-15940</v>
      </c>
      <c r="M17" s="16"/>
      <c r="N17" s="20">
        <f>IF(H17=0,0,L17/H17)</f>
        <v>-0.43184958413481078</v>
      </c>
      <c r="O17" s="25"/>
      <c r="P17" s="19">
        <f>P12-P15</f>
        <v>20971</v>
      </c>
      <c r="Q17" s="13"/>
      <c r="R17" s="20">
        <f>IF(P$12=0,0,P17/P$12)</f>
        <v>1</v>
      </c>
      <c r="S17" s="13"/>
      <c r="T17" s="19">
        <f>T12-T15</f>
        <v>36911</v>
      </c>
      <c r="U17" s="13"/>
      <c r="V17" s="20">
        <f>IF(T$12=0,0,T17/T$12)</f>
        <v>1</v>
      </c>
      <c r="W17" s="16"/>
      <c r="X17" s="19">
        <f>+P17-T17</f>
        <v>-15940</v>
      </c>
      <c r="Y17" s="16"/>
      <c r="Z17" s="20">
        <f>IF(T17=0,0,X17/T17)</f>
        <v>-0.43184958413481078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1">
        <f>SUM(OSRRefD22x_0)</f>
        <v>21135.86</v>
      </c>
      <c r="E19" s="21"/>
      <c r="F19" s="34">
        <f t="shared" ref="F19:F29" si="4">IF(D$12=0,0,D19/D$12)</f>
        <v>1.0078613323160555</v>
      </c>
      <c r="G19" s="21"/>
      <c r="H19" s="21">
        <f>SUM(OSRRefH22x_0)</f>
        <v>37761.609999999993</v>
      </c>
      <c r="I19" s="21"/>
      <c r="J19" s="34">
        <f t="shared" ref="J19:J29" si="5">IF(H$12=0,0,H19/H$12)</f>
        <v>1.0230448917666819</v>
      </c>
      <c r="K19" s="4"/>
      <c r="L19" s="21">
        <f t="shared" ref="L19:L29" si="6">+D19-H19</f>
        <v>-16625.749999999993</v>
      </c>
      <c r="M19" s="4"/>
      <c r="N19" s="34">
        <f t="shared" ref="N19:N29" si="7">IF(H19=0,0,L19/H19)</f>
        <v>-0.44028181001816385</v>
      </c>
      <c r="O19" s="10"/>
      <c r="P19" s="21">
        <f>SUM(OSRRefP22x_0)</f>
        <v>21135.86</v>
      </c>
      <c r="Q19" s="21"/>
      <c r="R19" s="34">
        <f t="shared" ref="R19:R29" si="8">IF(P$12=0,0,P19/P$12)</f>
        <v>1.0078613323160555</v>
      </c>
      <c r="S19" s="21"/>
      <c r="T19" s="21">
        <f>SUM(OSRRefT22x_0)</f>
        <v>37761.609999999993</v>
      </c>
      <c r="U19" s="21"/>
      <c r="V19" s="34">
        <f t="shared" ref="V19:V29" si="9">IF(T$12=0,0,T19/T$12)</f>
        <v>1.0230448917666819</v>
      </c>
      <c r="W19" s="4"/>
      <c r="X19" s="21">
        <f t="shared" ref="X19:X29" si="10">+P19-T19</f>
        <v>-16625.749999999993</v>
      </c>
      <c r="Y19" s="4"/>
      <c r="Z19" s="34">
        <f t="shared" ref="Z19:Z29" si="11">IF(T19=0,0,X19/T19)</f>
        <v>-0.44028181001816385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4207.82</v>
      </c>
      <c r="E20" s="1"/>
      <c r="F20" s="5">
        <f t="shared" si="4"/>
        <v>0.20064946831338515</v>
      </c>
      <c r="G20" s="1"/>
      <c r="H20" s="1">
        <f>SUM(OSRRefH22_0x_0)</f>
        <v>4399.3499999999995</v>
      </c>
      <c r="I20" s="1"/>
      <c r="J20" s="5">
        <f t="shared" si="5"/>
        <v>0.11918804692368128</v>
      </c>
      <c r="K20" s="1"/>
      <c r="L20" s="1">
        <f t="shared" si="6"/>
        <v>-191.52999999999975</v>
      </c>
      <c r="M20" s="1"/>
      <c r="N20" s="5">
        <f t="shared" si="7"/>
        <v>-4.3535976905679195E-2</v>
      </c>
      <c r="O20" s="14"/>
      <c r="P20" s="1">
        <f>SUM(OSRRefP22_0x_0)</f>
        <v>4207.82</v>
      </c>
      <c r="Q20" s="1"/>
      <c r="R20" s="5">
        <f t="shared" si="8"/>
        <v>0.20064946831338515</v>
      </c>
      <c r="S20" s="1"/>
      <c r="T20" s="1">
        <f>SUM(OSRRefT22_0x_0)</f>
        <v>4399.3499999999995</v>
      </c>
      <c r="U20" s="1"/>
      <c r="V20" s="5">
        <f t="shared" si="9"/>
        <v>0.11918804692368128</v>
      </c>
      <c r="W20" s="1"/>
      <c r="X20" s="1">
        <f t="shared" si="10"/>
        <v>-191.52999999999975</v>
      </c>
      <c r="Y20" s="1"/>
      <c r="Z20" s="5">
        <f t="shared" si="11"/>
        <v>-4.3535976905679195E-2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8">
        <v>1006.58</v>
      </c>
      <c r="E21" s="3"/>
      <c r="F21" s="7">
        <f t="shared" si="4"/>
        <v>4.7998664822850604E-2</v>
      </c>
      <c r="G21" s="3"/>
      <c r="H21" s="8">
        <v>1065.93</v>
      </c>
      <c r="I21" s="3"/>
      <c r="J21" s="7">
        <f t="shared" si="5"/>
        <v>2.8878383137817997E-2</v>
      </c>
      <c r="K21" s="3"/>
      <c r="L21" s="8">
        <f t="shared" si="6"/>
        <v>-59.350000000000023</v>
      </c>
      <c r="M21" s="3"/>
      <c r="N21" s="7">
        <f t="shared" si="7"/>
        <v>-5.5679078363494804E-2</v>
      </c>
      <c r="O21" s="11"/>
      <c r="P21" s="8">
        <v>1006.58</v>
      </c>
      <c r="Q21" s="3"/>
      <c r="R21" s="7">
        <f t="shared" si="8"/>
        <v>4.7998664822850604E-2</v>
      </c>
      <c r="S21" s="3"/>
      <c r="T21" s="8">
        <v>1065.93</v>
      </c>
      <c r="U21" s="3"/>
      <c r="V21" s="7">
        <f t="shared" si="9"/>
        <v>2.8878383137817997E-2</v>
      </c>
      <c r="W21" s="3"/>
      <c r="X21" s="8">
        <f t="shared" si="10"/>
        <v>-59.350000000000023</v>
      </c>
      <c r="Y21" s="3"/>
      <c r="Z21" s="7">
        <f t="shared" si="11"/>
        <v>-5.5679078363494804E-2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8">
        <v>77.87</v>
      </c>
      <c r="E22" s="3"/>
      <c r="F22" s="7">
        <f t="shared" si="4"/>
        <v>3.7132230222688477E-3</v>
      </c>
      <c r="G22" s="3"/>
      <c r="H22" s="8">
        <v>49</v>
      </c>
      <c r="I22" s="3"/>
      <c r="J22" s="7">
        <f t="shared" si="5"/>
        <v>1.3275175421960932E-3</v>
      </c>
      <c r="K22" s="3"/>
      <c r="L22" s="8">
        <f t="shared" si="6"/>
        <v>28.870000000000005</v>
      </c>
      <c r="M22" s="3"/>
      <c r="N22" s="7">
        <f t="shared" si="7"/>
        <v>0.58918367346938783</v>
      </c>
      <c r="O22" s="11"/>
      <c r="P22" s="8">
        <v>77.87</v>
      </c>
      <c r="Q22" s="3"/>
      <c r="R22" s="7">
        <f t="shared" si="8"/>
        <v>3.7132230222688477E-3</v>
      </c>
      <c r="S22" s="3"/>
      <c r="T22" s="8">
        <v>49</v>
      </c>
      <c r="U22" s="3"/>
      <c r="V22" s="7">
        <f t="shared" si="9"/>
        <v>1.3275175421960932E-3</v>
      </c>
      <c r="W22" s="3"/>
      <c r="X22" s="8">
        <f t="shared" si="10"/>
        <v>28.870000000000005</v>
      </c>
      <c r="Y22" s="3"/>
      <c r="Z22" s="7">
        <f t="shared" si="11"/>
        <v>0.58918367346938783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8">
        <v>1230.45</v>
      </c>
      <c r="E23" s="3"/>
      <c r="F23" s="7">
        <f t="shared" si="4"/>
        <v>5.8673882981259834E-2</v>
      </c>
      <c r="G23" s="3"/>
      <c r="H23" s="8">
        <v>1243.31</v>
      </c>
      <c r="I23" s="3"/>
      <c r="J23" s="7">
        <f t="shared" si="5"/>
        <v>3.368399664056785E-2</v>
      </c>
      <c r="K23" s="3"/>
      <c r="L23" s="8">
        <f t="shared" si="6"/>
        <v>-12.8599999999999</v>
      </c>
      <c r="M23" s="3"/>
      <c r="N23" s="7">
        <f t="shared" si="7"/>
        <v>-1.0343357650143489E-2</v>
      </c>
      <c r="O23" s="11"/>
      <c r="P23" s="8">
        <v>1230.45</v>
      </c>
      <c r="Q23" s="3"/>
      <c r="R23" s="7">
        <f t="shared" si="8"/>
        <v>5.8673882981259834E-2</v>
      </c>
      <c r="S23" s="3"/>
      <c r="T23" s="8">
        <v>1243.31</v>
      </c>
      <c r="U23" s="3"/>
      <c r="V23" s="7">
        <f t="shared" si="9"/>
        <v>3.368399664056785E-2</v>
      </c>
      <c r="W23" s="3"/>
      <c r="X23" s="8">
        <f t="shared" si="10"/>
        <v>-12.8599999999999</v>
      </c>
      <c r="Y23" s="3"/>
      <c r="Z23" s="7">
        <f t="shared" si="11"/>
        <v>-1.0343357650143489E-2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8">
        <v>34.200000000000003</v>
      </c>
      <c r="E24" s="3"/>
      <c r="F24" s="7">
        <f t="shared" si="4"/>
        <v>1.6308235181917887E-3</v>
      </c>
      <c r="G24" s="3"/>
      <c r="H24" s="8">
        <v>37.47</v>
      </c>
      <c r="I24" s="3"/>
      <c r="J24" s="7">
        <f t="shared" si="5"/>
        <v>1.015144536858931E-3</v>
      </c>
      <c r="K24" s="3"/>
      <c r="L24" s="8">
        <f t="shared" si="6"/>
        <v>-3.269999999999996</v>
      </c>
      <c r="M24" s="3"/>
      <c r="N24" s="7">
        <f t="shared" si="7"/>
        <v>-8.7269815852682037E-2</v>
      </c>
      <c r="O24" s="11"/>
      <c r="P24" s="8">
        <v>34.200000000000003</v>
      </c>
      <c r="Q24" s="3"/>
      <c r="R24" s="7">
        <f t="shared" si="8"/>
        <v>1.6308235181917887E-3</v>
      </c>
      <c r="S24" s="3"/>
      <c r="T24" s="8">
        <v>37.47</v>
      </c>
      <c r="U24" s="3"/>
      <c r="V24" s="7">
        <f t="shared" si="9"/>
        <v>1.015144536858931E-3</v>
      </c>
      <c r="W24" s="3"/>
      <c r="X24" s="8">
        <f t="shared" si="10"/>
        <v>-3.269999999999996</v>
      </c>
      <c r="Y24" s="3"/>
      <c r="Z24" s="7">
        <f t="shared" si="11"/>
        <v>-8.7269815852682037E-2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8">
        <v>939.44</v>
      </c>
      <c r="E25" s="3"/>
      <c r="F25" s="7">
        <f t="shared" si="4"/>
        <v>4.4797100758189885E-2</v>
      </c>
      <c r="G25" s="3"/>
      <c r="H25" s="8">
        <v>609.02</v>
      </c>
      <c r="I25" s="3"/>
      <c r="J25" s="7">
        <f t="shared" si="5"/>
        <v>1.6499688439760504E-2</v>
      </c>
      <c r="K25" s="3"/>
      <c r="L25" s="8">
        <f t="shared" si="6"/>
        <v>330.42000000000007</v>
      </c>
      <c r="M25" s="3"/>
      <c r="N25" s="7">
        <f t="shared" si="7"/>
        <v>0.54254375882565442</v>
      </c>
      <c r="O25" s="11"/>
      <c r="P25" s="8">
        <v>939.44</v>
      </c>
      <c r="Q25" s="3"/>
      <c r="R25" s="7">
        <f t="shared" si="8"/>
        <v>4.4797100758189885E-2</v>
      </c>
      <c r="S25" s="3"/>
      <c r="T25" s="8">
        <v>609.02</v>
      </c>
      <c r="U25" s="3"/>
      <c r="V25" s="7">
        <f t="shared" si="9"/>
        <v>1.6499688439760504E-2</v>
      </c>
      <c r="W25" s="3"/>
      <c r="X25" s="8">
        <f t="shared" si="10"/>
        <v>330.42000000000007</v>
      </c>
      <c r="Y25" s="3"/>
      <c r="Z25" s="7">
        <f t="shared" si="11"/>
        <v>0.54254375882565442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100</v>
      </c>
      <c r="E26" s="3"/>
      <c r="F26" s="7">
        <f t="shared" si="4"/>
        <v>4.768489819274236E-3</v>
      </c>
      <c r="G26" s="3"/>
      <c r="H26" s="8"/>
      <c r="I26" s="3"/>
      <c r="J26" s="7">
        <f t="shared" si="5"/>
        <v>0</v>
      </c>
      <c r="K26" s="3"/>
      <c r="L26" s="8">
        <f t="shared" si="6"/>
        <v>100</v>
      </c>
      <c r="M26" s="3"/>
      <c r="N26" s="7">
        <f t="shared" si="7"/>
        <v>0</v>
      </c>
      <c r="O26" s="11"/>
      <c r="P26" s="8">
        <v>100</v>
      </c>
      <c r="Q26" s="3"/>
      <c r="R26" s="7">
        <f t="shared" si="8"/>
        <v>4.768489819274236E-3</v>
      </c>
      <c r="S26" s="3"/>
      <c r="T26" s="8"/>
      <c r="U26" s="3"/>
      <c r="V26" s="7">
        <f t="shared" si="9"/>
        <v>0</v>
      </c>
      <c r="W26" s="3"/>
      <c r="X26" s="8">
        <f t="shared" si="10"/>
        <v>100</v>
      </c>
      <c r="Y26" s="3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8">
        <v>520.02</v>
      </c>
      <c r="E27" s="3"/>
      <c r="F27" s="7">
        <f t="shared" si="4"/>
        <v>2.4797100758189881E-2</v>
      </c>
      <c r="G27" s="3"/>
      <c r="H27" s="8">
        <v>843.36</v>
      </c>
      <c r="I27" s="3"/>
      <c r="J27" s="7">
        <f t="shared" si="5"/>
        <v>2.2848473354826475E-2</v>
      </c>
      <c r="K27" s="3"/>
      <c r="L27" s="8">
        <f t="shared" si="6"/>
        <v>-323.34000000000003</v>
      </c>
      <c r="M27" s="3"/>
      <c r="N27" s="7">
        <f t="shared" si="7"/>
        <v>-0.3833949914627206</v>
      </c>
      <c r="O27" s="11"/>
      <c r="P27" s="8">
        <v>520.02</v>
      </c>
      <c r="Q27" s="3"/>
      <c r="R27" s="7">
        <f t="shared" si="8"/>
        <v>2.4797100758189881E-2</v>
      </c>
      <c r="S27" s="3"/>
      <c r="T27" s="8">
        <v>843.36</v>
      </c>
      <c r="U27" s="3"/>
      <c r="V27" s="7">
        <f t="shared" si="9"/>
        <v>2.2848473354826475E-2</v>
      </c>
      <c r="W27" s="3"/>
      <c r="X27" s="8">
        <f t="shared" si="10"/>
        <v>-323.34000000000003</v>
      </c>
      <c r="Y27" s="3"/>
      <c r="Z27" s="7">
        <f t="shared" si="11"/>
        <v>-0.3833949914627206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8">
        <v>299.26</v>
      </c>
      <c r="E28" s="3"/>
      <c r="F28" s="7">
        <f t="shared" si="4"/>
        <v>1.4270182633160077E-2</v>
      </c>
      <c r="G28" s="3"/>
      <c r="H28" s="8">
        <v>418.38</v>
      </c>
      <c r="I28" s="3"/>
      <c r="J28" s="7">
        <f t="shared" si="5"/>
        <v>1.1334832434775542E-2</v>
      </c>
      <c r="K28" s="3"/>
      <c r="L28" s="8">
        <f t="shared" si="6"/>
        <v>-119.12</v>
      </c>
      <c r="M28" s="3"/>
      <c r="N28" s="7">
        <f t="shared" si="7"/>
        <v>-0.28471724269802573</v>
      </c>
      <c r="O28" s="11"/>
      <c r="P28" s="8">
        <v>299.26</v>
      </c>
      <c r="Q28" s="3"/>
      <c r="R28" s="7">
        <f t="shared" si="8"/>
        <v>1.4270182633160077E-2</v>
      </c>
      <c r="S28" s="3"/>
      <c r="T28" s="8">
        <v>418.38</v>
      </c>
      <c r="U28" s="3"/>
      <c r="V28" s="7">
        <f t="shared" si="9"/>
        <v>1.1334832434775542E-2</v>
      </c>
      <c r="W28" s="3"/>
      <c r="X28" s="8">
        <f t="shared" si="10"/>
        <v>-119.12</v>
      </c>
      <c r="Y28" s="3"/>
      <c r="Z28" s="7">
        <f t="shared" si="11"/>
        <v>-0.28471724269802573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8"/>
      <c r="E29" s="3"/>
      <c r="F29" s="7">
        <f t="shared" si="4"/>
        <v>0</v>
      </c>
      <c r="G29" s="3"/>
      <c r="H29" s="8">
        <v>132.88</v>
      </c>
      <c r="I29" s="3"/>
      <c r="J29" s="7">
        <f t="shared" si="5"/>
        <v>3.6000108368778954E-3</v>
      </c>
      <c r="K29" s="3"/>
      <c r="L29" s="8">
        <f t="shared" si="6"/>
        <v>-132.88</v>
      </c>
      <c r="M29" s="3"/>
      <c r="N29" s="7">
        <f t="shared" si="7"/>
        <v>-1</v>
      </c>
      <c r="O29" s="11"/>
      <c r="P29" s="8"/>
      <c r="Q29" s="3"/>
      <c r="R29" s="7">
        <f t="shared" si="8"/>
        <v>0</v>
      </c>
      <c r="S29" s="3"/>
      <c r="T29" s="8">
        <v>132.88</v>
      </c>
      <c r="U29" s="3"/>
      <c r="V29" s="7">
        <f t="shared" si="9"/>
        <v>3.6000108368778954E-3</v>
      </c>
      <c r="W29" s="3"/>
      <c r="X29" s="8">
        <f t="shared" si="10"/>
        <v>-132.88</v>
      </c>
      <c r="Y29" s="3"/>
      <c r="Z29" s="7">
        <f t="shared" si="11"/>
        <v>-1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15605.18</v>
      </c>
      <c r="E30" s="1"/>
      <c r="F30" s="5">
        <f t="shared" ref="F30:F35" si="12">IF(D$12=0,0,D30/D$12)</f>
        <v>0.7441314195794192</v>
      </c>
      <c r="G30" s="1"/>
      <c r="H30" s="1">
        <f>SUM(OSRRefH22_1x_0)</f>
        <v>17820.689999999999</v>
      </c>
      <c r="I30" s="1"/>
      <c r="J30" s="5">
        <f t="shared" ref="J30:J35" si="13">IF(H$12=0,0,H30/H$12)</f>
        <v>0.48280160385792847</v>
      </c>
      <c r="K30" s="1"/>
      <c r="L30" s="1">
        <f t="shared" ref="L30:L35" si="14">+D30-H30</f>
        <v>-2215.5099999999984</v>
      </c>
      <c r="M30" s="1"/>
      <c r="N30" s="5">
        <f t="shared" ref="N30:N35" si="15">IF(H30=0,0,L30/H30)</f>
        <v>-0.12432234666558918</v>
      </c>
      <c r="O30" s="14"/>
      <c r="P30" s="1">
        <f>SUM(OSRRefP22_1x_0)</f>
        <v>15605.18</v>
      </c>
      <c r="Q30" s="1"/>
      <c r="R30" s="5">
        <f t="shared" ref="R30:R35" si="16">IF(P$12=0,0,P30/P$12)</f>
        <v>0.7441314195794192</v>
      </c>
      <c r="S30" s="1"/>
      <c r="T30" s="1">
        <f>SUM(OSRRefT22_1x_0)</f>
        <v>17820.689999999999</v>
      </c>
      <c r="U30" s="1"/>
      <c r="V30" s="5">
        <f t="shared" ref="V30:V35" si="17">IF(T$12=0,0,T30/T$12)</f>
        <v>0.48280160385792847</v>
      </c>
      <c r="W30" s="1"/>
      <c r="X30" s="1">
        <f t="shared" ref="X30:X35" si="18">+P30-T30</f>
        <v>-2215.5099999999984</v>
      </c>
      <c r="Y30" s="1"/>
      <c r="Z30" s="5">
        <f t="shared" ref="Z30:Z35" si="19">IF(T30=0,0,X30/T30)</f>
        <v>-0.12432234666558918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5257.72</v>
      </c>
      <c r="E31" s="3"/>
      <c r="F31" s="7">
        <f t="shared" si="12"/>
        <v>0.25071384292594534</v>
      </c>
      <c r="G31" s="3"/>
      <c r="H31" s="8"/>
      <c r="I31" s="3"/>
      <c r="J31" s="7">
        <f t="shared" si="13"/>
        <v>0</v>
      </c>
      <c r="K31" s="3"/>
      <c r="L31" s="8">
        <f t="shared" si="14"/>
        <v>5257.72</v>
      </c>
      <c r="M31" s="3"/>
      <c r="N31" s="7">
        <f t="shared" si="15"/>
        <v>0</v>
      </c>
      <c r="O31" s="11"/>
      <c r="P31" s="8">
        <v>5257.72</v>
      </c>
      <c r="Q31" s="3"/>
      <c r="R31" s="7">
        <f t="shared" si="16"/>
        <v>0.25071384292594534</v>
      </c>
      <c r="S31" s="3"/>
      <c r="T31" s="8"/>
      <c r="U31" s="3"/>
      <c r="V31" s="7">
        <f t="shared" si="17"/>
        <v>0</v>
      </c>
      <c r="W31" s="3"/>
      <c r="X31" s="8">
        <f t="shared" si="18"/>
        <v>5257.72</v>
      </c>
      <c r="Y31" s="3"/>
      <c r="Z31" s="7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8">
        <v>2054.0700000000002</v>
      </c>
      <c r="E32" s="3"/>
      <c r="F32" s="7">
        <f t="shared" si="12"/>
        <v>9.7948118830766304E-2</v>
      </c>
      <c r="G32" s="3"/>
      <c r="H32" s="8">
        <v>6554.73</v>
      </c>
      <c r="I32" s="3"/>
      <c r="J32" s="7">
        <f t="shared" si="13"/>
        <v>0.1775820216195714</v>
      </c>
      <c r="K32" s="3"/>
      <c r="L32" s="8">
        <f t="shared" si="14"/>
        <v>-4500.66</v>
      </c>
      <c r="M32" s="3"/>
      <c r="N32" s="7">
        <f t="shared" si="15"/>
        <v>-0.68662782448704984</v>
      </c>
      <c r="O32" s="11"/>
      <c r="P32" s="8">
        <v>2054.0700000000002</v>
      </c>
      <c r="Q32" s="3"/>
      <c r="R32" s="7">
        <f t="shared" si="16"/>
        <v>9.7948118830766304E-2</v>
      </c>
      <c r="S32" s="3"/>
      <c r="T32" s="8">
        <v>6554.73</v>
      </c>
      <c r="U32" s="3"/>
      <c r="V32" s="7">
        <f t="shared" si="17"/>
        <v>0.1775820216195714</v>
      </c>
      <c r="W32" s="3"/>
      <c r="X32" s="8">
        <f t="shared" si="18"/>
        <v>-4500.66</v>
      </c>
      <c r="Y32" s="3"/>
      <c r="Z32" s="7">
        <f t="shared" si="19"/>
        <v>-0.68662782448704984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8">
        <v>6737.39</v>
      </c>
      <c r="E33" s="3"/>
      <c r="F33" s="7">
        <f t="shared" si="12"/>
        <v>0.32127175623480048</v>
      </c>
      <c r="G33" s="3"/>
      <c r="H33" s="8">
        <v>5355.94</v>
      </c>
      <c r="I33" s="3"/>
      <c r="J33" s="7">
        <f t="shared" si="13"/>
        <v>0.14510416948877028</v>
      </c>
      <c r="K33" s="3"/>
      <c r="L33" s="8">
        <f t="shared" si="14"/>
        <v>1381.4500000000007</v>
      </c>
      <c r="M33" s="3"/>
      <c r="N33" s="7">
        <f t="shared" si="15"/>
        <v>0.25792858023054793</v>
      </c>
      <c r="O33" s="11"/>
      <c r="P33" s="8">
        <v>6737.39</v>
      </c>
      <c r="Q33" s="3"/>
      <c r="R33" s="7">
        <f t="shared" si="16"/>
        <v>0.32127175623480048</v>
      </c>
      <c r="S33" s="3"/>
      <c r="T33" s="8">
        <v>5355.94</v>
      </c>
      <c r="U33" s="3"/>
      <c r="V33" s="7">
        <f t="shared" si="17"/>
        <v>0.14510416948877028</v>
      </c>
      <c r="W33" s="3"/>
      <c r="X33" s="8">
        <f t="shared" si="18"/>
        <v>1381.4500000000007</v>
      </c>
      <c r="Y33" s="3"/>
      <c r="Z33" s="7">
        <f t="shared" si="19"/>
        <v>0.25792858023054793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8">
        <v>1556</v>
      </c>
      <c r="E34" s="3"/>
      <c r="F34" s="7">
        <f t="shared" si="12"/>
        <v>7.4197701587907117E-2</v>
      </c>
      <c r="G34" s="3"/>
      <c r="H34" s="8">
        <v>5428.71</v>
      </c>
      <c r="I34" s="3"/>
      <c r="J34" s="7">
        <f t="shared" si="13"/>
        <v>0.14707566849990517</v>
      </c>
      <c r="K34" s="3"/>
      <c r="L34" s="8">
        <f t="shared" si="14"/>
        <v>-3872.71</v>
      </c>
      <c r="M34" s="3"/>
      <c r="N34" s="7">
        <f t="shared" si="15"/>
        <v>-0.71337573751406869</v>
      </c>
      <c r="O34" s="11"/>
      <c r="P34" s="8">
        <v>1556</v>
      </c>
      <c r="Q34" s="3"/>
      <c r="R34" s="7">
        <f t="shared" si="16"/>
        <v>7.4197701587907117E-2</v>
      </c>
      <c r="S34" s="3"/>
      <c r="T34" s="8">
        <v>5428.71</v>
      </c>
      <c r="U34" s="3"/>
      <c r="V34" s="7">
        <f t="shared" si="17"/>
        <v>0.14707566849990517</v>
      </c>
      <c r="W34" s="3"/>
      <c r="X34" s="8">
        <f t="shared" si="18"/>
        <v>-3872.71</v>
      </c>
      <c r="Y34" s="3"/>
      <c r="Z34" s="7">
        <f t="shared" si="19"/>
        <v>-0.71337573751406869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8"/>
      <c r="E35" s="3"/>
      <c r="F35" s="7">
        <f t="shared" si="12"/>
        <v>0</v>
      </c>
      <c r="G35" s="3"/>
      <c r="H35" s="8">
        <v>481.31</v>
      </c>
      <c r="I35" s="3"/>
      <c r="J35" s="7">
        <f t="shared" si="13"/>
        <v>1.3039744249681667E-2</v>
      </c>
      <c r="K35" s="3"/>
      <c r="L35" s="8">
        <f t="shared" si="14"/>
        <v>-481.31</v>
      </c>
      <c r="M35" s="3"/>
      <c r="N35" s="7">
        <f t="shared" si="15"/>
        <v>-1</v>
      </c>
      <c r="O35" s="11"/>
      <c r="P35" s="8"/>
      <c r="Q35" s="3"/>
      <c r="R35" s="7">
        <f t="shared" si="16"/>
        <v>0</v>
      </c>
      <c r="S35" s="3"/>
      <c r="T35" s="8">
        <v>481.31</v>
      </c>
      <c r="U35" s="3"/>
      <c r="V35" s="7">
        <f t="shared" si="17"/>
        <v>1.3039744249681667E-2</v>
      </c>
      <c r="W35" s="3"/>
      <c r="X35" s="8">
        <f t="shared" si="18"/>
        <v>-481.31</v>
      </c>
      <c r="Y35" s="3"/>
      <c r="Z35" s="7">
        <f t="shared" si="19"/>
        <v>-1</v>
      </c>
    </row>
    <row r="36" spans="1:26" s="27" customFormat="1" outlineLevel="1" collapsed="1" x14ac:dyDescent="0.25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SUM(OSRRefD22_2x_0)</f>
        <v>246.33</v>
      </c>
      <c r="E36" s="1"/>
      <c r="F36" s="5">
        <f t="shared" ref="F36:F45" si="20">IF(D$12=0,0,D36/D$12)</f>
        <v>1.1746220971818227E-2</v>
      </c>
      <c r="G36" s="1"/>
      <c r="H36" s="1">
        <f>SUM(OSRRefH22_2x_0)</f>
        <v>319.7</v>
      </c>
      <c r="I36" s="1"/>
      <c r="J36" s="5">
        <f t="shared" ref="J36:J45" si="21">IF(H$12=0,0,H36/H$12)</f>
        <v>8.661374657961041E-3</v>
      </c>
      <c r="K36" s="1"/>
      <c r="L36" s="1">
        <f t="shared" ref="L36:L45" si="22">+D36-H36</f>
        <v>-73.369999999999976</v>
      </c>
      <c r="M36" s="1"/>
      <c r="N36" s="5">
        <f t="shared" ref="N36:N45" si="23">IF(H36=0,0,L36/H36)</f>
        <v>-0.22949640287769776</v>
      </c>
      <c r="O36" s="14"/>
      <c r="P36" s="1">
        <f>SUM(OSRRefP22_2x_0)</f>
        <v>246.33</v>
      </c>
      <c r="Q36" s="1"/>
      <c r="R36" s="5">
        <f t="shared" ref="R36:R45" si="24">IF(P$12=0,0,P36/P$12)</f>
        <v>1.1746220971818227E-2</v>
      </c>
      <c r="S36" s="1"/>
      <c r="T36" s="1">
        <f>SUM(OSRRefT22_2x_0)</f>
        <v>319.7</v>
      </c>
      <c r="U36" s="1"/>
      <c r="V36" s="5">
        <f t="shared" ref="V36:V45" si="25">IF(T$12=0,0,T36/T$12)</f>
        <v>8.661374657961041E-3</v>
      </c>
      <c r="W36" s="1"/>
      <c r="X36" s="1">
        <f t="shared" ref="X36:X45" si="26">+P36-T36</f>
        <v>-73.369999999999976</v>
      </c>
      <c r="Y36" s="1"/>
      <c r="Z36" s="5">
        <f t="shared" ref="Z36:Z45" si="27">IF(T36=0,0,X36/T36)</f>
        <v>-0.22949640287769776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8">
        <v>246.33</v>
      </c>
      <c r="E37" s="3"/>
      <c r="F37" s="7">
        <f t="shared" si="20"/>
        <v>1.1746220971818227E-2</v>
      </c>
      <c r="G37" s="3"/>
      <c r="H37" s="8">
        <v>319.7</v>
      </c>
      <c r="I37" s="3"/>
      <c r="J37" s="7">
        <f t="shared" si="21"/>
        <v>8.661374657961041E-3</v>
      </c>
      <c r="K37" s="3"/>
      <c r="L37" s="8">
        <f t="shared" si="22"/>
        <v>-73.369999999999976</v>
      </c>
      <c r="M37" s="3"/>
      <c r="N37" s="7">
        <f t="shared" si="23"/>
        <v>-0.22949640287769776</v>
      </c>
      <c r="O37" s="11"/>
      <c r="P37" s="8">
        <v>246.33</v>
      </c>
      <c r="Q37" s="3"/>
      <c r="R37" s="7">
        <f t="shared" si="24"/>
        <v>1.1746220971818227E-2</v>
      </c>
      <c r="S37" s="3"/>
      <c r="T37" s="8">
        <v>319.7</v>
      </c>
      <c r="U37" s="3"/>
      <c r="V37" s="7">
        <f t="shared" si="25"/>
        <v>8.661374657961041E-3</v>
      </c>
      <c r="W37" s="3"/>
      <c r="X37" s="8">
        <f t="shared" si="26"/>
        <v>-73.369999999999976</v>
      </c>
      <c r="Y37" s="3"/>
      <c r="Z37" s="7">
        <f t="shared" si="27"/>
        <v>-0.22949640287769776</v>
      </c>
    </row>
    <row r="38" spans="1:26" s="27" customFormat="1" outlineLevel="1" collapsed="1" x14ac:dyDescent="0.25">
      <c r="A38" s="28"/>
      <c r="B38" s="14" t="str">
        <f>CONCATENATE("     ","Insurance                                         ")</f>
        <v xml:space="preserve">     Insurance                                         </v>
      </c>
      <c r="C38" s="14"/>
      <c r="D38" s="1">
        <f>SUM(OSRRefD22_3x_0)</f>
        <v>29.01</v>
      </c>
      <c r="E38" s="1"/>
      <c r="F38" s="5">
        <f t="shared" si="20"/>
        <v>1.383338896571456E-3</v>
      </c>
      <c r="G38" s="1"/>
      <c r="H38" s="1">
        <f>SUM(OSRRefH22_3x_0)</f>
        <v>29.01</v>
      </c>
      <c r="I38" s="1"/>
      <c r="J38" s="5">
        <f t="shared" si="21"/>
        <v>7.8594456936956463E-4</v>
      </c>
      <c r="K38" s="1"/>
      <c r="L38" s="1">
        <f t="shared" si="22"/>
        <v>0</v>
      </c>
      <c r="M38" s="1"/>
      <c r="N38" s="5">
        <f t="shared" si="23"/>
        <v>0</v>
      </c>
      <c r="O38" s="14"/>
      <c r="P38" s="1">
        <f>SUM(OSRRefP22_3x_0)</f>
        <v>29.01</v>
      </c>
      <c r="Q38" s="1"/>
      <c r="R38" s="5">
        <f t="shared" si="24"/>
        <v>1.383338896571456E-3</v>
      </c>
      <c r="S38" s="1"/>
      <c r="T38" s="1">
        <f>SUM(OSRRefT22_3x_0)</f>
        <v>29.01</v>
      </c>
      <c r="U38" s="1"/>
      <c r="V38" s="5">
        <f t="shared" si="25"/>
        <v>7.8594456936956463E-4</v>
      </c>
      <c r="W38" s="1"/>
      <c r="X38" s="1">
        <f t="shared" si="26"/>
        <v>0</v>
      </c>
      <c r="Y38" s="1"/>
      <c r="Z38" s="5">
        <f t="shared" si="27"/>
        <v>0</v>
      </c>
    </row>
    <row r="39" spans="1:26" s="24" customFormat="1" hidden="1" outlineLevel="2" x14ac:dyDescent="0.25">
      <c r="A39" s="29"/>
      <c r="B39" s="11" t="str">
        <f>CONCATENATE("          ", "6314", " - ", "LIABILITY INSURANCE")</f>
        <v xml:space="preserve">          6314 - LIABILITY INSURANCE</v>
      </c>
      <c r="C39" s="11"/>
      <c r="D39" s="8">
        <v>29.01</v>
      </c>
      <c r="E39" s="3"/>
      <c r="F39" s="7">
        <f t="shared" si="20"/>
        <v>1.383338896571456E-3</v>
      </c>
      <c r="G39" s="3"/>
      <c r="H39" s="8">
        <v>29.01</v>
      </c>
      <c r="I39" s="3"/>
      <c r="J39" s="7">
        <f t="shared" si="21"/>
        <v>7.8594456936956463E-4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>
        <v>29.01</v>
      </c>
      <c r="Q39" s="3"/>
      <c r="R39" s="7">
        <f t="shared" si="24"/>
        <v>1.383338896571456E-3</v>
      </c>
      <c r="S39" s="3"/>
      <c r="T39" s="8">
        <v>29.01</v>
      </c>
      <c r="U39" s="3"/>
      <c r="V39" s="7">
        <f t="shared" si="25"/>
        <v>7.8594456936956463E-4</v>
      </c>
      <c r="W39" s="3"/>
      <c r="X39" s="8">
        <f t="shared" si="26"/>
        <v>0</v>
      </c>
      <c r="Y39" s="3"/>
      <c r="Z39" s="7">
        <f t="shared" si="27"/>
        <v>0</v>
      </c>
    </row>
    <row r="40" spans="1:26" s="27" customFormat="1" outlineLevel="1" collapsed="1" x14ac:dyDescent="0.25">
      <c r="A40" s="28"/>
      <c r="B40" s="14" t="str">
        <f>CONCATENATE("     ","Rent                                              ")</f>
        <v xml:space="preserve">     Rent                                              </v>
      </c>
      <c r="C40" s="14"/>
      <c r="D40" s="1">
        <f>SUM(OSRRefD22_4x_0)</f>
        <v>800</v>
      </c>
      <c r="E40" s="1"/>
      <c r="F40" s="5">
        <f t="shared" si="20"/>
        <v>3.8147918554193888E-2</v>
      </c>
      <c r="G40" s="1"/>
      <c r="H40" s="1">
        <f>SUM(OSRRefH22_4x_0)</f>
        <v>800</v>
      </c>
      <c r="I40" s="1"/>
      <c r="J40" s="5">
        <f t="shared" si="21"/>
        <v>2.1673755790956626E-2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800</v>
      </c>
      <c r="Q40" s="1"/>
      <c r="R40" s="5">
        <f t="shared" si="24"/>
        <v>3.8147918554193888E-2</v>
      </c>
      <c r="S40" s="1"/>
      <c r="T40" s="1">
        <f>SUM(OSRRefT22_4x_0)</f>
        <v>800</v>
      </c>
      <c r="U40" s="1"/>
      <c r="V40" s="5">
        <f t="shared" si="25"/>
        <v>2.1673755790956626E-2</v>
      </c>
      <c r="W40" s="1"/>
      <c r="X40" s="1">
        <f t="shared" si="26"/>
        <v>0</v>
      </c>
      <c r="Y40" s="1"/>
      <c r="Z40" s="5">
        <f t="shared" si="27"/>
        <v>0</v>
      </c>
    </row>
    <row r="41" spans="1:26" s="24" customFormat="1" hidden="1" outlineLevel="2" x14ac:dyDescent="0.25">
      <c r="A41" s="29"/>
      <c r="B41" s="11" t="str">
        <f>CONCATENATE("          ", "6273", " - ", "RENT")</f>
        <v xml:space="preserve">          6273 - RENT</v>
      </c>
      <c r="C41" s="11"/>
      <c r="D41" s="8">
        <v>800</v>
      </c>
      <c r="E41" s="3"/>
      <c r="F41" s="7">
        <f t="shared" si="20"/>
        <v>3.8147918554193888E-2</v>
      </c>
      <c r="G41" s="3"/>
      <c r="H41" s="8">
        <v>800</v>
      </c>
      <c r="I41" s="3"/>
      <c r="J41" s="7">
        <f t="shared" si="21"/>
        <v>2.1673755790956626E-2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>
        <v>800</v>
      </c>
      <c r="Q41" s="3"/>
      <c r="R41" s="7">
        <f t="shared" si="24"/>
        <v>3.8147918554193888E-2</v>
      </c>
      <c r="S41" s="3"/>
      <c r="T41" s="8">
        <v>800</v>
      </c>
      <c r="U41" s="3"/>
      <c r="V41" s="7">
        <f t="shared" si="25"/>
        <v>2.1673755790956626E-2</v>
      </c>
      <c r="W41" s="3"/>
      <c r="X41" s="8">
        <f t="shared" si="26"/>
        <v>0</v>
      </c>
      <c r="Y41" s="3"/>
      <c r="Z41" s="7">
        <f t="shared" si="27"/>
        <v>0</v>
      </c>
    </row>
    <row r="42" spans="1:26" s="27" customFormat="1" outlineLevel="1" collapsed="1" x14ac:dyDescent="0.25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SUM(OSRRefD22_5x_0)</f>
        <v>92.59</v>
      </c>
      <c r="E42" s="1"/>
      <c r="F42" s="5">
        <f t="shared" si="20"/>
        <v>4.4151447236660153E-3</v>
      </c>
      <c r="G42" s="1"/>
      <c r="H42" s="1">
        <f>SUM(OSRRefH22_5x_0)</f>
        <v>14416.21</v>
      </c>
      <c r="I42" s="1"/>
      <c r="J42" s="5">
        <f t="shared" si="21"/>
        <v>0.39056676871393348</v>
      </c>
      <c r="K42" s="1"/>
      <c r="L42" s="1">
        <f t="shared" si="22"/>
        <v>-14323.619999999999</v>
      </c>
      <c r="M42" s="1"/>
      <c r="N42" s="5">
        <f t="shared" si="23"/>
        <v>-0.99357736880913916</v>
      </c>
      <c r="O42" s="14"/>
      <c r="P42" s="1">
        <f>SUM(OSRRefP22_5x_0)</f>
        <v>92.59</v>
      </c>
      <c r="Q42" s="1"/>
      <c r="R42" s="5">
        <f t="shared" si="24"/>
        <v>4.4151447236660153E-3</v>
      </c>
      <c r="S42" s="1"/>
      <c r="T42" s="1">
        <f>SUM(OSRRefT22_5x_0)</f>
        <v>14416.21</v>
      </c>
      <c r="U42" s="1"/>
      <c r="V42" s="5">
        <f t="shared" si="25"/>
        <v>0.39056676871393348</v>
      </c>
      <c r="W42" s="1"/>
      <c r="X42" s="1">
        <f t="shared" si="26"/>
        <v>-14323.619999999999</v>
      </c>
      <c r="Y42" s="1"/>
      <c r="Z42" s="5">
        <f t="shared" si="27"/>
        <v>-0.99357736880913916</v>
      </c>
    </row>
    <row r="43" spans="1:26" s="24" customFormat="1" hidden="1" outlineLevel="2" x14ac:dyDescent="0.25">
      <c r="A43" s="29"/>
      <c r="B43" s="11" t="str">
        <f>CONCATENATE("          ", "6241", " - ", "OFFICE EXPENSE")</f>
        <v xml:space="preserve">          6241 - OFFICE EXPENSE</v>
      </c>
      <c r="C43" s="11"/>
      <c r="D43" s="8">
        <v>92.59</v>
      </c>
      <c r="E43" s="3"/>
      <c r="F43" s="7">
        <f t="shared" si="20"/>
        <v>4.4151447236660153E-3</v>
      </c>
      <c r="G43" s="3"/>
      <c r="H43" s="8">
        <v>14416.21</v>
      </c>
      <c r="I43" s="3"/>
      <c r="J43" s="7">
        <f t="shared" si="21"/>
        <v>0.39056676871393348</v>
      </c>
      <c r="K43" s="3"/>
      <c r="L43" s="8">
        <f t="shared" si="22"/>
        <v>-14323.619999999999</v>
      </c>
      <c r="M43" s="3"/>
      <c r="N43" s="7">
        <f t="shared" si="23"/>
        <v>-0.99357736880913916</v>
      </c>
      <c r="O43" s="11"/>
      <c r="P43" s="8">
        <v>92.59</v>
      </c>
      <c r="Q43" s="3"/>
      <c r="R43" s="7">
        <f t="shared" si="24"/>
        <v>4.4151447236660153E-3</v>
      </c>
      <c r="S43" s="3"/>
      <c r="T43" s="8">
        <v>14416.21</v>
      </c>
      <c r="U43" s="3"/>
      <c r="V43" s="7">
        <f t="shared" si="25"/>
        <v>0.39056676871393348</v>
      </c>
      <c r="W43" s="3"/>
      <c r="X43" s="8">
        <f t="shared" si="26"/>
        <v>-14323.619999999999</v>
      </c>
      <c r="Y43" s="3"/>
      <c r="Z43" s="7">
        <f t="shared" si="27"/>
        <v>-0.99357736880913916</v>
      </c>
    </row>
    <row r="44" spans="1:26" s="27" customFormat="1" outlineLevel="1" collapsed="1" x14ac:dyDescent="0.25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SUM(OSRRefD22_6x_0)</f>
        <v>154.93</v>
      </c>
      <c r="E44" s="1"/>
      <c r="F44" s="5">
        <f t="shared" si="20"/>
        <v>7.3878212770015737E-3</v>
      </c>
      <c r="G44" s="1"/>
      <c r="H44" s="1">
        <f>SUM(OSRRefH22_6x_0)</f>
        <v>-23.35</v>
      </c>
      <c r="I44" s="1"/>
      <c r="J44" s="5">
        <f t="shared" si="21"/>
        <v>-6.3260274714854649E-4</v>
      </c>
      <c r="K44" s="1"/>
      <c r="L44" s="1">
        <f t="shared" si="22"/>
        <v>178.28</v>
      </c>
      <c r="M44" s="1"/>
      <c r="N44" s="5">
        <f t="shared" si="23"/>
        <v>-7.6351177730192719</v>
      </c>
      <c r="O44" s="14"/>
      <c r="P44" s="1">
        <f>SUM(OSRRefP22_6x_0)</f>
        <v>154.93</v>
      </c>
      <c r="Q44" s="1"/>
      <c r="R44" s="5">
        <f t="shared" si="24"/>
        <v>7.3878212770015737E-3</v>
      </c>
      <c r="S44" s="1"/>
      <c r="T44" s="1">
        <f>SUM(OSRRefT22_6x_0)</f>
        <v>-23.35</v>
      </c>
      <c r="U44" s="1"/>
      <c r="V44" s="5">
        <f t="shared" si="25"/>
        <v>-6.3260274714854649E-4</v>
      </c>
      <c r="W44" s="1"/>
      <c r="X44" s="1">
        <f t="shared" si="26"/>
        <v>178.28</v>
      </c>
      <c r="Y44" s="1"/>
      <c r="Z44" s="5">
        <f t="shared" si="27"/>
        <v>-7.6351177730192719</v>
      </c>
    </row>
    <row r="45" spans="1:26" s="24" customFormat="1" hidden="1" outlineLevel="2" x14ac:dyDescent="0.25">
      <c r="A45" s="29"/>
      <c r="B45" s="11" t="str">
        <f>CONCATENATE("          ", "6309", " - ", "TELEPHONE")</f>
        <v xml:space="preserve">          6309 - TELEPHONE</v>
      </c>
      <c r="C45" s="11"/>
      <c r="D45" s="8">
        <v>154.93</v>
      </c>
      <c r="E45" s="3"/>
      <c r="F45" s="7">
        <f t="shared" si="20"/>
        <v>7.3878212770015737E-3</v>
      </c>
      <c r="G45" s="3"/>
      <c r="H45" s="8">
        <v>-23.35</v>
      </c>
      <c r="I45" s="3"/>
      <c r="J45" s="7">
        <f t="shared" si="21"/>
        <v>-6.3260274714854649E-4</v>
      </c>
      <c r="K45" s="3"/>
      <c r="L45" s="8">
        <f t="shared" si="22"/>
        <v>178.28</v>
      </c>
      <c r="M45" s="3"/>
      <c r="N45" s="7">
        <f t="shared" si="23"/>
        <v>-7.6351177730192719</v>
      </c>
      <c r="O45" s="11"/>
      <c r="P45" s="8">
        <v>154.93</v>
      </c>
      <c r="Q45" s="3"/>
      <c r="R45" s="7">
        <f t="shared" si="24"/>
        <v>7.3878212770015737E-3</v>
      </c>
      <c r="S45" s="3"/>
      <c r="T45" s="8">
        <v>-23.35</v>
      </c>
      <c r="U45" s="3"/>
      <c r="V45" s="7">
        <f t="shared" si="25"/>
        <v>-6.3260274714854649E-4</v>
      </c>
      <c r="W45" s="3"/>
      <c r="X45" s="8">
        <f t="shared" si="26"/>
        <v>178.28</v>
      </c>
      <c r="Y45" s="3"/>
      <c r="Z45" s="7">
        <f t="shared" si="27"/>
        <v>-7.6351177730192719</v>
      </c>
    </row>
    <row r="46" spans="1:26" s="61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collapsed="1" x14ac:dyDescent="0.25">
      <c r="A47" s="10"/>
      <c r="B47" s="25" t="s">
        <v>0</v>
      </c>
      <c r="C47" s="10"/>
      <c r="D47" s="4">
        <f>SUM(OSRRefD25x_0)</f>
        <v>165</v>
      </c>
      <c r="E47" s="4"/>
      <c r="F47" s="12">
        <f t="shared" ref="F47:F48" si="28">IF(D$12=0,0,D47/D$12)</f>
        <v>7.8680082018024889E-3</v>
      </c>
      <c r="G47" s="4"/>
      <c r="H47" s="4">
        <f>SUM(OSRRefH25x_0)</f>
        <v>851.09</v>
      </c>
      <c r="I47" s="4"/>
      <c r="J47" s="12">
        <f t="shared" ref="J47:J48" si="29">IF(H$12=0,0,H47/H$12)</f>
        <v>2.3057896020156593E-2</v>
      </c>
      <c r="K47" s="4"/>
      <c r="L47" s="4">
        <f t="shared" ref="L47:L48" si="30">+D47-H47</f>
        <v>-686.09</v>
      </c>
      <c r="M47" s="4"/>
      <c r="N47" s="12">
        <f t="shared" ref="N47:N48" si="31">IF(H47=0,0,L47/H47)</f>
        <v>-0.80613096147293473</v>
      </c>
      <c r="O47" s="10"/>
      <c r="P47" s="4">
        <f>SUM(OSRRefP25x_0)</f>
        <v>165</v>
      </c>
      <c r="Q47" s="4"/>
      <c r="R47" s="12">
        <f t="shared" ref="R47:R48" si="32">IF(P$12=0,0,P47/P$12)</f>
        <v>7.8680082018024889E-3</v>
      </c>
      <c r="S47" s="4"/>
      <c r="T47" s="4">
        <f>SUM(OSRRefT25x_0)</f>
        <v>851.09</v>
      </c>
      <c r="U47" s="4"/>
      <c r="V47" s="12">
        <f t="shared" ref="V47:V48" si="33">IF(T$12=0,0,T47/T$12)</f>
        <v>2.3057896020156593E-2</v>
      </c>
      <c r="W47" s="4"/>
      <c r="X47" s="4">
        <f t="shared" ref="X47:X48" si="34">+P47-T47</f>
        <v>-686.09</v>
      </c>
      <c r="Y47" s="4"/>
      <c r="Z47" s="12">
        <f t="shared" ref="Z47:Z48" si="35">IF(T47=0,0,X47/T47)</f>
        <v>-0.80613096147293473</v>
      </c>
    </row>
    <row r="48" spans="1:26" s="24" customFormat="1" hidden="1" outlineLevel="1" x14ac:dyDescent="0.25">
      <c r="A48" s="50"/>
      <c r="B48" s="11" t="str">
        <f>CONCATENATE("          ", "9150", " - ", "MISC. INCOME")</f>
        <v xml:space="preserve">          9150 - MISC. INCOME</v>
      </c>
      <c r="C48" s="11"/>
      <c r="D48" s="3">
        <f>--165</f>
        <v>165</v>
      </c>
      <c r="E48" s="3"/>
      <c r="F48" s="22">
        <f t="shared" si="28"/>
        <v>7.8680082018024889E-3</v>
      </c>
      <c r="G48" s="3"/>
      <c r="H48" s="3">
        <f>--851.09</f>
        <v>851.09</v>
      </c>
      <c r="I48" s="3"/>
      <c r="J48" s="22">
        <f t="shared" si="29"/>
        <v>2.3057896020156593E-2</v>
      </c>
      <c r="K48" s="3"/>
      <c r="L48" s="3">
        <f t="shared" si="30"/>
        <v>-686.09</v>
      </c>
      <c r="M48" s="3"/>
      <c r="N48" s="22">
        <f t="shared" si="31"/>
        <v>-0.80613096147293473</v>
      </c>
      <c r="O48" s="11"/>
      <c r="P48" s="3">
        <f>--165</f>
        <v>165</v>
      </c>
      <c r="Q48" s="3"/>
      <c r="R48" s="22">
        <f t="shared" si="32"/>
        <v>7.8680082018024889E-3</v>
      </c>
      <c r="S48" s="3"/>
      <c r="T48" s="3">
        <f>--851.09</f>
        <v>851.09</v>
      </c>
      <c r="U48" s="3"/>
      <c r="V48" s="22">
        <f t="shared" si="33"/>
        <v>2.3057896020156593E-2</v>
      </c>
      <c r="W48" s="3"/>
      <c r="X48" s="3">
        <f t="shared" si="34"/>
        <v>-686.09</v>
      </c>
      <c r="Y48" s="3"/>
      <c r="Z48" s="22">
        <f t="shared" si="35"/>
        <v>-0.80613096147293473</v>
      </c>
    </row>
    <row r="49" spans="1:26" x14ac:dyDescent="0.25">
      <c r="A49" s="9"/>
      <c r="B49" s="10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10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25">
      <c r="A50" s="10"/>
      <c r="B50" s="26" t="s">
        <v>3</v>
      </c>
      <c r="C50" s="26"/>
      <c r="D50" s="19">
        <f>+D17-D19+D47</f>
        <v>0.13999999999941792</v>
      </c>
      <c r="E50" s="13"/>
      <c r="F50" s="20">
        <f>IF(D$12=0,0,D50/D$12)</f>
        <v>6.6758857469561736E-6</v>
      </c>
      <c r="G50" s="13"/>
      <c r="H50" s="19">
        <f>+H17-H19+H47</f>
        <v>0.48000000000672571</v>
      </c>
      <c r="I50" s="13"/>
      <c r="J50" s="20">
        <f>IF(H$12=0,0,H50/H$12)</f>
        <v>1.300425347475619E-5</v>
      </c>
      <c r="K50" s="16"/>
      <c r="L50" s="19">
        <f>+D50-H50</f>
        <v>-0.34000000000730779</v>
      </c>
      <c r="M50" s="16"/>
      <c r="N50" s="20">
        <f>IF(H50=0,0,L50/H50)</f>
        <v>-0.7083333333386328</v>
      </c>
      <c r="O50" s="25"/>
      <c r="P50" s="19">
        <f>+P17-P19+P47</f>
        <v>0.13999999999941792</v>
      </c>
      <c r="Q50" s="13"/>
      <c r="R50" s="20">
        <f>IF(P$12=0,0,P50/P$12)</f>
        <v>6.6758857469561736E-6</v>
      </c>
      <c r="S50" s="13"/>
      <c r="T50" s="19">
        <f>+T17-T19+T47</f>
        <v>0.48000000000672571</v>
      </c>
      <c r="U50" s="13"/>
      <c r="V50" s="20">
        <f>IF(T$12=0,0,T50/T$12)</f>
        <v>1.300425347475619E-5</v>
      </c>
      <c r="W50" s="16"/>
      <c r="X50" s="19">
        <f>+P50-T50</f>
        <v>-0.34000000000730779</v>
      </c>
      <c r="Y50" s="16"/>
      <c r="Z50" s="20">
        <f>IF(T50=0,0,X50/T50)</f>
        <v>-0.7083333333386328</v>
      </c>
    </row>
    <row r="51" spans="1:26" x14ac:dyDescent="0.25">
      <c r="A51" s="9"/>
      <c r="B51" s="10"/>
      <c r="C51" s="9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x14ac:dyDescent="0.25">
      <c r="A52" s="51"/>
      <c r="B52" s="10" t="s">
        <v>13</v>
      </c>
      <c r="C52" s="10"/>
      <c r="D52" s="4">
        <v>10085.93</v>
      </c>
      <c r="E52" s="4"/>
      <c r="F52" s="12">
        <f>IF(D$12=0,0,D52/D$12)</f>
        <v>0.48094654522912594</v>
      </c>
      <c r="G52" s="4"/>
      <c r="H52" s="4">
        <v>7674.88</v>
      </c>
      <c r="I52" s="4"/>
      <c r="J52" s="12">
        <f>IF(H$12=0,0,H52/H$12)</f>
        <v>0.20792934355612147</v>
      </c>
      <c r="K52" s="4"/>
      <c r="L52" s="4">
        <f>+D52-H52</f>
        <v>2411.0500000000002</v>
      </c>
      <c r="M52" s="4"/>
      <c r="N52" s="12">
        <f>IF(H52=0,0,L52/H52)</f>
        <v>0.31414823423949301</v>
      </c>
      <c r="O52" s="10"/>
      <c r="P52" s="4">
        <v>10085.93</v>
      </c>
      <c r="Q52" s="4"/>
      <c r="R52" s="12">
        <f>IF(P$12=0,0,P52/P$12)</f>
        <v>0.48094654522912594</v>
      </c>
      <c r="S52" s="4"/>
      <c r="T52" s="4">
        <v>7674.88</v>
      </c>
      <c r="U52" s="4"/>
      <c r="V52" s="12">
        <f>IF(T$12=0,0,T52/T$12)</f>
        <v>0.20792934355612147</v>
      </c>
      <c r="W52" s="4"/>
      <c r="X52" s="4">
        <f>+P52-T52</f>
        <v>2411.0500000000002</v>
      </c>
      <c r="Y52" s="4"/>
      <c r="Z52" s="12">
        <f>IF(T52=0,0,X52/T52)</f>
        <v>0.31414823423949301</v>
      </c>
    </row>
    <row r="53" spans="1:26" x14ac:dyDescent="0.25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ht="15.75" thickBot="1" x14ac:dyDescent="0.3">
      <c r="A54" s="10"/>
      <c r="B54" s="26" t="s">
        <v>4</v>
      </c>
      <c r="C54" s="26"/>
      <c r="D54" s="35">
        <f>+D50-D52</f>
        <v>-10085.790000000001</v>
      </c>
      <c r="E54" s="13"/>
      <c r="F54" s="30">
        <f>IF(D$12=0,0,D54/D$12)</f>
        <v>-0.48093986934337901</v>
      </c>
      <c r="G54" s="13"/>
      <c r="H54" s="35">
        <f>+H50-H52</f>
        <v>-7674.3999999999933</v>
      </c>
      <c r="I54" s="13"/>
      <c r="J54" s="30">
        <f>IF(H$12=0,0,H54/H$12)</f>
        <v>-0.20791633930264672</v>
      </c>
      <c r="K54" s="16"/>
      <c r="L54" s="35">
        <f>D54-H54</f>
        <v>-2411.3900000000076</v>
      </c>
      <c r="M54" s="16"/>
      <c r="N54" s="30">
        <f>IF(H54=0,0,L54/H54)</f>
        <v>0.31421218596893696</v>
      </c>
      <c r="O54" s="25"/>
      <c r="P54" s="35">
        <f>+P50-P52</f>
        <v>-10085.790000000001</v>
      </c>
      <c r="Q54" s="13"/>
      <c r="R54" s="30">
        <f>IF(P$12=0,0,P54/P$12)</f>
        <v>-0.48093986934337901</v>
      </c>
      <c r="S54" s="13"/>
      <c r="T54" s="35">
        <f>+T50-T52</f>
        <v>-7674.3999999999933</v>
      </c>
      <c r="U54" s="13"/>
      <c r="V54" s="30">
        <f>IF(T$12=0,0,T54/T$12)</f>
        <v>-0.20791633930264672</v>
      </c>
      <c r="W54" s="16"/>
      <c r="X54" s="35">
        <f>P54-T54</f>
        <v>-2411.3900000000076</v>
      </c>
      <c r="Y54" s="16"/>
      <c r="Z54" s="30">
        <f>IF(T54=0,0,X54/T54)</f>
        <v>0.31421218596893696</v>
      </c>
    </row>
    <row r="55" spans="1:26" ht="15.75" thickTop="1" x14ac:dyDescent="0.25">
      <c r="A55" s="9"/>
      <c r="B55" s="9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x14ac:dyDescent="0.25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.75" thickBot="1" x14ac:dyDescent="0.3">
      <c r="A57" s="10"/>
      <c r="B57" s="26" t="s">
        <v>5</v>
      </c>
      <c r="C57" s="26"/>
      <c r="D57" s="31">
        <f>SUM(D54:D56)</f>
        <v>-10085.790000000001</v>
      </c>
      <c r="E57" s="13"/>
      <c r="F57" s="32">
        <f>IF(D$12=0,0,D57/D$12)</f>
        <v>-0.48093986934337901</v>
      </c>
      <c r="G57" s="13"/>
      <c r="H57" s="31">
        <f>SUM(H54:H56)</f>
        <v>-7674.3999999999933</v>
      </c>
      <c r="I57" s="13"/>
      <c r="J57" s="32">
        <f>IF(H$12=0,0,H57/H$12)</f>
        <v>-0.20791633930264672</v>
      </c>
      <c r="K57" s="16"/>
      <c r="L57" s="31">
        <f>+D57-H57</f>
        <v>-2411.3900000000076</v>
      </c>
      <c r="M57" s="16"/>
      <c r="N57" s="32">
        <f>IF(H57=0,0,L57/H57)</f>
        <v>0.31421218596893696</v>
      </c>
      <c r="O57" s="25"/>
      <c r="P57" s="31">
        <f>SUM(P54:P56)</f>
        <v>-10085.790000000001</v>
      </c>
      <c r="Q57" s="13"/>
      <c r="R57" s="32">
        <f>IF(P$12=0,0,P57/P$12)</f>
        <v>-0.48093986934337901</v>
      </c>
      <c r="S57" s="13"/>
      <c r="T57" s="31">
        <f>SUM(T54:T56)</f>
        <v>-7674.3999999999933</v>
      </c>
      <c r="U57" s="13"/>
      <c r="V57" s="32">
        <f>IF(T$12=0,0,T57/T$12)</f>
        <v>-0.20791633930264672</v>
      </c>
      <c r="W57" s="16"/>
      <c r="X57" s="31">
        <f>+P57-T57</f>
        <v>-2411.3900000000076</v>
      </c>
      <c r="Y57" s="16"/>
      <c r="Z57" s="32">
        <f>IF(T57=0,0,X57/T57)</f>
        <v>0.31421218596893696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9">
        <v>44109.41493240741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2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6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4"/>
      <c r="G3" s="18"/>
      <c r="H3" s="18"/>
      <c r="I3" s="18"/>
      <c r="J3" s="39"/>
      <c r="K3" s="18"/>
      <c r="L3" s="18"/>
      <c r="M3" s="18"/>
      <c r="N3" s="44"/>
      <c r="O3" s="54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9"/>
      <c r="K4" s="18"/>
      <c r="L4" s="18"/>
      <c r="M4" s="18"/>
      <c r="N4" s="44"/>
      <c r="O4" s="54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4"/>
      <c r="G5" s="18"/>
      <c r="H5" s="18"/>
      <c r="I5" s="18"/>
      <c r="J5" s="39"/>
      <c r="K5" s="18"/>
      <c r="L5" s="18"/>
      <c r="M5" s="18"/>
      <c r="N5" s="44"/>
      <c r="O5" s="54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39"/>
      <c r="K6" s="18"/>
      <c r="L6" s="18"/>
      <c r="M6" s="18"/>
      <c r="N6" s="44"/>
      <c r="O6" s="60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5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5"/>
      <c r="W9" s="15"/>
      <c r="X9" s="15"/>
      <c r="Y9" s="15"/>
      <c r="Z9" s="38"/>
    </row>
    <row r="10" spans="1:26" x14ac:dyDescent="0.25">
      <c r="A10" s="10"/>
      <c r="B10" s="52"/>
      <c r="C10" s="10"/>
      <c r="D10" s="42" t="s">
        <v>10</v>
      </c>
      <c r="E10" s="33"/>
      <c r="F10" s="36" t="s">
        <v>14</v>
      </c>
      <c r="G10" s="33"/>
      <c r="H10" s="46" t="s">
        <v>306</v>
      </c>
      <c r="I10" s="33"/>
      <c r="J10" s="36" t="s">
        <v>14</v>
      </c>
      <c r="K10" s="10"/>
      <c r="L10" s="42" t="s">
        <v>11</v>
      </c>
      <c r="M10" s="10"/>
      <c r="N10" s="36" t="s">
        <v>15</v>
      </c>
      <c r="O10" s="10"/>
      <c r="P10" s="57" t="s">
        <v>10</v>
      </c>
      <c r="Q10" s="33"/>
      <c r="R10" s="36" t="s">
        <v>14</v>
      </c>
      <c r="S10" s="33"/>
      <c r="T10" s="46" t="s">
        <v>306</v>
      </c>
      <c r="U10" s="33"/>
      <c r="V10" s="36" t="s">
        <v>14</v>
      </c>
      <c r="W10" s="10"/>
      <c r="X10" s="42" t="s">
        <v>11</v>
      </c>
      <c r="Y10" s="10"/>
      <c r="Z10" s="36" t="s">
        <v>15</v>
      </c>
    </row>
    <row r="11" spans="1:26" ht="15.75" x14ac:dyDescent="0.25">
      <c r="A11" s="9"/>
      <c r="B11" s="55"/>
      <c r="C11" s="9"/>
      <c r="D11" s="9"/>
      <c r="E11" s="9"/>
      <c r="F11" s="6"/>
      <c r="G11" s="9"/>
      <c r="H11" s="9"/>
      <c r="I11" s="9"/>
      <c r="J11" s="49"/>
      <c r="K11" s="9"/>
      <c r="L11" s="9"/>
      <c r="M11" s="9"/>
      <c r="N11" s="6"/>
      <c r="P11" s="9"/>
      <c r="Q11" s="9"/>
      <c r="R11" s="6"/>
      <c r="S11" s="9"/>
      <c r="T11" s="9"/>
      <c r="U11" s="9"/>
      <c r="V11" s="49"/>
      <c r="W11" s="9"/>
      <c r="X11" s="9"/>
      <c r="Y11" s="9"/>
      <c r="Z11" s="6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25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25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25">
      <c r="A18" s="10"/>
      <c r="B18" s="26" t="s">
        <v>6</v>
      </c>
      <c r="C18" s="26"/>
      <c r="D18" s="19" t="e">
        <f ca="1">D12-D15</f>
        <v>#NAME?</v>
      </c>
      <c r="E18" s="13"/>
      <c r="F18" s="20" t="e">
        <f ca="1">IF(D$12=0,0,D18/D$12)</f>
        <v>#NAME?</v>
      </c>
      <c r="G18" s="13"/>
      <c r="H18" s="19" t="e">
        <f ca="1">H12-H15</f>
        <v>#NAME?</v>
      </c>
      <c r="I18" s="13"/>
      <c r="J18" s="20" t="e">
        <f ca="1">IF(H$12=0,0,H18/H$12)</f>
        <v>#NAME?</v>
      </c>
      <c r="K18" s="16"/>
      <c r="L18" s="19" t="e">
        <f ca="1">+D18-H18</f>
        <v>#NAME?</v>
      </c>
      <c r="M18" s="16"/>
      <c r="N18" s="20" t="e">
        <f ca="1">IF(H18=0,0,L18/H18)</f>
        <v>#NAME?</v>
      </c>
      <c r="O18" s="25"/>
      <c r="P18" s="19" t="e">
        <f ca="1">P12-P15</f>
        <v>#NAME?</v>
      </c>
      <c r="Q18" s="13"/>
      <c r="R18" s="20" t="e">
        <f ca="1">IF(P$12=0,0,P18/P$12)</f>
        <v>#NAME?</v>
      </c>
      <c r="S18" s="13"/>
      <c r="T18" s="19" t="e">
        <f ca="1">T12-T15</f>
        <v>#NAME?</v>
      </c>
      <c r="U18" s="13"/>
      <c r="V18" s="20" t="e">
        <f ca="1">IF(T$12=0,0,T18/T$12)</f>
        <v>#NAME?</v>
      </c>
      <c r="W18" s="16"/>
      <c r="X18" s="19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25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25">
      <c r="A27" s="10"/>
      <c r="B27" s="26" t="s">
        <v>3</v>
      </c>
      <c r="C27" s="26"/>
      <c r="D27" s="19" t="e">
        <f ca="1">+D18-D20+D24</f>
        <v>#NAME?</v>
      </c>
      <c r="E27" s="13"/>
      <c r="F27" s="20" t="e">
        <f ca="1">IF(D$12=0,0,D27/D$12)</f>
        <v>#NAME?</v>
      </c>
      <c r="G27" s="13"/>
      <c r="H27" s="19" t="e">
        <f ca="1">+H18-H20+H24</f>
        <v>#NAME?</v>
      </c>
      <c r="I27" s="13"/>
      <c r="J27" s="20" t="e">
        <f ca="1">IF(H$12=0,0,H27/H$12)</f>
        <v>#NAME?</v>
      </c>
      <c r="K27" s="16"/>
      <c r="L27" s="19" t="e">
        <f ca="1">+D27-H27</f>
        <v>#NAME?</v>
      </c>
      <c r="M27" s="16"/>
      <c r="N27" s="20" t="e">
        <f ca="1">IF(H27=0,0,L27/H27)</f>
        <v>#NAME?</v>
      </c>
      <c r="O27" s="25"/>
      <c r="P27" s="19" t="e">
        <f ca="1">+P18-P20+P24</f>
        <v>#NAME?</v>
      </c>
      <c r="Q27" s="13"/>
      <c r="R27" s="20" t="e">
        <f ca="1">IF(P$12=0,0,P27/P$12)</f>
        <v>#NAME?</v>
      </c>
      <c r="S27" s="13"/>
      <c r="T27" s="19" t="e">
        <f ca="1">+T18-T20+T24</f>
        <v>#NAME?</v>
      </c>
      <c r="U27" s="13"/>
      <c r="V27" s="20" t="e">
        <f ca="1">IF(T$12=0,0,T27/T$12)</f>
        <v>#NAME?</v>
      </c>
      <c r="W27" s="16"/>
      <c r="X27" s="19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3624</vt:i4>
      </vt:variant>
    </vt:vector>
  </HeadingPairs>
  <TitlesOfParts>
    <vt:vector size="3724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322</vt:lpstr>
      <vt:lpstr>323</vt:lpstr>
      <vt:lpstr>325</vt:lpstr>
      <vt:lpstr>327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'424'!OSRRefD16x_0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'321'!OSRRefD22_10x_0</vt:lpstr>
      <vt:lpstr>'322'!OSRRefD22_10x_0</vt:lpstr>
      <vt:lpstr>'325'!OSRRefD22_10x_0</vt:lpstr>
      <vt:lpstr>'326'!OSRRefD22_10x_0</vt:lpstr>
      <vt:lpstr>'331'!OSRRefD22_10x_0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'Div 2'!OSRRefD22_10x_0</vt:lpstr>
      <vt:lpstr>'Div 3'!OSRRefD22_10x_0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'322'!OSRRefD22_11x_0</vt:lpstr>
      <vt:lpstr>'325'!OSRRefD22_11x_0</vt:lpstr>
      <vt:lpstr>'326'!OSRRefD22_11x_0</vt:lpstr>
      <vt:lpstr>'331'!OSRRefD22_11x_0</vt:lpstr>
      <vt:lpstr>'405'!OSRRefD22_11x_0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'325'!OSRRefD22_12x_0</vt:lpstr>
      <vt:lpstr>'326'!OSRRefD22_12x_0</vt:lpstr>
      <vt:lpstr>'331'!OSRRefD22_12x_0</vt:lpstr>
      <vt:lpstr>'405'!OSRRefD22_12x_0</vt:lpstr>
      <vt:lpstr>'411'!OSRRefD22_12x_0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'444'!OSRRefD22_13x_0</vt:lpstr>
      <vt:lpstr>'491'!OSRRefD22_13x_0</vt:lpstr>
      <vt:lpstr>'492'!OSRRefD22_13x_0</vt:lpstr>
      <vt:lpstr>'Div 2'!OSRRefD22_13x_0</vt:lpstr>
      <vt:lpstr>'Div 3'!OSRRefD22_13x_0</vt:lpstr>
      <vt:lpstr>Summary!OSRRefD22_13x_0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'491'!OSRRefD22_14x_0</vt:lpstr>
      <vt:lpstr>'492'!OSRRefD22_14x_0</vt:lpstr>
      <vt:lpstr>'Div 2'!OSRRefD22_14x_0</vt:lpstr>
      <vt:lpstr>'Div 3'!OSRRefD22_14x_0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'326'!OSRRefD22_15x_0</vt:lpstr>
      <vt:lpstr>'331'!OSRRefD22_15x_0</vt:lpstr>
      <vt:lpstr>'405'!OSRRefD22_15x_0</vt:lpstr>
      <vt:lpstr>'415'!OSRRefD22_15x_0</vt:lpstr>
      <vt:lpstr>'491'!OSRRefD22_15x_0</vt:lpstr>
      <vt:lpstr>'492'!OSRRefD22_15x_0</vt:lpstr>
      <vt:lpstr>'Div 2'!OSRRefD22_15x_0</vt:lpstr>
      <vt:lpstr>'Div 3'!OSRRefD22_15x_0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'331'!OSRRefD22_16x_0</vt:lpstr>
      <vt:lpstr>'415'!OSRRefD22_16x_0</vt:lpstr>
      <vt:lpstr>'491'!OSRRefD22_16x_0</vt:lpstr>
      <vt:lpstr>'Div 2'!OSRRefD22_16x_0</vt:lpstr>
      <vt:lpstr>'Div 3'!OSRRefD22_16x_0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'331'!OSRRefD22_17x_0</vt:lpstr>
      <vt:lpstr>'491'!OSRRefD22_17x_0</vt:lpstr>
      <vt:lpstr>'Div 2'!OSRRefD22_17x_0</vt:lpstr>
      <vt:lpstr>'Div 3'!OSRRefD22_17x_0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'491'!OSRRefD22_20x_0</vt:lpstr>
      <vt:lpstr>'Div 3'!OSRRefD22_20x_0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'Div 3'!OSRRefD22_21x_0</vt:lpstr>
      <vt:lpstr>Summary!OSRRefD22_21x_0</vt:lpstr>
      <vt:lpstr>'300'!OSRRefD22_22x_0</vt:lpstr>
      <vt:lpstr>'300 &amp; 317'!OSRRefD22_22x_0</vt:lpstr>
      <vt:lpstr>'310 &amp; 491'!OSRRefD22_22x_0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5'!OSRRefD22_2x_0</vt:lpstr>
      <vt:lpstr>'Div 6'!OSRRefD22_2x_0</vt:lpstr>
      <vt:lpstr>Summary!OSRRefD22_2x_0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'Div 2'!OSRRefD22_7x_0</vt:lpstr>
      <vt:lpstr>'Div 3'!OSRRefD22_7x_0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'Div 2'!OSRRefD22_8x_0</vt:lpstr>
      <vt:lpstr>'Div 3'!OSRRefD22_8x_0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'Div 2'!OSRRefD22_9x_0</vt:lpstr>
      <vt:lpstr>'Div 3'!OSRRefD22_9x_0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'424'!OSRRefH16x_0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'321'!OSRRefH22_10x_0</vt:lpstr>
      <vt:lpstr>'322'!OSRRefH22_10x_0</vt:lpstr>
      <vt:lpstr>'325'!OSRRefH22_10x_0</vt:lpstr>
      <vt:lpstr>'326'!OSRRefH22_10x_0</vt:lpstr>
      <vt:lpstr>'331'!OSRRefH22_10x_0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'Div 2'!OSRRefH22_10x_0</vt:lpstr>
      <vt:lpstr>'Div 3'!OSRRefH22_10x_0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'322'!OSRRefH22_11x_0</vt:lpstr>
      <vt:lpstr>'325'!OSRRefH22_11x_0</vt:lpstr>
      <vt:lpstr>'326'!OSRRefH22_11x_0</vt:lpstr>
      <vt:lpstr>'331'!OSRRefH22_11x_0</vt:lpstr>
      <vt:lpstr>'405'!OSRRefH22_11x_0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'325'!OSRRefH22_12x_0</vt:lpstr>
      <vt:lpstr>'326'!OSRRefH22_12x_0</vt:lpstr>
      <vt:lpstr>'331'!OSRRefH22_12x_0</vt:lpstr>
      <vt:lpstr>'405'!OSRRefH22_12x_0</vt:lpstr>
      <vt:lpstr>'411'!OSRRefH22_12x_0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'444'!OSRRefH22_13x_0</vt:lpstr>
      <vt:lpstr>'491'!OSRRefH22_13x_0</vt:lpstr>
      <vt:lpstr>'492'!OSRRefH22_13x_0</vt:lpstr>
      <vt:lpstr>'Div 2'!OSRRefH22_13x_0</vt:lpstr>
      <vt:lpstr>'Div 3'!OSRRefH22_13x_0</vt:lpstr>
      <vt:lpstr>Summary!OSRRefH22_13x_0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'491'!OSRRefH22_14x_0</vt:lpstr>
      <vt:lpstr>'492'!OSRRefH22_14x_0</vt:lpstr>
      <vt:lpstr>'Div 2'!OSRRefH22_14x_0</vt:lpstr>
      <vt:lpstr>'Div 3'!OSRRefH22_14x_0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'326'!OSRRefH22_15x_0</vt:lpstr>
      <vt:lpstr>'331'!OSRRefH22_15x_0</vt:lpstr>
      <vt:lpstr>'405'!OSRRefH22_15x_0</vt:lpstr>
      <vt:lpstr>'415'!OSRRefH22_15x_0</vt:lpstr>
      <vt:lpstr>'491'!OSRRefH22_15x_0</vt:lpstr>
      <vt:lpstr>'492'!OSRRefH22_15x_0</vt:lpstr>
      <vt:lpstr>'Div 2'!OSRRefH22_15x_0</vt:lpstr>
      <vt:lpstr>'Div 3'!OSRRefH22_15x_0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'331'!OSRRefH22_16x_0</vt:lpstr>
      <vt:lpstr>'415'!OSRRefH22_16x_0</vt:lpstr>
      <vt:lpstr>'491'!OSRRefH22_16x_0</vt:lpstr>
      <vt:lpstr>'Div 2'!OSRRefH22_16x_0</vt:lpstr>
      <vt:lpstr>'Div 3'!OSRRefH22_16x_0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'331'!OSRRefH22_17x_0</vt:lpstr>
      <vt:lpstr>'491'!OSRRefH22_17x_0</vt:lpstr>
      <vt:lpstr>'Div 2'!OSRRefH22_17x_0</vt:lpstr>
      <vt:lpstr>'Div 3'!OSRRefH22_17x_0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'491'!OSRRefH22_20x_0</vt:lpstr>
      <vt:lpstr>'Div 3'!OSRRefH22_20x_0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'Div 3'!OSRRefH22_21x_0</vt:lpstr>
      <vt:lpstr>Summary!OSRRefH22_21x_0</vt:lpstr>
      <vt:lpstr>'300'!OSRRefH22_22x_0</vt:lpstr>
      <vt:lpstr>'300 &amp; 317'!OSRRefH22_22x_0</vt:lpstr>
      <vt:lpstr>'310 &amp; 491'!OSRRefH22_22x_0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5'!OSRRefH22_2x_0</vt:lpstr>
      <vt:lpstr>'Div 6'!OSRRefH22_2x_0</vt:lpstr>
      <vt:lpstr>Summary!OSRRefH22_2x_0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'Div 2'!OSRRefH22_7x_0</vt:lpstr>
      <vt:lpstr>'Div 3'!OSRRefH22_7x_0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'Div 2'!OSRRefH22_8x_0</vt:lpstr>
      <vt:lpstr>'Div 3'!OSRRefH22_8x_0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'Div 2'!OSRRefH22_9x_0</vt:lpstr>
      <vt:lpstr>'Div 3'!OSRRefH22_9x_0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'424'!OSRRefP16x_0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'321'!OSRRefP22_10x_0</vt:lpstr>
      <vt:lpstr>'322'!OSRRefP22_10x_0</vt:lpstr>
      <vt:lpstr>'325'!OSRRefP22_10x_0</vt:lpstr>
      <vt:lpstr>'326'!OSRRefP22_10x_0</vt:lpstr>
      <vt:lpstr>'331'!OSRRefP22_10x_0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'Div 2'!OSRRefP22_10x_0</vt:lpstr>
      <vt:lpstr>'Div 3'!OSRRefP22_10x_0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'322'!OSRRefP22_11x_0</vt:lpstr>
      <vt:lpstr>'325'!OSRRefP22_11x_0</vt:lpstr>
      <vt:lpstr>'326'!OSRRefP22_11x_0</vt:lpstr>
      <vt:lpstr>'331'!OSRRefP22_11x_0</vt:lpstr>
      <vt:lpstr>'405'!OSRRefP22_11x_0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'325'!OSRRefP22_12x_0</vt:lpstr>
      <vt:lpstr>'326'!OSRRefP22_12x_0</vt:lpstr>
      <vt:lpstr>'331'!OSRRefP22_12x_0</vt:lpstr>
      <vt:lpstr>'405'!OSRRefP22_12x_0</vt:lpstr>
      <vt:lpstr>'411'!OSRRefP22_12x_0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'444'!OSRRefP22_13x_0</vt:lpstr>
      <vt:lpstr>'491'!OSRRefP22_13x_0</vt:lpstr>
      <vt:lpstr>'492'!OSRRefP22_13x_0</vt:lpstr>
      <vt:lpstr>'Div 2'!OSRRefP22_13x_0</vt:lpstr>
      <vt:lpstr>'Div 3'!OSRRefP22_13x_0</vt:lpstr>
      <vt:lpstr>Summary!OSRRefP22_13x_0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'491'!OSRRefP22_14x_0</vt:lpstr>
      <vt:lpstr>'492'!OSRRefP22_14x_0</vt:lpstr>
      <vt:lpstr>'Div 2'!OSRRefP22_14x_0</vt:lpstr>
      <vt:lpstr>'Div 3'!OSRRefP22_14x_0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'326'!OSRRefP22_15x_0</vt:lpstr>
      <vt:lpstr>'331'!OSRRefP22_15x_0</vt:lpstr>
      <vt:lpstr>'405'!OSRRefP22_15x_0</vt:lpstr>
      <vt:lpstr>'415'!OSRRefP22_15x_0</vt:lpstr>
      <vt:lpstr>'491'!OSRRefP22_15x_0</vt:lpstr>
      <vt:lpstr>'492'!OSRRefP22_15x_0</vt:lpstr>
      <vt:lpstr>'Div 2'!OSRRefP22_15x_0</vt:lpstr>
      <vt:lpstr>'Div 3'!OSRRefP22_15x_0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'331'!OSRRefP22_16x_0</vt:lpstr>
      <vt:lpstr>'415'!OSRRefP22_16x_0</vt:lpstr>
      <vt:lpstr>'491'!OSRRefP22_16x_0</vt:lpstr>
      <vt:lpstr>'Div 2'!OSRRefP22_16x_0</vt:lpstr>
      <vt:lpstr>'Div 3'!OSRRefP22_16x_0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'331'!OSRRefP22_17x_0</vt:lpstr>
      <vt:lpstr>'491'!OSRRefP22_17x_0</vt:lpstr>
      <vt:lpstr>'Div 2'!OSRRefP22_17x_0</vt:lpstr>
      <vt:lpstr>'Div 3'!OSRRefP22_17x_0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'491'!OSRRefP22_20x_0</vt:lpstr>
      <vt:lpstr>'Div 3'!OSRRefP22_20x_0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'Div 3'!OSRRefP22_21x_0</vt:lpstr>
      <vt:lpstr>Summary!OSRRefP22_21x_0</vt:lpstr>
      <vt:lpstr>'300'!OSRRefP22_22x_0</vt:lpstr>
      <vt:lpstr>'300 &amp; 317'!OSRRefP22_22x_0</vt:lpstr>
      <vt:lpstr>'310 &amp; 491'!OSRRefP22_22x_0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5'!OSRRefP22_2x_0</vt:lpstr>
      <vt:lpstr>'Div 6'!OSRRefP22_2x_0</vt:lpstr>
      <vt:lpstr>Summary!OSRRefP22_2x_0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'Div 2'!OSRRefP22_7x_0</vt:lpstr>
      <vt:lpstr>'Div 3'!OSRRefP22_7x_0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'Div 2'!OSRRefP22_8x_0</vt:lpstr>
      <vt:lpstr>'Div 3'!OSRRefP22_8x_0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'Div 2'!OSRRefP22_9x_0</vt:lpstr>
      <vt:lpstr>'Div 3'!OSRRefP22_9x_0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'424'!OSRRefT16x_0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'321'!OSRRefT22_10x_0</vt:lpstr>
      <vt:lpstr>'322'!OSRRefT22_10x_0</vt:lpstr>
      <vt:lpstr>'325'!OSRRefT22_10x_0</vt:lpstr>
      <vt:lpstr>'326'!OSRRefT22_10x_0</vt:lpstr>
      <vt:lpstr>'331'!OSRRefT22_10x_0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'Div 2'!OSRRefT22_10x_0</vt:lpstr>
      <vt:lpstr>'Div 3'!OSRRefT22_10x_0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'322'!OSRRefT22_11x_0</vt:lpstr>
      <vt:lpstr>'325'!OSRRefT22_11x_0</vt:lpstr>
      <vt:lpstr>'326'!OSRRefT22_11x_0</vt:lpstr>
      <vt:lpstr>'331'!OSRRefT22_11x_0</vt:lpstr>
      <vt:lpstr>'405'!OSRRefT22_11x_0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'325'!OSRRefT22_12x_0</vt:lpstr>
      <vt:lpstr>'326'!OSRRefT22_12x_0</vt:lpstr>
      <vt:lpstr>'331'!OSRRefT22_12x_0</vt:lpstr>
      <vt:lpstr>'405'!OSRRefT22_12x_0</vt:lpstr>
      <vt:lpstr>'411'!OSRRefT22_12x_0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'444'!OSRRefT22_13x_0</vt:lpstr>
      <vt:lpstr>'491'!OSRRefT22_13x_0</vt:lpstr>
      <vt:lpstr>'492'!OSRRefT22_13x_0</vt:lpstr>
      <vt:lpstr>'Div 2'!OSRRefT22_13x_0</vt:lpstr>
      <vt:lpstr>'Div 3'!OSRRefT22_13x_0</vt:lpstr>
      <vt:lpstr>Summary!OSRRefT22_13x_0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'491'!OSRRefT22_14x_0</vt:lpstr>
      <vt:lpstr>'492'!OSRRefT22_14x_0</vt:lpstr>
      <vt:lpstr>'Div 2'!OSRRefT22_14x_0</vt:lpstr>
      <vt:lpstr>'Div 3'!OSRRefT22_14x_0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'326'!OSRRefT22_15x_0</vt:lpstr>
      <vt:lpstr>'331'!OSRRefT22_15x_0</vt:lpstr>
      <vt:lpstr>'405'!OSRRefT22_15x_0</vt:lpstr>
      <vt:lpstr>'415'!OSRRefT22_15x_0</vt:lpstr>
      <vt:lpstr>'491'!OSRRefT22_15x_0</vt:lpstr>
      <vt:lpstr>'492'!OSRRefT22_15x_0</vt:lpstr>
      <vt:lpstr>'Div 2'!OSRRefT22_15x_0</vt:lpstr>
      <vt:lpstr>'Div 3'!OSRRefT22_15x_0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'331'!OSRRefT22_16x_0</vt:lpstr>
      <vt:lpstr>'415'!OSRRefT22_16x_0</vt:lpstr>
      <vt:lpstr>'491'!OSRRefT22_16x_0</vt:lpstr>
      <vt:lpstr>'Div 2'!OSRRefT22_16x_0</vt:lpstr>
      <vt:lpstr>'Div 3'!OSRRefT22_16x_0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'331'!OSRRefT22_17x_0</vt:lpstr>
      <vt:lpstr>'491'!OSRRefT22_17x_0</vt:lpstr>
      <vt:lpstr>'Div 2'!OSRRefT22_17x_0</vt:lpstr>
      <vt:lpstr>'Div 3'!OSRRefT22_17x_0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'491'!OSRRefT22_20x_0</vt:lpstr>
      <vt:lpstr>'Div 3'!OSRRefT22_20x_0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'Div 3'!OSRRefT22_21x_0</vt:lpstr>
      <vt:lpstr>Summary!OSRRefT22_21x_0</vt:lpstr>
      <vt:lpstr>'300'!OSRRefT22_22x_0</vt:lpstr>
      <vt:lpstr>'300 &amp; 317'!OSRRefT22_22x_0</vt:lpstr>
      <vt:lpstr>'310 &amp; 491'!OSRRefT22_22x_0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5'!OSRRefT22_2x_0</vt:lpstr>
      <vt:lpstr>'Div 6'!OSRRefT22_2x_0</vt:lpstr>
      <vt:lpstr>Summary!OSRRefT22_2x_0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'Div 2'!OSRRefT22_7x_0</vt:lpstr>
      <vt:lpstr>'Div 3'!OSRRefT22_7x_0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'Div 2'!OSRRefT22_8x_0</vt:lpstr>
      <vt:lpstr>'Div 3'!OSRRefT22_8x_0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'Div 2'!OSRRefT22_9x_0</vt:lpstr>
      <vt:lpstr>'Div 3'!OSRRefT22_9x_0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2020-10-05T17:08:30Z</dcterms:modified>
</cp:coreProperties>
</file>